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Költségvetés\Private\2020\Rendeletmódosítás\novemberi rendeletmódosítás\Testületi\"/>
    </mc:Choice>
  </mc:AlternateContent>
  <xr:revisionPtr revIDLastSave="0" documentId="13_ncr:1_{CC2E1A6A-77A8-47E6-B162-D5CB0A05E0D0}" xr6:coauthVersionLast="45" xr6:coauthVersionMax="45" xr10:uidLastSave="{00000000-0000-0000-0000-000000000000}"/>
  <bookViews>
    <workbookView xWindow="-120" yWindow="-120" windowWidth="20730" windowHeight="11160" tabRatio="899" firstSheet="9" activeTab="12" xr2:uid="{00000000-000D-0000-FFFF-FFFF00000000}"/>
  </bookViews>
  <sheets>
    <sheet name="1 bevétel (kötelező,önként)" sheetId="239" r:id="rId1"/>
    <sheet name="2 kiadás (kötelező, önként)" sheetId="240" r:id="rId2"/>
    <sheet name="3 bevétel(szűkített)" sheetId="261" r:id="rId3"/>
    <sheet name="4 kiadás(szűkített)" sheetId="260" r:id="rId4"/>
    <sheet name="5 egyenleg" sheetId="266" r:id="rId5"/>
    <sheet name="6normatíva" sheetId="333" r:id="rId6"/>
    <sheet name="7 int. bevétel" sheetId="335" r:id="rId7"/>
    <sheet name="8 int kiadás" sheetId="334" r:id="rId8"/>
    <sheet name="9 álláshely" sheetId="336" r:id="rId9"/>
    <sheet name="10 ök kiadás" sheetId="317" r:id="rId10"/>
    <sheet name="11melléklet " sheetId="318" r:id="rId11"/>
    <sheet name="12 fejlesztés " sheetId="315" r:id="rId12"/>
    <sheet name="14 Ktg.szervek felúj." sheetId="316" r:id="rId13"/>
    <sheet name="16működési és felhalm " sheetId="299" r:id="rId14"/>
    <sheet name="17előirányzat felhasz. " sheetId="321" r:id="rId15"/>
    <sheet name="18többéves" sheetId="322" r:id="rId16"/>
    <sheet name="21 kiemelt" sheetId="337" r:id="rId17"/>
    <sheet name="22 TFA" sheetId="326" r:id="rId18"/>
    <sheet name="23 Környezetvéd.alap" sheetId="323" r:id="rId19"/>
  </sheets>
  <externalReferences>
    <externalReference r:id="rId20"/>
    <externalReference r:id="rId21"/>
    <externalReference r:id="rId22"/>
  </externalReferences>
  <definedNames>
    <definedName name="_______" localSheetId="10">[1]Munka3!#REF!</definedName>
    <definedName name="_______" localSheetId="14">[1]Munka3!#REF!</definedName>
    <definedName name="_______" localSheetId="15">[1]Munka3!#REF!</definedName>
    <definedName name="_______" localSheetId="17">[1]Munka3!#REF!</definedName>
    <definedName name="_______" localSheetId="18">[1]Munka3!#REF!</definedName>
    <definedName name="_______">[1]Munka3!#REF!</definedName>
    <definedName name="_______________e00001" localSheetId="10">[1]Munka3!#REF!</definedName>
    <definedName name="_______________e00001" localSheetId="14">[1]Munka3!#REF!</definedName>
    <definedName name="_______________e00001" localSheetId="15">[1]Munka3!#REF!</definedName>
    <definedName name="_______________e00001" localSheetId="17">[1]Munka3!#REF!</definedName>
    <definedName name="_______________e00001" localSheetId="18">[1]Munka3!#REF!</definedName>
    <definedName name="_______________e00001">[1]Munka3!#REF!</definedName>
    <definedName name="______________b00001" localSheetId="10">[1]Munka3!#REF!</definedName>
    <definedName name="______________b00001" localSheetId="14">[1]Munka3!#REF!</definedName>
    <definedName name="______________b00001" localSheetId="15">[1]Munka3!#REF!</definedName>
    <definedName name="______________b00001" localSheetId="17">[1]Munka3!#REF!</definedName>
    <definedName name="______________b00001" localSheetId="18">[1]Munka3!#REF!</definedName>
    <definedName name="______________b00001">[1]Munka3!#REF!</definedName>
    <definedName name="______________e00001" localSheetId="10">[1]Munka3!#REF!</definedName>
    <definedName name="______________e00001" localSheetId="14">[1]Munka3!#REF!</definedName>
    <definedName name="______________e00001" localSheetId="15">[1]Munka3!#REF!</definedName>
    <definedName name="______________e00001" localSheetId="17">[1]Munka3!#REF!</definedName>
    <definedName name="______________e00001" localSheetId="18">[1]Munka3!#REF!</definedName>
    <definedName name="______________e00001">[1]Munka3!#REF!</definedName>
    <definedName name="_____________b00001" localSheetId="10">[1]Munka3!#REF!</definedName>
    <definedName name="_____________b00001" localSheetId="14">[2]Munka3!#REF!</definedName>
    <definedName name="_____________b00001" localSheetId="17">[1]Munka3!#REF!</definedName>
    <definedName name="_____________b00001" localSheetId="18">[1]Munka3!#REF!</definedName>
    <definedName name="_____________b00001" localSheetId="5">[1]Munka3!#REF!</definedName>
    <definedName name="_____________b00001">[1]Munka3!#REF!</definedName>
    <definedName name="_____________e00001" localSheetId="14">[2]Munka3!#REF!</definedName>
    <definedName name="_____________e00001" localSheetId="17">[1]Munka3!#REF!</definedName>
    <definedName name="_____________e00001" localSheetId="18">[1]Munka3!#REF!</definedName>
    <definedName name="_____________e00001" localSheetId="5">[1]Munka3!#REF!</definedName>
    <definedName name="_____________e00001">[1]Munka3!#REF!</definedName>
    <definedName name="____________b00001" localSheetId="10">[1]Munka3!#REF!</definedName>
    <definedName name="____________b00001" localSheetId="14">[2]Munka3!#REF!</definedName>
    <definedName name="____________b00001" localSheetId="15">[2]Munka3!#REF!</definedName>
    <definedName name="____________b00001" localSheetId="18">[1]Munka3!#REF!</definedName>
    <definedName name="____________b00001" localSheetId="5">[1]Munka3!#REF!</definedName>
    <definedName name="____________b00001">[1]Munka3!#REF!</definedName>
    <definedName name="____________e00001" localSheetId="10">[1]Munka3!#REF!</definedName>
    <definedName name="____________e00001" localSheetId="14">[2]Munka3!#REF!</definedName>
    <definedName name="____________e00001" localSheetId="15">[2]Munka3!#REF!</definedName>
    <definedName name="____________e00001" localSheetId="18">[1]Munka3!#REF!</definedName>
    <definedName name="____________e00001" localSheetId="5">[1]Munka3!#REF!</definedName>
    <definedName name="____________e00001">[1]Munka3!#REF!</definedName>
    <definedName name="___________b00001" localSheetId="10">[1]Munka3!#REF!</definedName>
    <definedName name="___________b00001" localSheetId="14">[2]Munka3!#REF!</definedName>
    <definedName name="___________b00001" localSheetId="15">[2]Munka3!#REF!</definedName>
    <definedName name="___________b00001" localSheetId="18">[1]Munka3!#REF!</definedName>
    <definedName name="___________b00001" localSheetId="5">[1]Munka3!#REF!</definedName>
    <definedName name="___________b00001">[1]Munka3!#REF!</definedName>
    <definedName name="___________e00001" localSheetId="10">[1]Munka3!#REF!</definedName>
    <definedName name="___________e00001" localSheetId="14">[2]Munka3!#REF!</definedName>
    <definedName name="___________e00001" localSheetId="15">[2]Munka3!#REF!</definedName>
    <definedName name="___________e00001" localSheetId="18">[1]Munka3!#REF!</definedName>
    <definedName name="___________e00001">[1]Munka3!#REF!</definedName>
    <definedName name="__________b00001" localSheetId="10">[1]Munka3!#REF!</definedName>
    <definedName name="__________b00001" localSheetId="14">[2]Munka3!#REF!</definedName>
    <definedName name="__________b00001" localSheetId="15">[2]Munka3!#REF!</definedName>
    <definedName name="__________b00001" localSheetId="18">[1]Munka3!#REF!</definedName>
    <definedName name="__________b00001">[1]Munka3!#REF!</definedName>
    <definedName name="__________e00001" localSheetId="10">[1]Munka3!#REF!</definedName>
    <definedName name="__________e00001" localSheetId="14">[2]Munka3!#REF!</definedName>
    <definedName name="__________e00001" localSheetId="18">[1]Munka3!#REF!</definedName>
    <definedName name="__________e00001">[1]Munka3!#REF!</definedName>
    <definedName name="_________b00001" localSheetId="10">[1]Munka3!#REF!</definedName>
    <definedName name="_________b00001" localSheetId="14">[2]Munka3!#REF!</definedName>
    <definedName name="_________b00001" localSheetId="18">[1]Munka3!#REF!</definedName>
    <definedName name="_________b00001">[1]Munka3!#REF!</definedName>
    <definedName name="_________e00001" localSheetId="10">[1]Munka3!#REF!</definedName>
    <definedName name="_________e00001" localSheetId="14">[2]Munka3!#REF!</definedName>
    <definedName name="_________e00001" localSheetId="18">[1]Munka3!#REF!</definedName>
    <definedName name="_________e00001">[1]Munka3!#REF!</definedName>
    <definedName name="________b00001" localSheetId="10">[1]Munka3!#REF!</definedName>
    <definedName name="________b00001" localSheetId="14">[2]Munka3!#REF!</definedName>
    <definedName name="________b00001" localSheetId="18">[1]Munka3!#REF!</definedName>
    <definedName name="________b00001">[1]Munka3!#REF!</definedName>
    <definedName name="________e00001" localSheetId="10">[1]Munka3!#REF!</definedName>
    <definedName name="________e00001" localSheetId="14">[2]Munka3!#REF!</definedName>
    <definedName name="________e00001" localSheetId="18">[1]Munka3!#REF!</definedName>
    <definedName name="________e00001">[1]Munka3!#REF!</definedName>
    <definedName name="_______b00001" localSheetId="10">[1]Munka3!#REF!</definedName>
    <definedName name="_______b00001" localSheetId="14">[2]Munka3!#REF!</definedName>
    <definedName name="_______b00001" localSheetId="18">[1]Munka3!#REF!</definedName>
    <definedName name="_______b00001">[1]Munka3!#REF!</definedName>
    <definedName name="_______e00001" localSheetId="10">[1]Munka3!#REF!</definedName>
    <definedName name="_______e00001" localSheetId="14">[2]Munka3!#REF!</definedName>
    <definedName name="_______e00001" localSheetId="18">[1]Munka3!#REF!</definedName>
    <definedName name="_______e00001">[1]Munka3!#REF!</definedName>
    <definedName name="______b00001" localSheetId="10">[1]Munka3!#REF!</definedName>
    <definedName name="______b00001" localSheetId="14">[2]Munka3!#REF!</definedName>
    <definedName name="______b00001" localSheetId="18">[1]Munka3!#REF!</definedName>
    <definedName name="______b00001">[1]Munka3!#REF!</definedName>
    <definedName name="______e00001" localSheetId="10">[1]Munka3!#REF!</definedName>
    <definedName name="______e00001" localSheetId="14">[2]Munka3!#REF!</definedName>
    <definedName name="______e00001" localSheetId="18">[1]Munka3!#REF!</definedName>
    <definedName name="______e00001">[1]Munka3!#REF!</definedName>
    <definedName name="_____b00001" localSheetId="10">[1]Munka3!#REF!</definedName>
    <definedName name="_____b00001" localSheetId="14">[2]Munka3!#REF!</definedName>
    <definedName name="_____b00001" localSheetId="18">[1]Munka3!#REF!</definedName>
    <definedName name="_____b00001">[1]Munka3!#REF!</definedName>
    <definedName name="_____e00001" localSheetId="10">[1]Munka3!#REF!</definedName>
    <definedName name="_____e00001" localSheetId="14">[2]Munka3!#REF!</definedName>
    <definedName name="_____e00001" localSheetId="18">[1]Munka3!#REF!</definedName>
    <definedName name="_____e00001">[1]Munka3!#REF!</definedName>
    <definedName name="____b00001" localSheetId="10">[1]Munka3!#REF!</definedName>
    <definedName name="____b00001" localSheetId="14">[2]Munka3!#REF!</definedName>
    <definedName name="____b00001" localSheetId="18">[1]Munka3!#REF!</definedName>
    <definedName name="____b00001">[1]Munka3!#REF!</definedName>
    <definedName name="____e00001" localSheetId="10">[1]Munka3!#REF!</definedName>
    <definedName name="____e00001" localSheetId="14">[2]Munka3!#REF!</definedName>
    <definedName name="____e00001" localSheetId="18">[1]Munka3!#REF!</definedName>
    <definedName name="____e00001">[1]Munka3!#REF!</definedName>
    <definedName name="___b00001" localSheetId="10">[1]Munka3!#REF!</definedName>
    <definedName name="___b00001" localSheetId="14">[2]Munka3!#REF!</definedName>
    <definedName name="___b00001" localSheetId="18">[1]Munka3!#REF!</definedName>
    <definedName name="___b00001">[1]Munka3!#REF!</definedName>
    <definedName name="___e00001" localSheetId="10">[1]Munka3!#REF!</definedName>
    <definedName name="___e00001" localSheetId="14">[2]Munka3!#REF!</definedName>
    <definedName name="___e00001" localSheetId="18">[1]Munka3!#REF!</definedName>
    <definedName name="___e00001">[1]Munka3!#REF!</definedName>
    <definedName name="__b00001" localSheetId="10">[1]Munka3!#REF!</definedName>
    <definedName name="__b00001" localSheetId="14">[2]Munka3!#REF!</definedName>
    <definedName name="__b00001" localSheetId="18">[1]Munka3!#REF!</definedName>
    <definedName name="__b00001">[1]Munka3!#REF!</definedName>
    <definedName name="__e00001" localSheetId="10">[1]Munka3!#REF!</definedName>
    <definedName name="__e00001" localSheetId="14">[2]Munka3!#REF!</definedName>
    <definedName name="__e00001" localSheetId="18">[1]Munka3!#REF!</definedName>
    <definedName name="__e00001">[1]Munka3!#REF!</definedName>
    <definedName name="_b00001" localSheetId="10">[1]Munka3!#REF!</definedName>
    <definedName name="_b00001" localSheetId="14">[2]Munka3!#REF!</definedName>
    <definedName name="_b00001" localSheetId="18">[1]Munka3!#REF!</definedName>
    <definedName name="_b00001">[1]Munka3!#REF!</definedName>
    <definedName name="_bev">[2]Munka3!#REF!</definedName>
    <definedName name="_e00001" localSheetId="10">[1]Munka3!#REF!</definedName>
    <definedName name="_e00001" localSheetId="14">[2]Munka3!#REF!</definedName>
    <definedName name="_e00001" localSheetId="18">[1]Munka3!#REF!</definedName>
    <definedName name="_e00001">[1]Munka3!#REF!</definedName>
    <definedName name="_e00002">[1]Munka3!#REF!</definedName>
    <definedName name="_Kiad">[1]Munka3!#REF!</definedName>
    <definedName name="b0000" localSheetId="10">[2]Munka3!#REF!</definedName>
    <definedName name="b0000" localSheetId="14">[2]Munka3!#REF!</definedName>
    <definedName name="b0000" localSheetId="18">[2]Munka3!#REF!</definedName>
    <definedName name="b0000">[2]Munka3!#REF!</definedName>
    <definedName name="b00000" localSheetId="0">[1]Munka3!#REF!</definedName>
    <definedName name="b00000" localSheetId="9">[1]Munka3!#REF!</definedName>
    <definedName name="b00000" localSheetId="10">[2]Munka3!#REF!</definedName>
    <definedName name="b00000" localSheetId="13">[1]Munka3!#REF!</definedName>
    <definedName name="b00000" localSheetId="14">[2]Munka3!#REF!</definedName>
    <definedName name="b00000" localSheetId="1">[1]Munka3!#REF!</definedName>
    <definedName name="b00000" localSheetId="18">[2]Munka3!#REF!</definedName>
    <definedName name="b00000">[2]Munka3!#REF!</definedName>
    <definedName name="Bev">[2]Munka3!#REF!</definedName>
    <definedName name="bevetel">[2]Munka3!#REF!</definedName>
    <definedName name="Bevétel">[2]Munka3!#REF!</definedName>
    <definedName name="c0000">[2]Munka3!#REF!</definedName>
    <definedName name="c00000" localSheetId="10">[2]Munka3!#REF!</definedName>
    <definedName name="c00000" localSheetId="14">[2]Munka3!#REF!</definedName>
    <definedName name="c00000" localSheetId="18">[2]Munka3!#REF!</definedName>
    <definedName name="c00000">[2]Munka3!#REF!</definedName>
    <definedName name="d0000">[2]Munka3!#REF!</definedName>
    <definedName name="e_00002" localSheetId="18">[1]Munka3!#REF!</definedName>
    <definedName name="e_00002">[1]Munka3!#REF!</definedName>
    <definedName name="E00000" localSheetId="0">[1]Munka3!#REF!</definedName>
    <definedName name="E00000" localSheetId="9">[1]Munka3!#REF!</definedName>
    <definedName name="E00000" localSheetId="10">[2]Munka3!#REF!</definedName>
    <definedName name="E00000" localSheetId="13">[1]Munka3!#REF!</definedName>
    <definedName name="E00000" localSheetId="14">[2]Munka3!#REF!</definedName>
    <definedName name="E00000" localSheetId="1">[1]Munka3!#REF!</definedName>
    <definedName name="E00000" localSheetId="18">[2]Munka3!#REF!</definedName>
    <definedName name="E00000">[2]Munka3!#REF!</definedName>
    <definedName name="előirányzat">[2]Munka3!#REF!</definedName>
    <definedName name="este" localSheetId="18">[1]Munka3!#REF!</definedName>
    <definedName name="este">[1]Munka3!#REF!</definedName>
    <definedName name="fejl">[1]Munka3!#REF!</definedName>
    <definedName name="jav_előirányzatfelhasz" localSheetId="18">[1]Munka3!#REF!</definedName>
    <definedName name="jav_előirányzatfelhasz">[1]Munka3!#REF!</definedName>
    <definedName name="javítás" localSheetId="18">[1]Munka3!#REF!</definedName>
    <definedName name="javítás">[1]Munka3!#REF!</definedName>
    <definedName name="Ki">[1]Munka3!#REF!</definedName>
    <definedName name="kiad">[1]Munka3!#REF!</definedName>
    <definedName name="kiadás">[2]Munka3!#REF!</definedName>
    <definedName name="létszám" localSheetId="10">[2]Munka3!#REF!</definedName>
    <definedName name="létszám" localSheetId="14">[2]Munka3!#REF!</definedName>
    <definedName name="létszám" localSheetId="18">[2]Munka3!#REF!</definedName>
    <definedName name="létszám">[2]Munka3!#REF!</definedName>
    <definedName name="Norm.2014" localSheetId="10">[2]Munka3!#REF!</definedName>
    <definedName name="Norm.2014" localSheetId="11">[2]Munka3!#REF!</definedName>
    <definedName name="Norm.2014" localSheetId="12">[2]Munka3!#REF!</definedName>
    <definedName name="Norm.2014" localSheetId="14">[2]Munka3!#REF!</definedName>
    <definedName name="Norm.2014" localSheetId="15">[2]Munka3!#REF!</definedName>
    <definedName name="Norm.2014" localSheetId="17">[2]Munka3!#REF!</definedName>
    <definedName name="Norm.2014" localSheetId="18">[2]Munka3!#REF!</definedName>
    <definedName name="Norm.2014" localSheetId="5">[2]Munka3!#REF!</definedName>
    <definedName name="Norm.2014">[1]Munka3!#REF!</definedName>
    <definedName name="_xlnm.Print_Titles" localSheetId="0">'1 bevétel (kötelező,önként)'!$A:$B,'1 bevétel (kötelező,önként)'!$1:$8</definedName>
    <definedName name="_xlnm.Print_Titles" localSheetId="9">'10 ök kiadás'!$1:$6</definedName>
    <definedName name="_xlnm.Print_Titles" localSheetId="10">'11melléklet '!$1:$3</definedName>
    <definedName name="_xlnm.Print_Titles" localSheetId="11">'12 fejlesztés '!$1:$3</definedName>
    <definedName name="_xlnm.Print_Titles" localSheetId="12">'14 Ktg.szervek felúj.'!$3:$3</definedName>
    <definedName name="_xlnm.Print_Titles" localSheetId="1">'2 kiadás (kötelező, önként)'!$A:$B</definedName>
    <definedName name="_xlnm.Print_Titles" localSheetId="2">'3 bevétel(szűkített)'!$1:$8</definedName>
    <definedName name="_xlnm.Print_Titles" localSheetId="6">'7 int. bevétel'!$A:$B,'7 int. bevétel'!$1:$5</definedName>
    <definedName name="_xlnm.Print_Titles" localSheetId="7">'8 int kiadás'!$1:$6</definedName>
    <definedName name="_xlnm.Print_Area" localSheetId="0">'1 bevétel (kötelező,önként)'!$A$1:$AL$64</definedName>
    <definedName name="_xlnm.Print_Area" localSheetId="9">'10 ök kiadás'!$A$1:$P$437</definedName>
    <definedName name="_xlnm.Print_Area" localSheetId="10">'11melléklet '!$A$1:$K$254</definedName>
    <definedName name="_xlnm.Print_Area" localSheetId="11">'12 fejlesztés '!$A$1:$D$100</definedName>
    <definedName name="_xlnm.Print_Area" localSheetId="14">'17előirányzat felhasz. '!$A$3:$N$30</definedName>
    <definedName name="_xlnm.Print_Area" localSheetId="15">'18többéves'!$A$1:$G$33</definedName>
    <definedName name="_xlnm.Print_Area" localSheetId="17">'22 TFA'!$A$1:$E$9</definedName>
    <definedName name="_xlnm.Print_Area" localSheetId="2">'3 bevétel(szűkített)'!$A$1:$K$64</definedName>
    <definedName name="_xlnm.Print_Area" localSheetId="3">'4 kiadás(szűkített)'!$A$1:$K$26</definedName>
    <definedName name="_xlnm.Print_Area" localSheetId="6">'7 int. bevétel'!$A$1:$O$655</definedName>
    <definedName name="_xlnm.Print_Area" localSheetId="7">'8 int kiadás'!$A$1:$O$681</definedName>
  </definedNames>
  <calcPr calcId="191029"/>
</workbook>
</file>

<file path=xl/calcChain.xml><?xml version="1.0" encoding="utf-8"?>
<calcChain xmlns="http://schemas.openxmlformats.org/spreadsheetml/2006/main">
  <c r="I23" i="323" l="1"/>
  <c r="C15" i="323"/>
  <c r="C20" i="323"/>
  <c r="C16" i="323"/>
  <c r="C14" i="323"/>
  <c r="C7" i="323"/>
  <c r="C8" i="323"/>
  <c r="C9" i="323"/>
  <c r="D46" i="239"/>
  <c r="E46" i="239"/>
  <c r="G46" i="239"/>
  <c r="H46" i="239"/>
  <c r="I46" i="239"/>
  <c r="O46" i="239"/>
  <c r="P46" i="239"/>
  <c r="Q46" i="239"/>
  <c r="S46" i="239"/>
  <c r="T46" i="239"/>
  <c r="U46" i="239"/>
  <c r="C46" i="239"/>
  <c r="AG44" i="239"/>
  <c r="AF44" i="239"/>
  <c r="AE44" i="239"/>
  <c r="AC44" i="239"/>
  <c r="AB44" i="239"/>
  <c r="AA44" i="239"/>
  <c r="Y44" i="239"/>
  <c r="X44" i="239"/>
  <c r="W44" i="239"/>
  <c r="Z44" i="239" s="1"/>
  <c r="V44" i="239"/>
  <c r="R44" i="239"/>
  <c r="M44" i="239"/>
  <c r="L44" i="239"/>
  <c r="K44" i="239"/>
  <c r="J44" i="239"/>
  <c r="F44" i="239"/>
  <c r="AD44" i="239" s="1"/>
  <c r="J44" i="261"/>
  <c r="I44" i="261"/>
  <c r="H44" i="261"/>
  <c r="E44" i="261"/>
  <c r="K44" i="261" s="1"/>
  <c r="D46" i="261"/>
  <c r="F46" i="261"/>
  <c r="G46" i="261"/>
  <c r="C46" i="261"/>
  <c r="N44" i="239" l="1"/>
  <c r="AL44" i="239" s="1"/>
  <c r="AJ44" i="239"/>
  <c r="AH44" i="239"/>
  <c r="AK44" i="239"/>
  <c r="AI44" i="239"/>
  <c r="E42" i="337"/>
  <c r="D42" i="337"/>
  <c r="C42" i="337"/>
  <c r="B42" i="337"/>
  <c r="E33" i="337"/>
  <c r="D33" i="337"/>
  <c r="C32" i="337"/>
  <c r="B32" i="337"/>
  <c r="E31" i="337"/>
  <c r="D31" i="337"/>
  <c r="E29" i="337"/>
  <c r="E32" i="337" s="1"/>
  <c r="D29" i="337"/>
  <c r="E22" i="337"/>
  <c r="D22" i="337"/>
  <c r="C22" i="337"/>
  <c r="B22" i="337"/>
  <c r="E18" i="337"/>
  <c r="E27" i="337" s="1"/>
  <c r="D18" i="337"/>
  <c r="D27" i="337" s="1"/>
  <c r="C18" i="337"/>
  <c r="C27" i="337" s="1"/>
  <c r="C28" i="337" s="1"/>
  <c r="C43" i="337" s="1"/>
  <c r="C45" i="337" s="1"/>
  <c r="B18" i="337"/>
  <c r="B27" i="337" s="1"/>
  <c r="B28" i="337" s="1"/>
  <c r="B43" i="337" s="1"/>
  <c r="B45" i="337" s="1"/>
  <c r="C14" i="337"/>
  <c r="B14" i="337"/>
  <c r="E13" i="337"/>
  <c r="D13" i="337"/>
  <c r="E12" i="337"/>
  <c r="D12" i="337"/>
  <c r="E11" i="337"/>
  <c r="D11" i="337"/>
  <c r="E10" i="337"/>
  <c r="D10" i="337"/>
  <c r="E9" i="337"/>
  <c r="D9" i="337"/>
  <c r="E8" i="337"/>
  <c r="D8" i="337"/>
  <c r="C7" i="337"/>
  <c r="B7" i="337"/>
  <c r="E6" i="337"/>
  <c r="E7" i="337" s="1"/>
  <c r="D6" i="337"/>
  <c r="D7" i="337" s="1"/>
  <c r="D14" i="337" l="1"/>
  <c r="D28" i="337" s="1"/>
  <c r="D43" i="337" s="1"/>
  <c r="D45" i="337" s="1"/>
  <c r="E14" i="337"/>
  <c r="E28" i="337" s="1"/>
  <c r="E43" i="337" s="1"/>
  <c r="E45" i="337" s="1"/>
  <c r="D32" i="337"/>
  <c r="E5" i="336" l="1"/>
  <c r="G5" i="336" s="1"/>
  <c r="E6" i="336"/>
  <c r="G6" i="336" s="1"/>
  <c r="I6" i="336" s="1"/>
  <c r="K6" i="336" s="1"/>
  <c r="M6" i="336" s="1"/>
  <c r="B7" i="336"/>
  <c r="C7" i="336"/>
  <c r="D7" i="336"/>
  <c r="F7" i="336"/>
  <c r="H7" i="336"/>
  <c r="H28" i="336" s="1"/>
  <c r="H43" i="336" s="1"/>
  <c r="H45" i="336" s="1"/>
  <c r="J7" i="336"/>
  <c r="L7" i="336"/>
  <c r="E8" i="336"/>
  <c r="G8" i="336" s="1"/>
  <c r="E9" i="336"/>
  <c r="G9" i="336"/>
  <c r="I9" i="336" s="1"/>
  <c r="K9" i="336" s="1"/>
  <c r="M9" i="336" s="1"/>
  <c r="E10" i="336"/>
  <c r="G10" i="336" s="1"/>
  <c r="I10" i="336" s="1"/>
  <c r="K10" i="336" s="1"/>
  <c r="M10" i="336" s="1"/>
  <c r="E11" i="336"/>
  <c r="G11" i="336"/>
  <c r="I11" i="336" s="1"/>
  <c r="K11" i="336" s="1"/>
  <c r="M11" i="336" s="1"/>
  <c r="E12" i="336"/>
  <c r="G12" i="336" s="1"/>
  <c r="I12" i="336" s="1"/>
  <c r="K12" i="336" s="1"/>
  <c r="M12" i="336" s="1"/>
  <c r="E13" i="336"/>
  <c r="G13" i="336" s="1"/>
  <c r="I13" i="336" s="1"/>
  <c r="K13" i="336" s="1"/>
  <c r="M13" i="336" s="1"/>
  <c r="B14" i="336"/>
  <c r="C14" i="336"/>
  <c r="D14" i="336"/>
  <c r="F14" i="336"/>
  <c r="H14" i="336"/>
  <c r="J14" i="336"/>
  <c r="L14" i="336"/>
  <c r="E15" i="336"/>
  <c r="G15" i="336" s="1"/>
  <c r="E16" i="336"/>
  <c r="G16" i="336"/>
  <c r="I16" i="336" s="1"/>
  <c r="K16" i="336" s="1"/>
  <c r="M16" i="336" s="1"/>
  <c r="E17" i="336"/>
  <c r="G17" i="336" s="1"/>
  <c r="I17" i="336" s="1"/>
  <c r="K17" i="336" s="1"/>
  <c r="M17" i="336" s="1"/>
  <c r="E18" i="336"/>
  <c r="G18" i="336"/>
  <c r="I18" i="336" s="1"/>
  <c r="K18" i="336" s="1"/>
  <c r="M18" i="336" s="1"/>
  <c r="E19" i="336"/>
  <c r="G19" i="336" s="1"/>
  <c r="I19" i="336" s="1"/>
  <c r="K19" i="336" s="1"/>
  <c r="M19" i="336" s="1"/>
  <c r="E20" i="336"/>
  <c r="G20" i="336" s="1"/>
  <c r="I20" i="336" s="1"/>
  <c r="K20" i="336" s="1"/>
  <c r="M20" i="336" s="1"/>
  <c r="E21" i="336"/>
  <c r="G21" i="336" s="1"/>
  <c r="I21" i="336" s="1"/>
  <c r="K21" i="336" s="1"/>
  <c r="M21" i="336" s="1"/>
  <c r="E22" i="336"/>
  <c r="G22" i="336"/>
  <c r="I22" i="336" s="1"/>
  <c r="K22" i="336" s="1"/>
  <c r="M22" i="336" s="1"/>
  <c r="E23" i="336"/>
  <c r="G23" i="336" s="1"/>
  <c r="I23" i="336" s="1"/>
  <c r="K23" i="336" s="1"/>
  <c r="M23" i="336" s="1"/>
  <c r="E24" i="336"/>
  <c r="G24" i="336" s="1"/>
  <c r="I24" i="336" s="1"/>
  <c r="K24" i="336" s="1"/>
  <c r="M24" i="336" s="1"/>
  <c r="E25" i="336"/>
  <c r="G25" i="336" s="1"/>
  <c r="I25" i="336" s="1"/>
  <c r="K25" i="336" s="1"/>
  <c r="M25" i="336" s="1"/>
  <c r="E26" i="336"/>
  <c r="G26" i="336" s="1"/>
  <c r="I26" i="336" s="1"/>
  <c r="K26" i="336" s="1"/>
  <c r="M26" i="336" s="1"/>
  <c r="B27" i="336"/>
  <c r="B28" i="336" s="1"/>
  <c r="B43" i="336" s="1"/>
  <c r="B45" i="336" s="1"/>
  <c r="C27" i="336"/>
  <c r="C28" i="336" s="1"/>
  <c r="D27" i="336"/>
  <c r="E27" i="336" s="1"/>
  <c r="F27" i="336"/>
  <c r="F28" i="336" s="1"/>
  <c r="F43" i="336" s="1"/>
  <c r="F45" i="336" s="1"/>
  <c r="H27" i="336"/>
  <c r="J27" i="336"/>
  <c r="L27" i="336"/>
  <c r="J28" i="336"/>
  <c r="E29" i="336"/>
  <c r="G29" i="336" s="1"/>
  <c r="E30" i="336"/>
  <c r="E31" i="336"/>
  <c r="G31" i="336" s="1"/>
  <c r="I31" i="336" s="1"/>
  <c r="K31" i="336" s="1"/>
  <c r="M31" i="336" s="1"/>
  <c r="B32" i="336"/>
  <c r="C32" i="336"/>
  <c r="D32" i="336"/>
  <c r="F32" i="336"/>
  <c r="H32" i="336"/>
  <c r="J32" i="336"/>
  <c r="L32" i="336"/>
  <c r="E33" i="336"/>
  <c r="G33" i="336" s="1"/>
  <c r="I33" i="336" s="1"/>
  <c r="K33" i="336" s="1"/>
  <c r="M33" i="336" s="1"/>
  <c r="E34" i="336"/>
  <c r="G34" i="336" s="1"/>
  <c r="E35" i="336"/>
  <c r="G35" i="336"/>
  <c r="I35" i="336" s="1"/>
  <c r="K35" i="336" s="1"/>
  <c r="M35" i="336" s="1"/>
  <c r="B36" i="336"/>
  <c r="B42" i="336" s="1"/>
  <c r="C36" i="336"/>
  <c r="E36" i="336" s="1"/>
  <c r="G36" i="336" s="1"/>
  <c r="I36" i="336" s="1"/>
  <c r="K36" i="336" s="1"/>
  <c r="M36" i="336" s="1"/>
  <c r="E37" i="336"/>
  <c r="G37" i="336" s="1"/>
  <c r="I37" i="336" s="1"/>
  <c r="K37" i="336" s="1"/>
  <c r="M37" i="336" s="1"/>
  <c r="E38" i="336"/>
  <c r="G38" i="336" s="1"/>
  <c r="I38" i="336" s="1"/>
  <c r="K38" i="336" s="1"/>
  <c r="M38" i="336" s="1"/>
  <c r="E39" i="336"/>
  <c r="G39" i="336"/>
  <c r="I39" i="336" s="1"/>
  <c r="K39" i="336" s="1"/>
  <c r="M39" i="336" s="1"/>
  <c r="E40" i="336"/>
  <c r="G40" i="336" s="1"/>
  <c r="I40" i="336" s="1"/>
  <c r="K40" i="336" s="1"/>
  <c r="M40" i="336" s="1"/>
  <c r="E41" i="336"/>
  <c r="G41" i="336" s="1"/>
  <c r="I41" i="336" s="1"/>
  <c r="K41" i="336" s="1"/>
  <c r="M41" i="336" s="1"/>
  <c r="D42" i="336"/>
  <c r="F42" i="336"/>
  <c r="H42" i="336"/>
  <c r="J42" i="336"/>
  <c r="L42" i="336"/>
  <c r="E44" i="336"/>
  <c r="G44" i="336" s="1"/>
  <c r="E14" i="336" l="1"/>
  <c r="E7" i="336"/>
  <c r="E32" i="336"/>
  <c r="C42" i="336"/>
  <c r="C43" i="336" s="1"/>
  <c r="C45" i="336" s="1"/>
  <c r="L28" i="336"/>
  <c r="L43" i="336" s="1"/>
  <c r="L45" i="336" s="1"/>
  <c r="J43" i="336"/>
  <c r="J45" i="336" s="1"/>
  <c r="I34" i="336"/>
  <c r="G42" i="336"/>
  <c r="G32" i="336"/>
  <c r="I29" i="336"/>
  <c r="G27" i="336"/>
  <c r="I15" i="336"/>
  <c r="G14" i="336"/>
  <c r="I8" i="336"/>
  <c r="I44" i="336"/>
  <c r="I5" i="336"/>
  <c r="G7" i="336"/>
  <c r="D28" i="336"/>
  <c r="N635" i="335"/>
  <c r="M635" i="335"/>
  <c r="I635" i="335"/>
  <c r="H635" i="335"/>
  <c r="G635" i="335"/>
  <c r="F635" i="335"/>
  <c r="F653" i="335" s="1"/>
  <c r="E635" i="335"/>
  <c r="D635" i="335"/>
  <c r="C635" i="335"/>
  <c r="N634" i="335"/>
  <c r="N653" i="335" s="1"/>
  <c r="M634" i="335"/>
  <c r="M653" i="335" s="1"/>
  <c r="I634" i="335"/>
  <c r="I653" i="335" s="1"/>
  <c r="H634" i="335"/>
  <c r="H653" i="335" s="1"/>
  <c r="G634" i="335"/>
  <c r="F634" i="335"/>
  <c r="E634" i="335"/>
  <c r="E653" i="335" s="1"/>
  <c r="D634" i="335"/>
  <c r="D653" i="335" s="1"/>
  <c r="C634" i="335"/>
  <c r="N632" i="335"/>
  <c r="M632" i="335"/>
  <c r="I632" i="335"/>
  <c r="H632" i="335"/>
  <c r="G632" i="335"/>
  <c r="F632" i="335"/>
  <c r="E632" i="335"/>
  <c r="D632" i="335"/>
  <c r="C632" i="335"/>
  <c r="N631" i="335"/>
  <c r="M631" i="335"/>
  <c r="I631" i="335"/>
  <c r="H631" i="335"/>
  <c r="G631" i="335"/>
  <c r="F631" i="335"/>
  <c r="E631" i="335"/>
  <c r="D631" i="335"/>
  <c r="C631" i="335"/>
  <c r="N630" i="335"/>
  <c r="M630" i="335"/>
  <c r="I630" i="335"/>
  <c r="H630" i="335"/>
  <c r="G630" i="335"/>
  <c r="F630" i="335"/>
  <c r="E630" i="335"/>
  <c r="D630" i="335"/>
  <c r="C630" i="335"/>
  <c r="N629" i="335"/>
  <c r="M629" i="335"/>
  <c r="K629" i="335"/>
  <c r="I629" i="335"/>
  <c r="H629" i="335"/>
  <c r="G629" i="335"/>
  <c r="F629" i="335"/>
  <c r="E629" i="335"/>
  <c r="D629" i="335"/>
  <c r="C629" i="335"/>
  <c r="N628" i="335"/>
  <c r="M628" i="335"/>
  <c r="I628" i="335"/>
  <c r="H628" i="335"/>
  <c r="G628" i="335"/>
  <c r="F628" i="335"/>
  <c r="E628" i="335"/>
  <c r="D628" i="335"/>
  <c r="C628" i="335"/>
  <c r="N627" i="335"/>
  <c r="M627" i="335"/>
  <c r="I627" i="335"/>
  <c r="H627" i="335"/>
  <c r="G627" i="335"/>
  <c r="F627" i="335"/>
  <c r="E627" i="335"/>
  <c r="D627" i="335"/>
  <c r="C627" i="335"/>
  <c r="N626" i="335"/>
  <c r="M626" i="335"/>
  <c r="I626" i="335"/>
  <c r="H626" i="335"/>
  <c r="G626" i="335"/>
  <c r="F626" i="335"/>
  <c r="E626" i="335"/>
  <c r="D626" i="335"/>
  <c r="C626" i="335"/>
  <c r="N625" i="335"/>
  <c r="M625" i="335"/>
  <c r="I625" i="335"/>
  <c r="H625" i="335"/>
  <c r="G625" i="335"/>
  <c r="F625" i="335"/>
  <c r="E625" i="335"/>
  <c r="D625" i="335"/>
  <c r="C625" i="335"/>
  <c r="N624" i="335"/>
  <c r="M624" i="335"/>
  <c r="I624" i="335"/>
  <c r="H624" i="335"/>
  <c r="G624" i="335"/>
  <c r="F624" i="335"/>
  <c r="E624" i="335"/>
  <c r="D624" i="335"/>
  <c r="C624" i="335"/>
  <c r="N623" i="335"/>
  <c r="M623" i="335"/>
  <c r="I623" i="335"/>
  <c r="H623" i="335"/>
  <c r="G623" i="335"/>
  <c r="F623" i="335"/>
  <c r="E623" i="335"/>
  <c r="D623" i="335"/>
  <c r="C623" i="335"/>
  <c r="N622" i="335"/>
  <c r="M622" i="335"/>
  <c r="I622" i="335"/>
  <c r="H622" i="335"/>
  <c r="G622" i="335"/>
  <c r="F622" i="335"/>
  <c r="E622" i="335"/>
  <c r="D622" i="335"/>
  <c r="C622" i="335"/>
  <c r="N621" i="335"/>
  <c r="M621" i="335"/>
  <c r="I621" i="335"/>
  <c r="H621" i="335"/>
  <c r="G621" i="335"/>
  <c r="F621" i="335"/>
  <c r="E621" i="335"/>
  <c r="D621" i="335"/>
  <c r="C621" i="335"/>
  <c r="N620" i="335"/>
  <c r="M620" i="335"/>
  <c r="I620" i="335"/>
  <c r="H620" i="335"/>
  <c r="G620" i="335"/>
  <c r="F620" i="335"/>
  <c r="E620" i="335"/>
  <c r="D620" i="335"/>
  <c r="C620" i="335"/>
  <c r="N619" i="335"/>
  <c r="M619" i="335"/>
  <c r="I619" i="335"/>
  <c r="H619" i="335"/>
  <c r="G619" i="335"/>
  <c r="F619" i="335"/>
  <c r="E619" i="335"/>
  <c r="D619" i="335"/>
  <c r="C619" i="335"/>
  <c r="N618" i="335"/>
  <c r="M618" i="335"/>
  <c r="I618" i="335"/>
  <c r="H618" i="335"/>
  <c r="G618" i="335"/>
  <c r="F618" i="335"/>
  <c r="E618" i="335"/>
  <c r="D618" i="335"/>
  <c r="C618" i="335"/>
  <c r="N617" i="335"/>
  <c r="M617" i="335"/>
  <c r="I617" i="335"/>
  <c r="H617" i="335"/>
  <c r="G617" i="335"/>
  <c r="F617" i="335"/>
  <c r="E617" i="335"/>
  <c r="D617" i="335"/>
  <c r="C617" i="335"/>
  <c r="N616" i="335"/>
  <c r="M616" i="335"/>
  <c r="I616" i="335"/>
  <c r="H616" i="335"/>
  <c r="G616" i="335"/>
  <c r="F616" i="335"/>
  <c r="E616" i="335"/>
  <c r="D616" i="335"/>
  <c r="C616" i="335"/>
  <c r="N615" i="335"/>
  <c r="M615" i="335"/>
  <c r="I615" i="335"/>
  <c r="H615" i="335"/>
  <c r="G615" i="335"/>
  <c r="F615" i="335"/>
  <c r="E615" i="335"/>
  <c r="D615" i="335"/>
  <c r="C615" i="335"/>
  <c r="N614" i="335"/>
  <c r="M614" i="335"/>
  <c r="I614" i="335"/>
  <c r="H614" i="335"/>
  <c r="G614" i="335"/>
  <c r="F614" i="335"/>
  <c r="E614" i="335"/>
  <c r="D614" i="335"/>
  <c r="C614" i="335"/>
  <c r="N613" i="335"/>
  <c r="M613" i="335"/>
  <c r="I613" i="335"/>
  <c r="H613" i="335"/>
  <c r="G613" i="335"/>
  <c r="F613" i="335"/>
  <c r="E613" i="335"/>
  <c r="D613" i="335"/>
  <c r="C613" i="335"/>
  <c r="N612" i="335"/>
  <c r="M612" i="335"/>
  <c r="I612" i="335"/>
  <c r="H612" i="335"/>
  <c r="G612" i="335"/>
  <c r="F612" i="335"/>
  <c r="E612" i="335"/>
  <c r="D612" i="335"/>
  <c r="C612" i="335"/>
  <c r="N611" i="335"/>
  <c r="M611" i="335"/>
  <c r="I611" i="335"/>
  <c r="H611" i="335"/>
  <c r="G611" i="335"/>
  <c r="F611" i="335"/>
  <c r="E611" i="335"/>
  <c r="D611" i="335"/>
  <c r="C611" i="335"/>
  <c r="N610" i="335"/>
  <c r="M610" i="335"/>
  <c r="I610" i="335"/>
  <c r="H610" i="335"/>
  <c r="G610" i="335"/>
  <c r="F610" i="335"/>
  <c r="E610" i="335"/>
  <c r="D610" i="335"/>
  <c r="C610" i="335"/>
  <c r="N609" i="335"/>
  <c r="M609" i="335"/>
  <c r="I609" i="335"/>
  <c r="I652" i="335" s="1"/>
  <c r="H609" i="335"/>
  <c r="G609" i="335"/>
  <c r="F609" i="335"/>
  <c r="E609" i="335"/>
  <c r="D609" i="335"/>
  <c r="C609" i="335"/>
  <c r="N607" i="335"/>
  <c r="M607" i="335"/>
  <c r="I607" i="335"/>
  <c r="H607" i="335"/>
  <c r="G607" i="335"/>
  <c r="F607" i="335"/>
  <c r="E607" i="335"/>
  <c r="D607" i="335"/>
  <c r="C607" i="335"/>
  <c r="N606" i="335"/>
  <c r="M606" i="335"/>
  <c r="I606" i="335"/>
  <c r="H606" i="335"/>
  <c r="G606" i="335"/>
  <c r="F606" i="335"/>
  <c r="E606" i="335"/>
  <c r="D606" i="335"/>
  <c r="C606" i="335"/>
  <c r="N605" i="335"/>
  <c r="M605" i="335"/>
  <c r="I605" i="335"/>
  <c r="H605" i="335"/>
  <c r="G605" i="335"/>
  <c r="F605" i="335"/>
  <c r="E605" i="335"/>
  <c r="D605" i="335"/>
  <c r="C605" i="335"/>
  <c r="N604" i="335"/>
  <c r="M604" i="335"/>
  <c r="I604" i="335"/>
  <c r="H604" i="335"/>
  <c r="G604" i="335"/>
  <c r="F604" i="335"/>
  <c r="E604" i="335"/>
  <c r="D604" i="335"/>
  <c r="C604" i="335"/>
  <c r="N603" i="335"/>
  <c r="M603" i="335"/>
  <c r="I603" i="335"/>
  <c r="H603" i="335"/>
  <c r="G603" i="335"/>
  <c r="F603" i="335"/>
  <c r="E603" i="335"/>
  <c r="D603" i="335"/>
  <c r="C603" i="335"/>
  <c r="N602" i="335"/>
  <c r="M602" i="335"/>
  <c r="I602" i="335"/>
  <c r="H602" i="335"/>
  <c r="G602" i="335"/>
  <c r="F602" i="335"/>
  <c r="E602" i="335"/>
  <c r="D602" i="335"/>
  <c r="C602" i="335"/>
  <c r="N601" i="335"/>
  <c r="M601" i="335"/>
  <c r="I601" i="335"/>
  <c r="H601" i="335"/>
  <c r="G601" i="335"/>
  <c r="F601" i="335"/>
  <c r="E601" i="335"/>
  <c r="D601" i="335"/>
  <c r="C601" i="335"/>
  <c r="N600" i="335"/>
  <c r="M600" i="335"/>
  <c r="I600" i="335"/>
  <c r="H600" i="335"/>
  <c r="G600" i="335"/>
  <c r="F600" i="335"/>
  <c r="E600" i="335"/>
  <c r="D600" i="335"/>
  <c r="C600" i="335"/>
  <c r="N599" i="335"/>
  <c r="M599" i="335"/>
  <c r="I599" i="335"/>
  <c r="H599" i="335"/>
  <c r="G599" i="335"/>
  <c r="F599" i="335"/>
  <c r="E599" i="335"/>
  <c r="D599" i="335"/>
  <c r="C599" i="335"/>
  <c r="N598" i="335"/>
  <c r="M598" i="335"/>
  <c r="I598" i="335"/>
  <c r="H598" i="335"/>
  <c r="G598" i="335"/>
  <c r="F598" i="335"/>
  <c r="E598" i="335"/>
  <c r="D598" i="335"/>
  <c r="C598" i="335"/>
  <c r="N597" i="335"/>
  <c r="M597" i="335"/>
  <c r="I597" i="335"/>
  <c r="H597" i="335"/>
  <c r="G597" i="335"/>
  <c r="F597" i="335"/>
  <c r="E597" i="335"/>
  <c r="D597" i="335"/>
  <c r="C597" i="335"/>
  <c r="N596" i="335"/>
  <c r="M596" i="335"/>
  <c r="I596" i="335"/>
  <c r="H596" i="335"/>
  <c r="G596" i="335"/>
  <c r="F596" i="335"/>
  <c r="E596" i="335"/>
  <c r="D596" i="335"/>
  <c r="C596" i="335"/>
  <c r="N595" i="335"/>
  <c r="M595" i="335"/>
  <c r="I595" i="335"/>
  <c r="H595" i="335"/>
  <c r="G595" i="335"/>
  <c r="F595" i="335"/>
  <c r="E595" i="335"/>
  <c r="D595" i="335"/>
  <c r="C595" i="335"/>
  <c r="N594" i="335"/>
  <c r="M594" i="335"/>
  <c r="I594" i="335"/>
  <c r="H594" i="335"/>
  <c r="G594" i="335"/>
  <c r="F594" i="335"/>
  <c r="E594" i="335"/>
  <c r="D594" i="335"/>
  <c r="C594" i="335"/>
  <c r="N593" i="335"/>
  <c r="M593" i="335"/>
  <c r="I593" i="335"/>
  <c r="H593" i="335"/>
  <c r="G593" i="335"/>
  <c r="F593" i="335"/>
  <c r="E593" i="335"/>
  <c r="D593" i="335"/>
  <c r="C593" i="335"/>
  <c r="N592" i="335"/>
  <c r="M592" i="335"/>
  <c r="I592" i="335"/>
  <c r="H592" i="335"/>
  <c r="G592" i="335"/>
  <c r="F592" i="335"/>
  <c r="E592" i="335"/>
  <c r="D592" i="335"/>
  <c r="C592" i="335"/>
  <c r="N591" i="335"/>
  <c r="M591" i="335"/>
  <c r="I591" i="335"/>
  <c r="H591" i="335"/>
  <c r="G591" i="335"/>
  <c r="F591" i="335"/>
  <c r="E591" i="335"/>
  <c r="D591" i="335"/>
  <c r="C591" i="335"/>
  <c r="N590" i="335"/>
  <c r="M590" i="335"/>
  <c r="I590" i="335"/>
  <c r="H590" i="335"/>
  <c r="G590" i="335"/>
  <c r="F590" i="335"/>
  <c r="E590" i="335"/>
  <c r="D590" i="335"/>
  <c r="C590" i="335"/>
  <c r="N589" i="335"/>
  <c r="M589" i="335"/>
  <c r="I589" i="335"/>
  <c r="H589" i="335"/>
  <c r="G589" i="335"/>
  <c r="F589" i="335"/>
  <c r="E589" i="335"/>
  <c r="D589" i="335"/>
  <c r="C589" i="335"/>
  <c r="N588" i="335"/>
  <c r="M588" i="335"/>
  <c r="I588" i="335"/>
  <c r="H588" i="335"/>
  <c r="G588" i="335"/>
  <c r="F588" i="335"/>
  <c r="E588" i="335"/>
  <c r="D588" i="335"/>
  <c r="C588" i="335"/>
  <c r="N587" i="335"/>
  <c r="M587" i="335"/>
  <c r="I587" i="335"/>
  <c r="H587" i="335"/>
  <c r="G587" i="335"/>
  <c r="F587" i="335"/>
  <c r="E587" i="335"/>
  <c r="D587" i="335"/>
  <c r="C587" i="335"/>
  <c r="N586" i="335"/>
  <c r="M586" i="335"/>
  <c r="I586" i="335"/>
  <c r="H586" i="335"/>
  <c r="G586" i="335"/>
  <c r="F586" i="335"/>
  <c r="E586" i="335"/>
  <c r="D586" i="335"/>
  <c r="C586" i="335"/>
  <c r="N582" i="335"/>
  <c r="N639" i="335" s="1"/>
  <c r="M582" i="335"/>
  <c r="M639" i="335" s="1"/>
  <c r="M647" i="335" s="1"/>
  <c r="I582" i="335"/>
  <c r="I639" i="335" s="1"/>
  <c r="H582" i="335"/>
  <c r="H639" i="335" s="1"/>
  <c r="H647" i="335" s="1"/>
  <c r="G582" i="335"/>
  <c r="G639" i="335" s="1"/>
  <c r="G647" i="335" s="1"/>
  <c r="F582" i="335"/>
  <c r="F639" i="335" s="1"/>
  <c r="F647" i="335" s="1"/>
  <c r="E582" i="335"/>
  <c r="E639" i="335" s="1"/>
  <c r="E647" i="335" s="1"/>
  <c r="D582" i="335"/>
  <c r="D639" i="335" s="1"/>
  <c r="C582" i="335"/>
  <c r="C639" i="335" s="1"/>
  <c r="C647" i="335" s="1"/>
  <c r="N581" i="335"/>
  <c r="M581" i="335"/>
  <c r="J581" i="335"/>
  <c r="I581" i="335"/>
  <c r="H581" i="335"/>
  <c r="G581" i="335"/>
  <c r="F581" i="335"/>
  <c r="E581" i="335"/>
  <c r="D581" i="335"/>
  <c r="C581" i="335"/>
  <c r="N580" i="335"/>
  <c r="M580" i="335"/>
  <c r="I580" i="335"/>
  <c r="H580" i="335"/>
  <c r="G580" i="335"/>
  <c r="F580" i="335"/>
  <c r="E580" i="335"/>
  <c r="D580" i="335"/>
  <c r="C580" i="335"/>
  <c r="G579" i="335"/>
  <c r="K578" i="335"/>
  <c r="J578" i="335"/>
  <c r="J635" i="335" s="1"/>
  <c r="K577" i="335"/>
  <c r="K634" i="335" s="1"/>
  <c r="J577" i="335"/>
  <c r="K575" i="335"/>
  <c r="K632" i="335" s="1"/>
  <c r="J575" i="335"/>
  <c r="J632" i="335" s="1"/>
  <c r="K573" i="335"/>
  <c r="K607" i="335" s="1"/>
  <c r="J573" i="335"/>
  <c r="J607" i="335" s="1"/>
  <c r="K572" i="335"/>
  <c r="J572" i="335"/>
  <c r="L572" i="335" s="1"/>
  <c r="O572" i="335" s="1"/>
  <c r="K570" i="335"/>
  <c r="J570" i="335"/>
  <c r="K569" i="335"/>
  <c r="K581" i="335" s="1"/>
  <c r="J569" i="335"/>
  <c r="K568" i="335"/>
  <c r="K580" i="335" s="1"/>
  <c r="J568" i="335"/>
  <c r="J580" i="335" s="1"/>
  <c r="N567" i="335"/>
  <c r="N579" i="335" s="1"/>
  <c r="M567" i="335"/>
  <c r="M579" i="335" s="1"/>
  <c r="I567" i="335"/>
  <c r="I579" i="335" s="1"/>
  <c r="H567" i="335"/>
  <c r="H579" i="335" s="1"/>
  <c r="G567" i="335"/>
  <c r="F567" i="335"/>
  <c r="F579" i="335" s="1"/>
  <c r="E567" i="335"/>
  <c r="E579" i="335" s="1"/>
  <c r="D567" i="335"/>
  <c r="C567" i="335"/>
  <c r="C579" i="335" s="1"/>
  <c r="N563" i="335"/>
  <c r="M563" i="335"/>
  <c r="I563" i="335"/>
  <c r="H563" i="335"/>
  <c r="G563" i="335"/>
  <c r="F563" i="335"/>
  <c r="E563" i="335"/>
  <c r="D563" i="335"/>
  <c r="C563" i="335"/>
  <c r="N562" i="335"/>
  <c r="M562" i="335"/>
  <c r="I562" i="335"/>
  <c r="H562" i="335"/>
  <c r="G562" i="335"/>
  <c r="F562" i="335"/>
  <c r="E562" i="335"/>
  <c r="D562" i="335"/>
  <c r="C562" i="335"/>
  <c r="G561" i="335"/>
  <c r="K560" i="335"/>
  <c r="J560" i="335"/>
  <c r="L560" i="335" s="1"/>
  <c r="O560" i="335" s="1"/>
  <c r="K559" i="335"/>
  <c r="J559" i="335"/>
  <c r="K558" i="335"/>
  <c r="J558" i="335"/>
  <c r="L558" i="335" s="1"/>
  <c r="O558" i="335" s="1"/>
  <c r="K557" i="335"/>
  <c r="J557" i="335"/>
  <c r="K556" i="335"/>
  <c r="J556" i="335"/>
  <c r="K555" i="335"/>
  <c r="J555" i="335"/>
  <c r="K554" i="335"/>
  <c r="J554" i="335"/>
  <c r="L554" i="335" s="1"/>
  <c r="O554" i="335" s="1"/>
  <c r="K553" i="335"/>
  <c r="J553" i="335"/>
  <c r="K552" i="335"/>
  <c r="J552" i="335"/>
  <c r="L552" i="335" s="1"/>
  <c r="O552" i="335" s="1"/>
  <c r="K551" i="335"/>
  <c r="J551" i="335"/>
  <c r="L551" i="335" s="1"/>
  <c r="O551" i="335" s="1"/>
  <c r="K550" i="335"/>
  <c r="J550" i="335"/>
  <c r="L550" i="335" s="1"/>
  <c r="O550" i="335" s="1"/>
  <c r="K548" i="335"/>
  <c r="J548" i="335"/>
  <c r="L548" i="335" s="1"/>
  <c r="O548" i="335" s="1"/>
  <c r="K547" i="335"/>
  <c r="L547" i="335" s="1"/>
  <c r="O547" i="335" s="1"/>
  <c r="J547" i="335"/>
  <c r="K545" i="335"/>
  <c r="J545" i="335"/>
  <c r="L545" i="335" s="1"/>
  <c r="L544" i="335"/>
  <c r="O544" i="335" s="1"/>
  <c r="K544" i="335"/>
  <c r="J544" i="335"/>
  <c r="J562" i="335" s="1"/>
  <c r="N543" i="335"/>
  <c r="N561" i="335" s="1"/>
  <c r="M543" i="335"/>
  <c r="M561" i="335" s="1"/>
  <c r="I543" i="335"/>
  <c r="I561" i="335" s="1"/>
  <c r="H543" i="335"/>
  <c r="H561" i="335" s="1"/>
  <c r="G543" i="335"/>
  <c r="F543" i="335"/>
  <c r="F561" i="335" s="1"/>
  <c r="E543" i="335"/>
  <c r="E561" i="335" s="1"/>
  <c r="D543" i="335"/>
  <c r="D561" i="335" s="1"/>
  <c r="C543" i="335"/>
  <c r="C561" i="335" s="1"/>
  <c r="N541" i="335"/>
  <c r="M541" i="335"/>
  <c r="I541" i="335"/>
  <c r="H541" i="335"/>
  <c r="G541" i="335"/>
  <c r="F541" i="335"/>
  <c r="E541" i="335"/>
  <c r="D541" i="335"/>
  <c r="C541" i="335"/>
  <c r="H540" i="335"/>
  <c r="D540" i="335"/>
  <c r="K539" i="335"/>
  <c r="J539" i="335"/>
  <c r="K538" i="335"/>
  <c r="K623" i="335" s="1"/>
  <c r="J538" i="335"/>
  <c r="J623" i="335" s="1"/>
  <c r="K537" i="335"/>
  <c r="K622" i="335" s="1"/>
  <c r="J537" i="335"/>
  <c r="J622" i="335" s="1"/>
  <c r="K536" i="335"/>
  <c r="J536" i="335"/>
  <c r="K535" i="335"/>
  <c r="J535" i="335"/>
  <c r="K534" i="335"/>
  <c r="J534" i="335"/>
  <c r="K532" i="335"/>
  <c r="J532" i="335"/>
  <c r="N531" i="335"/>
  <c r="N540" i="335" s="1"/>
  <c r="M531" i="335"/>
  <c r="M540" i="335" s="1"/>
  <c r="I531" i="335"/>
  <c r="I540" i="335" s="1"/>
  <c r="H531" i="335"/>
  <c r="G531" i="335"/>
  <c r="G540" i="335" s="1"/>
  <c r="F531" i="335"/>
  <c r="F540" i="335" s="1"/>
  <c r="E531" i="335"/>
  <c r="E540" i="335" s="1"/>
  <c r="D531" i="335"/>
  <c r="C531" i="335"/>
  <c r="C540" i="335" s="1"/>
  <c r="N529" i="335"/>
  <c r="M529" i="335"/>
  <c r="I529" i="335"/>
  <c r="H529" i="335"/>
  <c r="G529" i="335"/>
  <c r="F529" i="335"/>
  <c r="E529" i="335"/>
  <c r="D529" i="335"/>
  <c r="C529" i="335"/>
  <c r="K527" i="335"/>
  <c r="J527" i="335"/>
  <c r="K526" i="335"/>
  <c r="J526" i="335"/>
  <c r="K525" i="335"/>
  <c r="K626" i="335" s="1"/>
  <c r="J525" i="335"/>
  <c r="K524" i="335"/>
  <c r="K619" i="335" s="1"/>
  <c r="J524" i="335"/>
  <c r="K523" i="335"/>
  <c r="J523" i="335"/>
  <c r="K522" i="335"/>
  <c r="K609" i="335" s="1"/>
  <c r="J522" i="335"/>
  <c r="K520" i="335"/>
  <c r="J520" i="335"/>
  <c r="L520" i="335" s="1"/>
  <c r="N519" i="335"/>
  <c r="N528" i="335" s="1"/>
  <c r="M519" i="335"/>
  <c r="M528" i="335" s="1"/>
  <c r="I519" i="335"/>
  <c r="I528" i="335" s="1"/>
  <c r="H519" i="335"/>
  <c r="H528" i="335" s="1"/>
  <c r="G519" i="335"/>
  <c r="G528" i="335" s="1"/>
  <c r="F519" i="335"/>
  <c r="F528" i="335" s="1"/>
  <c r="E519" i="335"/>
  <c r="E528" i="335" s="1"/>
  <c r="D519" i="335"/>
  <c r="C519" i="335"/>
  <c r="C528" i="335" s="1"/>
  <c r="N517" i="335"/>
  <c r="M517" i="335"/>
  <c r="I517" i="335"/>
  <c r="H517" i="335"/>
  <c r="G517" i="335"/>
  <c r="F517" i="335"/>
  <c r="E517" i="335"/>
  <c r="D517" i="335"/>
  <c r="C517" i="335"/>
  <c r="N516" i="335"/>
  <c r="F516" i="335"/>
  <c r="K515" i="335"/>
  <c r="L515" i="335" s="1"/>
  <c r="O515" i="335" s="1"/>
  <c r="J515" i="335"/>
  <c r="K514" i="335"/>
  <c r="J514" i="335"/>
  <c r="K513" i="335"/>
  <c r="K625" i="335" s="1"/>
  <c r="J513" i="335"/>
  <c r="J625" i="335" s="1"/>
  <c r="K512" i="335"/>
  <c r="K624" i="335" s="1"/>
  <c r="J512" i="335"/>
  <c r="J624" i="335" s="1"/>
  <c r="K511" i="335"/>
  <c r="K616" i="335" s="1"/>
  <c r="J511" i="335"/>
  <c r="J616" i="335" s="1"/>
  <c r="K510" i="335"/>
  <c r="J510" i="335"/>
  <c r="K509" i="335"/>
  <c r="L509" i="335" s="1"/>
  <c r="O509" i="335" s="1"/>
  <c r="J509" i="335"/>
  <c r="K508" i="335"/>
  <c r="J508" i="335"/>
  <c r="K506" i="335"/>
  <c r="J506" i="335"/>
  <c r="N505" i="335"/>
  <c r="M505" i="335"/>
  <c r="M516" i="335" s="1"/>
  <c r="I505" i="335"/>
  <c r="I516" i="335" s="1"/>
  <c r="H505" i="335"/>
  <c r="H516" i="335" s="1"/>
  <c r="G505" i="335"/>
  <c r="G516" i="335" s="1"/>
  <c r="F505" i="335"/>
  <c r="E505" i="335"/>
  <c r="E516" i="335" s="1"/>
  <c r="D505" i="335"/>
  <c r="D516" i="335" s="1"/>
  <c r="C505" i="335"/>
  <c r="N503" i="335"/>
  <c r="M503" i="335"/>
  <c r="I503" i="335"/>
  <c r="H503" i="335"/>
  <c r="G503" i="335"/>
  <c r="F503" i="335"/>
  <c r="E503" i="335"/>
  <c r="D503" i="335"/>
  <c r="C503" i="335"/>
  <c r="M502" i="335"/>
  <c r="K501" i="335"/>
  <c r="K621" i="335" s="1"/>
  <c r="J501" i="335"/>
  <c r="J621" i="335" s="1"/>
  <c r="K500" i="335"/>
  <c r="L500" i="335" s="1"/>
  <c r="O500" i="335" s="1"/>
  <c r="J500" i="335"/>
  <c r="K499" i="335"/>
  <c r="L499" i="335" s="1"/>
  <c r="O499" i="335" s="1"/>
  <c r="J499" i="335"/>
  <c r="L498" i="335"/>
  <c r="K498" i="335"/>
  <c r="J498" i="335"/>
  <c r="L496" i="335"/>
  <c r="O496" i="335" s="1"/>
  <c r="K496" i="335"/>
  <c r="J496" i="335"/>
  <c r="N495" i="335"/>
  <c r="N502" i="335" s="1"/>
  <c r="M495" i="335"/>
  <c r="I495" i="335"/>
  <c r="I502" i="335" s="1"/>
  <c r="H495" i="335"/>
  <c r="H502" i="335" s="1"/>
  <c r="G495" i="335"/>
  <c r="G502" i="335" s="1"/>
  <c r="F495" i="335"/>
  <c r="F502" i="335" s="1"/>
  <c r="E495" i="335"/>
  <c r="E502" i="335" s="1"/>
  <c r="D495" i="335"/>
  <c r="D502" i="335" s="1"/>
  <c r="C495" i="335"/>
  <c r="C502" i="335" s="1"/>
  <c r="N493" i="335"/>
  <c r="M493" i="335"/>
  <c r="J493" i="335"/>
  <c r="I493" i="335"/>
  <c r="H493" i="335"/>
  <c r="G493" i="335"/>
  <c r="F493" i="335"/>
  <c r="E493" i="335"/>
  <c r="D493" i="335"/>
  <c r="C493" i="335"/>
  <c r="N492" i="335"/>
  <c r="M492" i="335"/>
  <c r="I492" i="335"/>
  <c r="H492" i="335"/>
  <c r="G492" i="335"/>
  <c r="F492" i="335"/>
  <c r="E492" i="335"/>
  <c r="D492" i="335"/>
  <c r="C492" i="335"/>
  <c r="I491" i="335"/>
  <c r="H491" i="335"/>
  <c r="G491" i="335"/>
  <c r="E491" i="335"/>
  <c r="K490" i="335"/>
  <c r="J490" i="335"/>
  <c r="K489" i="335"/>
  <c r="L489" i="335" s="1"/>
  <c r="O489" i="335" s="1"/>
  <c r="J489" i="335"/>
  <c r="K487" i="335"/>
  <c r="K606" i="335" s="1"/>
  <c r="J487" i="335"/>
  <c r="J606" i="335" s="1"/>
  <c r="K486" i="335"/>
  <c r="K605" i="335" s="1"/>
  <c r="J486" i="335"/>
  <c r="J605" i="335" s="1"/>
  <c r="K485" i="335"/>
  <c r="J485" i="335"/>
  <c r="K484" i="335"/>
  <c r="L484" i="335" s="1"/>
  <c r="O484" i="335" s="1"/>
  <c r="J484" i="335"/>
  <c r="K483" i="335"/>
  <c r="J483" i="335"/>
  <c r="K482" i="335"/>
  <c r="L482" i="335" s="1"/>
  <c r="O482" i="335" s="1"/>
  <c r="J482" i="335"/>
  <c r="K480" i="335"/>
  <c r="L480" i="335" s="1"/>
  <c r="O480" i="335" s="1"/>
  <c r="J480" i="335"/>
  <c r="K479" i="335"/>
  <c r="K492" i="335" s="1"/>
  <c r="J479" i="335"/>
  <c r="J492" i="335" s="1"/>
  <c r="N478" i="335"/>
  <c r="N491" i="335" s="1"/>
  <c r="M478" i="335"/>
  <c r="M491" i="335" s="1"/>
  <c r="F478" i="335"/>
  <c r="F491" i="335" s="1"/>
  <c r="E478" i="335"/>
  <c r="D478" i="335"/>
  <c r="D491" i="335" s="1"/>
  <c r="C478" i="335"/>
  <c r="N476" i="335"/>
  <c r="M476" i="335"/>
  <c r="I476" i="335"/>
  <c r="H476" i="335"/>
  <c r="G476" i="335"/>
  <c r="F476" i="335"/>
  <c r="E476" i="335"/>
  <c r="D476" i="335"/>
  <c r="C476" i="335"/>
  <c r="N475" i="335"/>
  <c r="M475" i="335"/>
  <c r="I475" i="335"/>
  <c r="H475" i="335"/>
  <c r="G475" i="335"/>
  <c r="F475" i="335"/>
  <c r="E475" i="335"/>
  <c r="D475" i="335"/>
  <c r="C475" i="335"/>
  <c r="N474" i="335"/>
  <c r="K473" i="335"/>
  <c r="J473" i="335"/>
  <c r="L473" i="335" s="1"/>
  <c r="O473" i="335" s="1"/>
  <c r="K472" i="335"/>
  <c r="K617" i="335" s="1"/>
  <c r="J472" i="335"/>
  <c r="J617" i="335" s="1"/>
  <c r="K471" i="335"/>
  <c r="J471" i="335"/>
  <c r="K470" i="335"/>
  <c r="J470" i="335"/>
  <c r="L470" i="335" s="1"/>
  <c r="O470" i="335" s="1"/>
  <c r="K468" i="335"/>
  <c r="J468" i="335"/>
  <c r="L468" i="335" s="1"/>
  <c r="O468" i="335" s="1"/>
  <c r="K467" i="335"/>
  <c r="J467" i="335"/>
  <c r="L467" i="335" s="1"/>
  <c r="O467" i="335" s="1"/>
  <c r="K466" i="335"/>
  <c r="K592" i="335" s="1"/>
  <c r="J466" i="335"/>
  <c r="J592" i="335" s="1"/>
  <c r="K465" i="335"/>
  <c r="J465" i="335"/>
  <c r="L465" i="335" s="1"/>
  <c r="O465" i="335" s="1"/>
  <c r="K464" i="335"/>
  <c r="K589" i="335" s="1"/>
  <c r="J464" i="335"/>
  <c r="J589" i="335" s="1"/>
  <c r="K463" i="335"/>
  <c r="J463" i="335"/>
  <c r="L463" i="335" s="1"/>
  <c r="O463" i="335" s="1"/>
  <c r="K461" i="335"/>
  <c r="K476" i="335" s="1"/>
  <c r="J461" i="335"/>
  <c r="K460" i="335"/>
  <c r="J460" i="335"/>
  <c r="L460" i="335" s="1"/>
  <c r="N459" i="335"/>
  <c r="M459" i="335"/>
  <c r="M474" i="335" s="1"/>
  <c r="I459" i="335"/>
  <c r="H459" i="335"/>
  <c r="H474" i="335" s="1"/>
  <c r="G459" i="335"/>
  <c r="G474" i="335" s="1"/>
  <c r="F459" i="335"/>
  <c r="F474" i="335" s="1"/>
  <c r="E459" i="335"/>
  <c r="E474" i="335" s="1"/>
  <c r="D459" i="335"/>
  <c r="D474" i="335" s="1"/>
  <c r="C459" i="335"/>
  <c r="C474" i="335" s="1"/>
  <c r="N457" i="335"/>
  <c r="M457" i="335"/>
  <c r="I457" i="335"/>
  <c r="H457" i="335"/>
  <c r="G457" i="335"/>
  <c r="F457" i="335"/>
  <c r="E457" i="335"/>
  <c r="D457" i="335"/>
  <c r="C457" i="335"/>
  <c r="I456" i="335"/>
  <c r="H456" i="335"/>
  <c r="G456" i="335"/>
  <c r="K455" i="335"/>
  <c r="J455" i="335"/>
  <c r="J615" i="335" s="1"/>
  <c r="K454" i="335"/>
  <c r="J454" i="335"/>
  <c r="L454" i="335" s="1"/>
  <c r="O454" i="335" s="1"/>
  <c r="K453" i="335"/>
  <c r="J453" i="335"/>
  <c r="K451" i="335"/>
  <c r="K457" i="335" s="1"/>
  <c r="J451" i="335"/>
  <c r="L451" i="335" s="1"/>
  <c r="N450" i="335"/>
  <c r="N456" i="335" s="1"/>
  <c r="M450" i="335"/>
  <c r="M456" i="335" s="1"/>
  <c r="F450" i="335"/>
  <c r="F456" i="335" s="1"/>
  <c r="E450" i="335"/>
  <c r="E456" i="335" s="1"/>
  <c r="D450" i="335"/>
  <c r="K450" i="335" s="1"/>
  <c r="C450" i="335"/>
  <c r="C456" i="335" s="1"/>
  <c r="N448" i="335"/>
  <c r="M448" i="335"/>
  <c r="I448" i="335"/>
  <c r="H448" i="335"/>
  <c r="G448" i="335"/>
  <c r="F448" i="335"/>
  <c r="E448" i="335"/>
  <c r="D448" i="335"/>
  <c r="C448" i="335"/>
  <c r="N447" i="335"/>
  <c r="M447" i="335"/>
  <c r="I447" i="335"/>
  <c r="H447" i="335"/>
  <c r="G447" i="335"/>
  <c r="F447" i="335"/>
  <c r="E447" i="335"/>
  <c r="D447" i="335"/>
  <c r="C447" i="335"/>
  <c r="I446" i="335"/>
  <c r="H446" i="335"/>
  <c r="G446" i="335"/>
  <c r="E446" i="335"/>
  <c r="K445" i="335"/>
  <c r="J445" i="335"/>
  <c r="K443" i="335"/>
  <c r="J443" i="335"/>
  <c r="L443" i="335" s="1"/>
  <c r="O443" i="335" s="1"/>
  <c r="K442" i="335"/>
  <c r="J442" i="335"/>
  <c r="L442" i="335" s="1"/>
  <c r="O442" i="335" s="1"/>
  <c r="K441" i="335"/>
  <c r="J441" i="335"/>
  <c r="L441" i="335" s="1"/>
  <c r="O441" i="335" s="1"/>
  <c r="K439" i="335"/>
  <c r="J439" i="335"/>
  <c r="J448" i="335" s="1"/>
  <c r="K438" i="335"/>
  <c r="K447" i="335" s="1"/>
  <c r="J438" i="335"/>
  <c r="N437" i="335"/>
  <c r="N446" i="335" s="1"/>
  <c r="M437" i="335"/>
  <c r="M446" i="335" s="1"/>
  <c r="F437" i="335"/>
  <c r="F446" i="335" s="1"/>
  <c r="E437" i="335"/>
  <c r="D437" i="335"/>
  <c r="K437" i="335" s="1"/>
  <c r="K446" i="335" s="1"/>
  <c r="C437" i="335"/>
  <c r="C446" i="335" s="1"/>
  <c r="N434" i="335"/>
  <c r="M434" i="335"/>
  <c r="I434" i="335"/>
  <c r="H434" i="335"/>
  <c r="G434" i="335"/>
  <c r="F434" i="335"/>
  <c r="E434" i="335"/>
  <c r="D434" i="335"/>
  <c r="C434" i="335"/>
  <c r="N433" i="335"/>
  <c r="M433" i="335"/>
  <c r="I433" i="335"/>
  <c r="H433" i="335"/>
  <c r="G433" i="335"/>
  <c r="F433" i="335"/>
  <c r="E433" i="335"/>
  <c r="D433" i="335"/>
  <c r="C433" i="335"/>
  <c r="N432" i="335"/>
  <c r="I432" i="335"/>
  <c r="H432" i="335"/>
  <c r="G432" i="335"/>
  <c r="F432" i="335"/>
  <c r="C432" i="335"/>
  <c r="K431" i="335"/>
  <c r="J431" i="335"/>
  <c r="K430" i="335"/>
  <c r="J430" i="335"/>
  <c r="K429" i="335"/>
  <c r="J429" i="335"/>
  <c r="K428" i="335"/>
  <c r="J428" i="335"/>
  <c r="L428" i="335" s="1"/>
  <c r="O428" i="335" s="1"/>
  <c r="K426" i="335"/>
  <c r="J426" i="335"/>
  <c r="K425" i="335"/>
  <c r="J425" i="335"/>
  <c r="K424" i="335"/>
  <c r="K591" i="335" s="1"/>
  <c r="J424" i="335"/>
  <c r="K423" i="335"/>
  <c r="J423" i="335"/>
  <c r="L423" i="335" s="1"/>
  <c r="O423" i="335" s="1"/>
  <c r="K422" i="335"/>
  <c r="J422" i="335"/>
  <c r="K420" i="335"/>
  <c r="J420" i="335"/>
  <c r="K419" i="335"/>
  <c r="J419" i="335"/>
  <c r="N418" i="335"/>
  <c r="M418" i="335"/>
  <c r="M432" i="335" s="1"/>
  <c r="F418" i="335"/>
  <c r="E418" i="335"/>
  <c r="E432" i="335" s="1"/>
  <c r="D418" i="335"/>
  <c r="K418" i="335" s="1"/>
  <c r="C418" i="335"/>
  <c r="N416" i="335"/>
  <c r="M416" i="335"/>
  <c r="I416" i="335"/>
  <c r="H416" i="335"/>
  <c r="G416" i="335"/>
  <c r="F416" i="335"/>
  <c r="E416" i="335"/>
  <c r="D416" i="335"/>
  <c r="C416" i="335"/>
  <c r="N415" i="335"/>
  <c r="M415" i="335"/>
  <c r="J415" i="335"/>
  <c r="I415" i="335"/>
  <c r="H415" i="335"/>
  <c r="G415" i="335"/>
  <c r="F415" i="335"/>
  <c r="E415" i="335"/>
  <c r="D415" i="335"/>
  <c r="C415" i="335"/>
  <c r="I414" i="335"/>
  <c r="H414" i="335"/>
  <c r="G414" i="335"/>
  <c r="K413" i="335"/>
  <c r="J413" i="335"/>
  <c r="L413" i="335" s="1"/>
  <c r="O413" i="335" s="1"/>
  <c r="K412" i="335"/>
  <c r="L412" i="335" s="1"/>
  <c r="O412" i="335" s="1"/>
  <c r="J412" i="335"/>
  <c r="K411" i="335"/>
  <c r="J411" i="335"/>
  <c r="L411" i="335" s="1"/>
  <c r="O411" i="335" s="1"/>
  <c r="K409" i="335"/>
  <c r="L409" i="335" s="1"/>
  <c r="O409" i="335" s="1"/>
  <c r="J409" i="335"/>
  <c r="K408" i="335"/>
  <c r="J408" i="335"/>
  <c r="K407" i="335"/>
  <c r="J407" i="335"/>
  <c r="K405" i="335"/>
  <c r="L405" i="335" s="1"/>
  <c r="J405" i="335"/>
  <c r="K404" i="335"/>
  <c r="J404" i="335"/>
  <c r="N403" i="335"/>
  <c r="N414" i="335" s="1"/>
  <c r="M403" i="335"/>
  <c r="M414" i="335" s="1"/>
  <c r="F403" i="335"/>
  <c r="F414" i="335" s="1"/>
  <c r="E403" i="335"/>
  <c r="E414" i="335" s="1"/>
  <c r="D403" i="335"/>
  <c r="D414" i="335" s="1"/>
  <c r="C403" i="335"/>
  <c r="N401" i="335"/>
  <c r="M401" i="335"/>
  <c r="I401" i="335"/>
  <c r="H401" i="335"/>
  <c r="G401" i="335"/>
  <c r="F401" i="335"/>
  <c r="E401" i="335"/>
  <c r="D401" i="335"/>
  <c r="C401" i="335"/>
  <c r="N400" i="335"/>
  <c r="M400" i="335"/>
  <c r="I400" i="335"/>
  <c r="H400" i="335"/>
  <c r="G400" i="335"/>
  <c r="F400" i="335"/>
  <c r="E400" i="335"/>
  <c r="D400" i="335"/>
  <c r="C400" i="335"/>
  <c r="I399" i="335"/>
  <c r="H399" i="335"/>
  <c r="G399" i="335"/>
  <c r="G435" i="335" s="1"/>
  <c r="K398" i="335"/>
  <c r="K631" i="335" s="1"/>
  <c r="J398" i="335"/>
  <c r="J631" i="335" s="1"/>
  <c r="K397" i="335"/>
  <c r="J397" i="335"/>
  <c r="K396" i="335"/>
  <c r="J396" i="335"/>
  <c r="K395" i="335"/>
  <c r="J395" i="335"/>
  <c r="K393" i="335"/>
  <c r="K604" i="335" s="1"/>
  <c r="J393" i="335"/>
  <c r="J604" i="335" s="1"/>
  <c r="K392" i="335"/>
  <c r="J392" i="335"/>
  <c r="K391" i="335"/>
  <c r="K588" i="335" s="1"/>
  <c r="J391" i="335"/>
  <c r="J588" i="335" s="1"/>
  <c r="K390" i="335"/>
  <c r="J390" i="335"/>
  <c r="K389" i="335"/>
  <c r="J389" i="335"/>
  <c r="K387" i="335"/>
  <c r="J387" i="335"/>
  <c r="K386" i="335"/>
  <c r="J386" i="335"/>
  <c r="J400" i="335" s="1"/>
  <c r="N385" i="335"/>
  <c r="N399" i="335" s="1"/>
  <c r="N435" i="335" s="1"/>
  <c r="M385" i="335"/>
  <c r="M399" i="335" s="1"/>
  <c r="F385" i="335"/>
  <c r="F399" i="335" s="1"/>
  <c r="E385" i="335"/>
  <c r="E399" i="335" s="1"/>
  <c r="D385" i="335"/>
  <c r="K385" i="335" s="1"/>
  <c r="C385" i="335"/>
  <c r="C399" i="335" s="1"/>
  <c r="N381" i="335"/>
  <c r="M381" i="335"/>
  <c r="I381" i="335"/>
  <c r="H381" i="335"/>
  <c r="G381" i="335"/>
  <c r="F381" i="335"/>
  <c r="E381" i="335"/>
  <c r="D381" i="335"/>
  <c r="C381" i="335"/>
  <c r="N380" i="335"/>
  <c r="M380" i="335"/>
  <c r="I380" i="335"/>
  <c r="H380" i="335"/>
  <c r="G380" i="335"/>
  <c r="F380" i="335"/>
  <c r="E380" i="335"/>
  <c r="D380" i="335"/>
  <c r="C380" i="335"/>
  <c r="I379" i="335"/>
  <c r="H379" i="335"/>
  <c r="G379" i="335"/>
  <c r="K378" i="335"/>
  <c r="J378" i="335"/>
  <c r="K377" i="335"/>
  <c r="J377" i="335"/>
  <c r="K376" i="335"/>
  <c r="J376" i="335"/>
  <c r="K375" i="335"/>
  <c r="J375" i="335"/>
  <c r="K373" i="335"/>
  <c r="J373" i="335"/>
  <c r="K372" i="335"/>
  <c r="J372" i="335"/>
  <c r="K371" i="335"/>
  <c r="J371" i="335"/>
  <c r="K370" i="335"/>
  <c r="J370" i="335"/>
  <c r="K369" i="335"/>
  <c r="J369" i="335"/>
  <c r="K368" i="335"/>
  <c r="J368" i="335"/>
  <c r="J380" i="335" s="1"/>
  <c r="K367" i="335"/>
  <c r="J367" i="335"/>
  <c r="K365" i="335"/>
  <c r="J365" i="335"/>
  <c r="K364" i="335"/>
  <c r="J364" i="335"/>
  <c r="N363" i="335"/>
  <c r="N379" i="335" s="1"/>
  <c r="M363" i="335"/>
  <c r="M379" i="335" s="1"/>
  <c r="F363" i="335"/>
  <c r="F379" i="335" s="1"/>
  <c r="E363" i="335"/>
  <c r="E379" i="335" s="1"/>
  <c r="D363" i="335"/>
  <c r="K363" i="335" s="1"/>
  <c r="C363" i="335"/>
  <c r="C379" i="335" s="1"/>
  <c r="N361" i="335"/>
  <c r="M361" i="335"/>
  <c r="I361" i="335"/>
  <c r="H361" i="335"/>
  <c r="G361" i="335"/>
  <c r="F361" i="335"/>
  <c r="E361" i="335"/>
  <c r="D361" i="335"/>
  <c r="C361" i="335"/>
  <c r="N360" i="335"/>
  <c r="M360" i="335"/>
  <c r="I360" i="335"/>
  <c r="H360" i="335"/>
  <c r="G360" i="335"/>
  <c r="F360" i="335"/>
  <c r="E360" i="335"/>
  <c r="D360" i="335"/>
  <c r="C360" i="335"/>
  <c r="N359" i="335"/>
  <c r="I359" i="335"/>
  <c r="H359" i="335"/>
  <c r="G359" i="335"/>
  <c r="K358" i="335"/>
  <c r="J358" i="335"/>
  <c r="L358" i="335" s="1"/>
  <c r="O358" i="335" s="1"/>
  <c r="K357" i="335"/>
  <c r="L357" i="335" s="1"/>
  <c r="O357" i="335" s="1"/>
  <c r="J357" i="335"/>
  <c r="K356" i="335"/>
  <c r="J356" i="335"/>
  <c r="L356" i="335" s="1"/>
  <c r="O356" i="335" s="1"/>
  <c r="K355" i="335"/>
  <c r="K361" i="335" s="1"/>
  <c r="J355" i="335"/>
  <c r="K354" i="335"/>
  <c r="J354" i="335"/>
  <c r="L354" i="335" s="1"/>
  <c r="O354" i="335" s="1"/>
  <c r="K352" i="335"/>
  <c r="L352" i="335" s="1"/>
  <c r="O352" i="335" s="1"/>
  <c r="J352" i="335"/>
  <c r="K351" i="335"/>
  <c r="J351" i="335"/>
  <c r="L351" i="335" s="1"/>
  <c r="O351" i="335" s="1"/>
  <c r="K350" i="335"/>
  <c r="L350" i="335" s="1"/>
  <c r="O350" i="335" s="1"/>
  <c r="J350" i="335"/>
  <c r="K349" i="335"/>
  <c r="J349" i="335"/>
  <c r="L349" i="335" s="1"/>
  <c r="O349" i="335" s="1"/>
  <c r="K348" i="335"/>
  <c r="L348" i="335" s="1"/>
  <c r="O348" i="335" s="1"/>
  <c r="J348" i="335"/>
  <c r="K347" i="335"/>
  <c r="J347" i="335"/>
  <c r="J360" i="335" s="1"/>
  <c r="K346" i="335"/>
  <c r="L346" i="335" s="1"/>
  <c r="O346" i="335" s="1"/>
  <c r="J346" i="335"/>
  <c r="K344" i="335"/>
  <c r="J344" i="335"/>
  <c r="J361" i="335" s="1"/>
  <c r="K343" i="335"/>
  <c r="K360" i="335" s="1"/>
  <c r="J343" i="335"/>
  <c r="N342" i="335"/>
  <c r="M342" i="335"/>
  <c r="M359" i="335" s="1"/>
  <c r="F342" i="335"/>
  <c r="F359" i="335" s="1"/>
  <c r="E342" i="335"/>
  <c r="E359" i="335" s="1"/>
  <c r="D342" i="335"/>
  <c r="D359" i="335" s="1"/>
  <c r="C342" i="335"/>
  <c r="N340" i="335"/>
  <c r="M340" i="335"/>
  <c r="I340" i="335"/>
  <c r="H340" i="335"/>
  <c r="G340" i="335"/>
  <c r="F340" i="335"/>
  <c r="E340" i="335"/>
  <c r="D340" i="335"/>
  <c r="C340" i="335"/>
  <c r="N339" i="335"/>
  <c r="M339" i="335"/>
  <c r="I339" i="335"/>
  <c r="H339" i="335"/>
  <c r="G339" i="335"/>
  <c r="F339" i="335"/>
  <c r="E339" i="335"/>
  <c r="D339" i="335"/>
  <c r="C339" i="335"/>
  <c r="I338" i="335"/>
  <c r="H338" i="335"/>
  <c r="G338" i="335"/>
  <c r="D338" i="335"/>
  <c r="K337" i="335"/>
  <c r="J337" i="335"/>
  <c r="K336" i="335"/>
  <c r="J336" i="335"/>
  <c r="K335" i="335"/>
  <c r="J335" i="335"/>
  <c r="K333" i="335"/>
  <c r="J333" i="335"/>
  <c r="K332" i="335"/>
  <c r="J332" i="335"/>
  <c r="K331" i="335"/>
  <c r="J331" i="335"/>
  <c r="K330" i="335"/>
  <c r="J330" i="335"/>
  <c r="K329" i="335"/>
  <c r="J329" i="335"/>
  <c r="K328" i="335"/>
  <c r="J328" i="335"/>
  <c r="K326" i="335"/>
  <c r="J326" i="335"/>
  <c r="J340" i="335" s="1"/>
  <c r="K325" i="335"/>
  <c r="J325" i="335"/>
  <c r="J339" i="335" s="1"/>
  <c r="N324" i="335"/>
  <c r="N338" i="335" s="1"/>
  <c r="M324" i="335"/>
  <c r="M338" i="335" s="1"/>
  <c r="F324" i="335"/>
  <c r="F338" i="335" s="1"/>
  <c r="E324" i="335"/>
  <c r="E338" i="335" s="1"/>
  <c r="D324" i="335"/>
  <c r="K324" i="335" s="1"/>
  <c r="C324" i="335"/>
  <c r="C338" i="335" s="1"/>
  <c r="N322" i="335"/>
  <c r="M322" i="335"/>
  <c r="J322" i="335"/>
  <c r="I322" i="335"/>
  <c r="H322" i="335"/>
  <c r="G322" i="335"/>
  <c r="F322" i="335"/>
  <c r="E322" i="335"/>
  <c r="D322" i="335"/>
  <c r="C322" i="335"/>
  <c r="N321" i="335"/>
  <c r="M321" i="335"/>
  <c r="I321" i="335"/>
  <c r="H321" i="335"/>
  <c r="G321" i="335"/>
  <c r="F321" i="335"/>
  <c r="E321" i="335"/>
  <c r="D321" i="335"/>
  <c r="C321" i="335"/>
  <c r="I320" i="335"/>
  <c r="H320" i="335"/>
  <c r="G320" i="335"/>
  <c r="F320" i="335"/>
  <c r="L319" i="335"/>
  <c r="J319" i="335"/>
  <c r="J629" i="335" s="1"/>
  <c r="K317" i="335"/>
  <c r="K598" i="335" s="1"/>
  <c r="J317" i="335"/>
  <c r="J598" i="335" s="1"/>
  <c r="L315" i="335"/>
  <c r="K315" i="335"/>
  <c r="K322" i="335" s="1"/>
  <c r="J315" i="335"/>
  <c r="L314" i="335"/>
  <c r="K314" i="335"/>
  <c r="J314" i="335"/>
  <c r="J321" i="335" s="1"/>
  <c r="N313" i="335"/>
  <c r="N320" i="335" s="1"/>
  <c r="M313" i="335"/>
  <c r="M320" i="335" s="1"/>
  <c r="F313" i="335"/>
  <c r="E313" i="335"/>
  <c r="E320" i="335" s="1"/>
  <c r="D313" i="335"/>
  <c r="K313" i="335" s="1"/>
  <c r="C313" i="335"/>
  <c r="C320" i="335" s="1"/>
  <c r="N311" i="335"/>
  <c r="M311" i="335"/>
  <c r="K311" i="335"/>
  <c r="I311" i="335"/>
  <c r="H311" i="335"/>
  <c r="G311" i="335"/>
  <c r="F311" i="335"/>
  <c r="E311" i="335"/>
  <c r="D311" i="335"/>
  <c r="C311" i="335"/>
  <c r="N310" i="335"/>
  <c r="M310" i="335"/>
  <c r="I310" i="335"/>
  <c r="H310" i="335"/>
  <c r="G310" i="335"/>
  <c r="F310" i="335"/>
  <c r="E310" i="335"/>
  <c r="D310" i="335"/>
  <c r="C310" i="335"/>
  <c r="I309" i="335"/>
  <c r="H309" i="335"/>
  <c r="G309" i="335"/>
  <c r="E309" i="335"/>
  <c r="L308" i="335"/>
  <c r="O308" i="335" s="1"/>
  <c r="K308" i="335"/>
  <c r="J308" i="335"/>
  <c r="K307" i="335"/>
  <c r="J307" i="335"/>
  <c r="L307" i="335" s="1"/>
  <c r="O307" i="335" s="1"/>
  <c r="L306" i="335"/>
  <c r="O306" i="335" s="1"/>
  <c r="K306" i="335"/>
  <c r="J306" i="335"/>
  <c r="K305" i="335"/>
  <c r="J305" i="335"/>
  <c r="L305" i="335" s="1"/>
  <c r="O305" i="335" s="1"/>
  <c r="L304" i="335"/>
  <c r="O304" i="335" s="1"/>
  <c r="K304" i="335"/>
  <c r="J304" i="335"/>
  <c r="K303" i="335"/>
  <c r="J303" i="335"/>
  <c r="L303" i="335" s="1"/>
  <c r="O303" i="335" s="1"/>
  <c r="L301" i="335"/>
  <c r="O301" i="335" s="1"/>
  <c r="K301" i="335"/>
  <c r="J301" i="335"/>
  <c r="K300" i="335"/>
  <c r="J300" i="335"/>
  <c r="L300" i="335" s="1"/>
  <c r="O300" i="335" s="1"/>
  <c r="L299" i="335"/>
  <c r="O299" i="335" s="1"/>
  <c r="K299" i="335"/>
  <c r="J299" i="335"/>
  <c r="K298" i="335"/>
  <c r="J298" i="335"/>
  <c r="L298" i="335" s="1"/>
  <c r="O298" i="335" s="1"/>
  <c r="L297" i="335"/>
  <c r="O297" i="335" s="1"/>
  <c r="K297" i="335"/>
  <c r="J297" i="335"/>
  <c r="K296" i="335"/>
  <c r="J296" i="335"/>
  <c r="L296" i="335" s="1"/>
  <c r="O296" i="335" s="1"/>
  <c r="L295" i="335"/>
  <c r="O295" i="335" s="1"/>
  <c r="K295" i="335"/>
  <c r="J295" i="335"/>
  <c r="K293" i="335"/>
  <c r="J293" i="335"/>
  <c r="J311" i="335" s="1"/>
  <c r="L292" i="335"/>
  <c r="K292" i="335"/>
  <c r="K310" i="335" s="1"/>
  <c r="J292" i="335"/>
  <c r="N291" i="335"/>
  <c r="N309" i="335" s="1"/>
  <c r="M291" i="335"/>
  <c r="M309" i="335" s="1"/>
  <c r="F291" i="335"/>
  <c r="F309" i="335" s="1"/>
  <c r="E291" i="335"/>
  <c r="D291" i="335"/>
  <c r="D309" i="335" s="1"/>
  <c r="C291" i="335"/>
  <c r="N289" i="335"/>
  <c r="M289" i="335"/>
  <c r="I289" i="335"/>
  <c r="H289" i="335"/>
  <c r="G289" i="335"/>
  <c r="F289" i="335"/>
  <c r="E289" i="335"/>
  <c r="D289" i="335"/>
  <c r="C289" i="335"/>
  <c r="N288" i="335"/>
  <c r="M288" i="335"/>
  <c r="I288" i="335"/>
  <c r="H288" i="335"/>
  <c r="G288" i="335"/>
  <c r="F288" i="335"/>
  <c r="E288" i="335"/>
  <c r="D288" i="335"/>
  <c r="C288" i="335"/>
  <c r="I287" i="335"/>
  <c r="H287" i="335"/>
  <c r="G287" i="335"/>
  <c r="L286" i="335"/>
  <c r="O286" i="335" s="1"/>
  <c r="K286" i="335"/>
  <c r="J286" i="335"/>
  <c r="K285" i="335"/>
  <c r="J285" i="335"/>
  <c r="K284" i="335"/>
  <c r="J284" i="335"/>
  <c r="K283" i="335"/>
  <c r="J283" i="335"/>
  <c r="L283" i="335" s="1"/>
  <c r="O283" i="335" s="1"/>
  <c r="K281" i="335"/>
  <c r="L281" i="335" s="1"/>
  <c r="O281" i="335" s="1"/>
  <c r="J281" i="335"/>
  <c r="K280" i="335"/>
  <c r="J280" i="335"/>
  <c r="L280" i="335" s="1"/>
  <c r="O280" i="335" s="1"/>
  <c r="K279" i="335"/>
  <c r="J279" i="335"/>
  <c r="L279" i="335" s="1"/>
  <c r="O279" i="335" s="1"/>
  <c r="K278" i="335"/>
  <c r="J278" i="335"/>
  <c r="L278" i="335" s="1"/>
  <c r="O278" i="335" s="1"/>
  <c r="K277" i="335"/>
  <c r="J277" i="335"/>
  <c r="L277" i="335" s="1"/>
  <c r="O277" i="335" s="1"/>
  <c r="K276" i="335"/>
  <c r="J276" i="335"/>
  <c r="K275" i="335"/>
  <c r="J275" i="335"/>
  <c r="L275" i="335" s="1"/>
  <c r="O275" i="335" s="1"/>
  <c r="L273" i="335"/>
  <c r="O273" i="335" s="1"/>
  <c r="K273" i="335"/>
  <c r="J273" i="335"/>
  <c r="K272" i="335"/>
  <c r="J272" i="335"/>
  <c r="L272" i="335" s="1"/>
  <c r="N271" i="335"/>
  <c r="N287" i="335" s="1"/>
  <c r="M271" i="335"/>
  <c r="M287" i="335" s="1"/>
  <c r="F271" i="335"/>
  <c r="F287" i="335" s="1"/>
  <c r="E271" i="335"/>
  <c r="E287" i="335" s="1"/>
  <c r="D271" i="335"/>
  <c r="K271" i="335" s="1"/>
  <c r="C271" i="335"/>
  <c r="J271" i="335" s="1"/>
  <c r="N269" i="335"/>
  <c r="M269" i="335"/>
  <c r="I269" i="335"/>
  <c r="H269" i="335"/>
  <c r="G269" i="335"/>
  <c r="F269" i="335"/>
  <c r="E269" i="335"/>
  <c r="D269" i="335"/>
  <c r="C269" i="335"/>
  <c r="N268" i="335"/>
  <c r="M268" i="335"/>
  <c r="I268" i="335"/>
  <c r="H268" i="335"/>
  <c r="G268" i="335"/>
  <c r="F268" i="335"/>
  <c r="E268" i="335"/>
  <c r="D268" i="335"/>
  <c r="C268" i="335"/>
  <c r="I267" i="335"/>
  <c r="H267" i="335"/>
  <c r="G267" i="335"/>
  <c r="F267" i="335"/>
  <c r="K266" i="335"/>
  <c r="J266" i="335"/>
  <c r="L266" i="335" s="1"/>
  <c r="O266" i="335" s="1"/>
  <c r="K265" i="335"/>
  <c r="J265" i="335"/>
  <c r="L265" i="335" s="1"/>
  <c r="O265" i="335" s="1"/>
  <c r="K264" i="335"/>
  <c r="J264" i="335"/>
  <c r="L264" i="335" s="1"/>
  <c r="O264" i="335" s="1"/>
  <c r="K262" i="335"/>
  <c r="L262" i="335" s="1"/>
  <c r="O262" i="335" s="1"/>
  <c r="J262" i="335"/>
  <c r="K261" i="335"/>
  <c r="L261" i="335" s="1"/>
  <c r="O261" i="335" s="1"/>
  <c r="J261" i="335"/>
  <c r="L260" i="335"/>
  <c r="O260" i="335" s="1"/>
  <c r="K260" i="335"/>
  <c r="J260" i="335"/>
  <c r="L259" i="335"/>
  <c r="O259" i="335" s="1"/>
  <c r="K259" i="335"/>
  <c r="J259" i="335"/>
  <c r="K258" i="335"/>
  <c r="J258" i="335"/>
  <c r="L258" i="335" s="1"/>
  <c r="O258" i="335" s="1"/>
  <c r="K257" i="335"/>
  <c r="J257" i="335"/>
  <c r="L257" i="335" s="1"/>
  <c r="O257" i="335" s="1"/>
  <c r="K255" i="335"/>
  <c r="K269" i="335" s="1"/>
  <c r="J255" i="335"/>
  <c r="J269" i="335" s="1"/>
  <c r="K254" i="335"/>
  <c r="K268" i="335" s="1"/>
  <c r="J254" i="335"/>
  <c r="L254" i="335" s="1"/>
  <c r="N253" i="335"/>
  <c r="N267" i="335" s="1"/>
  <c r="M253" i="335"/>
  <c r="M267" i="335" s="1"/>
  <c r="F253" i="335"/>
  <c r="E253" i="335"/>
  <c r="E267" i="335" s="1"/>
  <c r="D253" i="335"/>
  <c r="D267" i="335" s="1"/>
  <c r="C253" i="335"/>
  <c r="C267" i="335" s="1"/>
  <c r="N251" i="335"/>
  <c r="M251" i="335"/>
  <c r="I251" i="335"/>
  <c r="H251" i="335"/>
  <c r="G251" i="335"/>
  <c r="F251" i="335"/>
  <c r="E251" i="335"/>
  <c r="D251" i="335"/>
  <c r="C251" i="335"/>
  <c r="N250" i="335"/>
  <c r="M250" i="335"/>
  <c r="I250" i="335"/>
  <c r="H250" i="335"/>
  <c r="G250" i="335"/>
  <c r="F250" i="335"/>
  <c r="E250" i="335"/>
  <c r="D250" i="335"/>
  <c r="C250" i="335"/>
  <c r="I249" i="335"/>
  <c r="H249" i="335"/>
  <c r="G249" i="335"/>
  <c r="E249" i="335"/>
  <c r="K248" i="335"/>
  <c r="J248" i="335"/>
  <c r="K247" i="335"/>
  <c r="J247" i="335"/>
  <c r="L247" i="335" s="1"/>
  <c r="O247" i="335" s="1"/>
  <c r="K246" i="335"/>
  <c r="J246" i="335"/>
  <c r="K245" i="335"/>
  <c r="J245" i="335"/>
  <c r="L245" i="335" s="1"/>
  <c r="O245" i="335" s="1"/>
  <c r="K244" i="335"/>
  <c r="J244" i="335"/>
  <c r="L244" i="335" s="1"/>
  <c r="O244" i="335" s="1"/>
  <c r="K242" i="335"/>
  <c r="J242" i="335"/>
  <c r="K241" i="335"/>
  <c r="J241" i="335"/>
  <c r="K240" i="335"/>
  <c r="J240" i="335"/>
  <c r="L240" i="335" s="1"/>
  <c r="O240" i="335" s="1"/>
  <c r="K239" i="335"/>
  <c r="J239" i="335"/>
  <c r="K238" i="335"/>
  <c r="J238" i="335"/>
  <c r="L238" i="335" s="1"/>
  <c r="O238" i="335" s="1"/>
  <c r="K237" i="335"/>
  <c r="L237" i="335" s="1"/>
  <c r="O237" i="335" s="1"/>
  <c r="J237" i="335"/>
  <c r="L235" i="335"/>
  <c r="K235" i="335"/>
  <c r="J235" i="335"/>
  <c r="J251" i="335" s="1"/>
  <c r="L234" i="335"/>
  <c r="K234" i="335"/>
  <c r="J234" i="335"/>
  <c r="N233" i="335"/>
  <c r="N249" i="335" s="1"/>
  <c r="M233" i="335"/>
  <c r="M249" i="335" s="1"/>
  <c r="F233" i="335"/>
  <c r="F249" i="335" s="1"/>
  <c r="E233" i="335"/>
  <c r="D233" i="335"/>
  <c r="K233" i="335" s="1"/>
  <c r="C233" i="335"/>
  <c r="C249" i="335" s="1"/>
  <c r="N231" i="335"/>
  <c r="M231" i="335"/>
  <c r="K231" i="335"/>
  <c r="I231" i="335"/>
  <c r="H231" i="335"/>
  <c r="G231" i="335"/>
  <c r="F231" i="335"/>
  <c r="E231" i="335"/>
  <c r="D231" i="335"/>
  <c r="C231" i="335"/>
  <c r="N230" i="335"/>
  <c r="M230" i="335"/>
  <c r="K230" i="335"/>
  <c r="I230" i="335"/>
  <c r="H230" i="335"/>
  <c r="G230" i="335"/>
  <c r="F230" i="335"/>
  <c r="E230" i="335"/>
  <c r="D230" i="335"/>
  <c r="C230" i="335"/>
  <c r="M229" i="335"/>
  <c r="I229" i="335"/>
  <c r="H229" i="335"/>
  <c r="G229" i="335"/>
  <c r="C229" i="335"/>
  <c r="K228" i="335"/>
  <c r="K630" i="335" s="1"/>
  <c r="J228" i="335"/>
  <c r="K227" i="335"/>
  <c r="J227" i="335"/>
  <c r="L227" i="335" s="1"/>
  <c r="O227" i="335" s="1"/>
  <c r="K226" i="335"/>
  <c r="J226" i="335"/>
  <c r="K225" i="335"/>
  <c r="K613" i="335" s="1"/>
  <c r="J225" i="335"/>
  <c r="K224" i="335"/>
  <c r="J224" i="335"/>
  <c r="L224" i="335" s="1"/>
  <c r="O224" i="335" s="1"/>
  <c r="K223" i="335"/>
  <c r="J223" i="335"/>
  <c r="L223" i="335" s="1"/>
  <c r="O223" i="335" s="1"/>
  <c r="K221" i="335"/>
  <c r="K602" i="335" s="1"/>
  <c r="J221" i="335"/>
  <c r="K220" i="335"/>
  <c r="K597" i="335" s="1"/>
  <c r="J220" i="335"/>
  <c r="K219" i="335"/>
  <c r="J219" i="335"/>
  <c r="L219" i="335" s="1"/>
  <c r="O219" i="335" s="1"/>
  <c r="K218" i="335"/>
  <c r="J218" i="335"/>
  <c r="L218" i="335" s="1"/>
  <c r="O218" i="335" s="1"/>
  <c r="K217" i="335"/>
  <c r="J217" i="335"/>
  <c r="K216" i="335"/>
  <c r="K599" i="335" s="1"/>
  <c r="J216" i="335"/>
  <c r="K215" i="335"/>
  <c r="J215" i="335"/>
  <c r="L215" i="335" s="1"/>
  <c r="O215" i="335" s="1"/>
  <c r="K214" i="335"/>
  <c r="J214" i="335"/>
  <c r="L214" i="335" s="1"/>
  <c r="O214" i="335" s="1"/>
  <c r="K213" i="335"/>
  <c r="J213" i="335"/>
  <c r="K212" i="335"/>
  <c r="J212" i="335"/>
  <c r="L212" i="335" s="1"/>
  <c r="O212" i="335" s="1"/>
  <c r="K211" i="335"/>
  <c r="J211" i="335"/>
  <c r="L211" i="335" s="1"/>
  <c r="O211" i="335" s="1"/>
  <c r="K209" i="335"/>
  <c r="J209" i="335"/>
  <c r="K208" i="335"/>
  <c r="J208" i="335"/>
  <c r="N207" i="335"/>
  <c r="N229" i="335" s="1"/>
  <c r="M207" i="335"/>
  <c r="F207" i="335"/>
  <c r="F229" i="335" s="1"/>
  <c r="E207" i="335"/>
  <c r="E229" i="335" s="1"/>
  <c r="D207" i="335"/>
  <c r="K207" i="335" s="1"/>
  <c r="K229" i="335" s="1"/>
  <c r="C207" i="335"/>
  <c r="N205" i="335"/>
  <c r="M205" i="335"/>
  <c r="I205" i="335"/>
  <c r="H205" i="335"/>
  <c r="G205" i="335"/>
  <c r="F205" i="335"/>
  <c r="E205" i="335"/>
  <c r="D205" i="335"/>
  <c r="C205" i="335"/>
  <c r="N204" i="335"/>
  <c r="M204" i="335"/>
  <c r="I204" i="335"/>
  <c r="H204" i="335"/>
  <c r="G204" i="335"/>
  <c r="F204" i="335"/>
  <c r="E204" i="335"/>
  <c r="D204" i="335"/>
  <c r="C204" i="335"/>
  <c r="I203" i="335"/>
  <c r="H203" i="335"/>
  <c r="G203" i="335"/>
  <c r="E203" i="335"/>
  <c r="K202" i="335"/>
  <c r="L202" i="335" s="1"/>
  <c r="O202" i="335" s="1"/>
  <c r="J202" i="335"/>
  <c r="L201" i="335"/>
  <c r="O201" i="335" s="1"/>
  <c r="K201" i="335"/>
  <c r="J201" i="335"/>
  <c r="L200" i="335"/>
  <c r="O200" i="335" s="1"/>
  <c r="K200" i="335"/>
  <c r="J200" i="335"/>
  <c r="K198" i="335"/>
  <c r="J198" i="335"/>
  <c r="L198" i="335" s="1"/>
  <c r="O198" i="335" s="1"/>
  <c r="K197" i="335"/>
  <c r="J197" i="335"/>
  <c r="L197" i="335" s="1"/>
  <c r="O197" i="335" s="1"/>
  <c r="K196" i="335"/>
  <c r="J196" i="335"/>
  <c r="L196" i="335" s="1"/>
  <c r="O196" i="335" s="1"/>
  <c r="K195" i="335"/>
  <c r="J195" i="335"/>
  <c r="L195" i="335" s="1"/>
  <c r="O195" i="335" s="1"/>
  <c r="K194" i="335"/>
  <c r="L194" i="335" s="1"/>
  <c r="O194" i="335" s="1"/>
  <c r="J194" i="335"/>
  <c r="K193" i="335"/>
  <c r="L193" i="335" s="1"/>
  <c r="O193" i="335" s="1"/>
  <c r="J193" i="335"/>
  <c r="L192" i="335"/>
  <c r="O192" i="335" s="1"/>
  <c r="K192" i="335"/>
  <c r="J192" i="335"/>
  <c r="L190" i="335"/>
  <c r="K190" i="335"/>
  <c r="J190" i="335"/>
  <c r="J205" i="335" s="1"/>
  <c r="K189" i="335"/>
  <c r="K204" i="335" s="1"/>
  <c r="J189" i="335"/>
  <c r="J204" i="335" s="1"/>
  <c r="N188" i="335"/>
  <c r="N203" i="335" s="1"/>
  <c r="M188" i="335"/>
  <c r="M203" i="335" s="1"/>
  <c r="F188" i="335"/>
  <c r="F203" i="335" s="1"/>
  <c r="E188" i="335"/>
  <c r="D188" i="335"/>
  <c r="K188" i="335" s="1"/>
  <c r="C188" i="335"/>
  <c r="C203" i="335" s="1"/>
  <c r="N186" i="335"/>
  <c r="M186" i="335"/>
  <c r="I186" i="335"/>
  <c r="H186" i="335"/>
  <c r="G186" i="335"/>
  <c r="F186" i="335"/>
  <c r="E186" i="335"/>
  <c r="D186" i="335"/>
  <c r="C186" i="335"/>
  <c r="N185" i="335"/>
  <c r="M185" i="335"/>
  <c r="I185" i="335"/>
  <c r="H185" i="335"/>
  <c r="G185" i="335"/>
  <c r="F185" i="335"/>
  <c r="E185" i="335"/>
  <c r="D185" i="335"/>
  <c r="C185" i="335"/>
  <c r="M184" i="335"/>
  <c r="I184" i="335"/>
  <c r="H184" i="335"/>
  <c r="G184" i="335"/>
  <c r="C184" i="335"/>
  <c r="K183" i="335"/>
  <c r="J183" i="335"/>
  <c r="L183" i="335" s="1"/>
  <c r="O183" i="335" s="1"/>
  <c r="K182" i="335"/>
  <c r="J182" i="335"/>
  <c r="K181" i="335"/>
  <c r="J181" i="335"/>
  <c r="L181" i="335" s="1"/>
  <c r="O181" i="335" s="1"/>
  <c r="K179" i="335"/>
  <c r="J179" i="335"/>
  <c r="L179" i="335" s="1"/>
  <c r="O179" i="335" s="1"/>
  <c r="K178" i="335"/>
  <c r="J178" i="335"/>
  <c r="L178" i="335" s="1"/>
  <c r="O178" i="335" s="1"/>
  <c r="K177" i="335"/>
  <c r="J177" i="335"/>
  <c r="K176" i="335"/>
  <c r="J176" i="335"/>
  <c r="L176" i="335" s="1"/>
  <c r="O176" i="335" s="1"/>
  <c r="K175" i="335"/>
  <c r="J175" i="335"/>
  <c r="L175" i="335" s="1"/>
  <c r="O175" i="335" s="1"/>
  <c r="K174" i="335"/>
  <c r="J174" i="335"/>
  <c r="L174" i="335" s="1"/>
  <c r="O174" i="335" s="1"/>
  <c r="K173" i="335"/>
  <c r="K185" i="335" s="1"/>
  <c r="J173" i="335"/>
  <c r="K171" i="335"/>
  <c r="K186" i="335" s="1"/>
  <c r="J171" i="335"/>
  <c r="K170" i="335"/>
  <c r="J170" i="335"/>
  <c r="N169" i="335"/>
  <c r="N184" i="335" s="1"/>
  <c r="M169" i="335"/>
  <c r="F169" i="335"/>
  <c r="F184" i="335" s="1"/>
  <c r="E169" i="335"/>
  <c r="E184" i="335" s="1"/>
  <c r="D169" i="335"/>
  <c r="K169" i="335" s="1"/>
  <c r="C169" i="335"/>
  <c r="N167" i="335"/>
  <c r="M167" i="335"/>
  <c r="I167" i="335"/>
  <c r="H167" i="335"/>
  <c r="G167" i="335"/>
  <c r="F167" i="335"/>
  <c r="E167" i="335"/>
  <c r="D167" i="335"/>
  <c r="C167" i="335"/>
  <c r="N166" i="335"/>
  <c r="M166" i="335"/>
  <c r="I166" i="335"/>
  <c r="H166" i="335"/>
  <c r="G166" i="335"/>
  <c r="F166" i="335"/>
  <c r="E166" i="335"/>
  <c r="D166" i="335"/>
  <c r="C166" i="335"/>
  <c r="I165" i="335"/>
  <c r="H165" i="335"/>
  <c r="G165" i="335"/>
  <c r="D165" i="335"/>
  <c r="K164" i="335"/>
  <c r="J164" i="335"/>
  <c r="L164" i="335" s="1"/>
  <c r="O164" i="335" s="1"/>
  <c r="K163" i="335"/>
  <c r="J163" i="335"/>
  <c r="L163" i="335" s="1"/>
  <c r="O163" i="335" s="1"/>
  <c r="K162" i="335"/>
  <c r="J162" i="335"/>
  <c r="L162" i="335" s="1"/>
  <c r="O162" i="335" s="1"/>
  <c r="K161" i="335"/>
  <c r="L161" i="335" s="1"/>
  <c r="O161" i="335" s="1"/>
  <c r="J161" i="335"/>
  <c r="K159" i="335"/>
  <c r="L159" i="335" s="1"/>
  <c r="J159" i="335"/>
  <c r="L158" i="335"/>
  <c r="O158" i="335" s="1"/>
  <c r="K158" i="335"/>
  <c r="J158" i="335"/>
  <c r="L157" i="335"/>
  <c r="K157" i="335"/>
  <c r="J157" i="335"/>
  <c r="K156" i="335"/>
  <c r="J156" i="335"/>
  <c r="L156" i="335" s="1"/>
  <c r="O156" i="335" s="1"/>
  <c r="K155" i="335"/>
  <c r="J155" i="335"/>
  <c r="L155" i="335" s="1"/>
  <c r="O155" i="335" s="1"/>
  <c r="K153" i="335"/>
  <c r="J153" i="335"/>
  <c r="J167" i="335" s="1"/>
  <c r="K152" i="335"/>
  <c r="K166" i="335" s="1"/>
  <c r="J152" i="335"/>
  <c r="L152" i="335" s="1"/>
  <c r="N151" i="335"/>
  <c r="N165" i="335" s="1"/>
  <c r="M151" i="335"/>
  <c r="M165" i="335" s="1"/>
  <c r="F151" i="335"/>
  <c r="F165" i="335" s="1"/>
  <c r="E151" i="335"/>
  <c r="E165" i="335" s="1"/>
  <c r="D151" i="335"/>
  <c r="K151" i="335" s="1"/>
  <c r="C151" i="335"/>
  <c r="C165" i="335" s="1"/>
  <c r="D149" i="335"/>
  <c r="N148" i="335"/>
  <c r="M148" i="335"/>
  <c r="I148" i="335"/>
  <c r="H148" i="335"/>
  <c r="G148" i="335"/>
  <c r="F148" i="335"/>
  <c r="E148" i="335"/>
  <c r="D148" i="335"/>
  <c r="C148" i="335"/>
  <c r="N147" i="335"/>
  <c r="M147" i="335"/>
  <c r="I147" i="335"/>
  <c r="H147" i="335"/>
  <c r="G147" i="335"/>
  <c r="F147" i="335"/>
  <c r="E147" i="335"/>
  <c r="D147" i="335"/>
  <c r="C147" i="335"/>
  <c r="I146" i="335"/>
  <c r="H146" i="335"/>
  <c r="G146" i="335"/>
  <c r="E146" i="335"/>
  <c r="D146" i="335"/>
  <c r="K145" i="335"/>
  <c r="J145" i="335"/>
  <c r="K144" i="335"/>
  <c r="J144" i="335"/>
  <c r="K143" i="335"/>
  <c r="J143" i="335"/>
  <c r="K142" i="335"/>
  <c r="J142" i="335"/>
  <c r="K140" i="335"/>
  <c r="J140" i="335"/>
  <c r="K139" i="335"/>
  <c r="J139" i="335"/>
  <c r="K138" i="335"/>
  <c r="J138" i="335"/>
  <c r="K137" i="335"/>
  <c r="J137" i="335"/>
  <c r="K135" i="335"/>
  <c r="J135" i="335"/>
  <c r="J148" i="335" s="1"/>
  <c r="K134" i="335"/>
  <c r="J134" i="335"/>
  <c r="J147" i="335" s="1"/>
  <c r="N133" i="335"/>
  <c r="N146" i="335" s="1"/>
  <c r="M133" i="335"/>
  <c r="M146" i="335" s="1"/>
  <c r="K133" i="335"/>
  <c r="F133" i="335"/>
  <c r="F146" i="335" s="1"/>
  <c r="C133" i="335"/>
  <c r="C146" i="335" s="1"/>
  <c r="N131" i="335"/>
  <c r="M131" i="335"/>
  <c r="I131" i="335"/>
  <c r="H131" i="335"/>
  <c r="G131" i="335"/>
  <c r="F131" i="335"/>
  <c r="E131" i="335"/>
  <c r="D131" i="335"/>
  <c r="C131" i="335"/>
  <c r="N130" i="335"/>
  <c r="M130" i="335"/>
  <c r="J130" i="335"/>
  <c r="I130" i="335"/>
  <c r="H130" i="335"/>
  <c r="G130" i="335"/>
  <c r="F130" i="335"/>
  <c r="E130" i="335"/>
  <c r="D130" i="335"/>
  <c r="C130" i="335"/>
  <c r="N129" i="335"/>
  <c r="I129" i="335"/>
  <c r="H129" i="335"/>
  <c r="G129" i="335"/>
  <c r="E129" i="335"/>
  <c r="D129" i="335"/>
  <c r="K128" i="335"/>
  <c r="J128" i="335"/>
  <c r="K127" i="335"/>
  <c r="J127" i="335"/>
  <c r="K126" i="335"/>
  <c r="J126" i="335"/>
  <c r="K125" i="335"/>
  <c r="J125" i="335"/>
  <c r="K123" i="335"/>
  <c r="J123" i="335"/>
  <c r="K122" i="335"/>
  <c r="J122" i="335"/>
  <c r="K121" i="335"/>
  <c r="J121" i="335"/>
  <c r="K120" i="335"/>
  <c r="J120" i="335"/>
  <c r="K119" i="335"/>
  <c r="J119" i="335"/>
  <c r="K118" i="335"/>
  <c r="J118" i="335"/>
  <c r="K116" i="335"/>
  <c r="K131" i="335" s="1"/>
  <c r="J116" i="335"/>
  <c r="K115" i="335"/>
  <c r="J115" i="335"/>
  <c r="N114" i="335"/>
  <c r="M114" i="335"/>
  <c r="M129" i="335" s="1"/>
  <c r="K114" i="335"/>
  <c r="F114" i="335"/>
  <c r="F129" i="335" s="1"/>
  <c r="C114" i="335"/>
  <c r="C129" i="335" s="1"/>
  <c r="N112" i="335"/>
  <c r="M112" i="335"/>
  <c r="I112" i="335"/>
  <c r="H112" i="335"/>
  <c r="G112" i="335"/>
  <c r="F112" i="335"/>
  <c r="E112" i="335"/>
  <c r="D112" i="335"/>
  <c r="C112" i="335"/>
  <c r="N111" i="335"/>
  <c r="M111" i="335"/>
  <c r="I111" i="335"/>
  <c r="H111" i="335"/>
  <c r="G111" i="335"/>
  <c r="F111" i="335"/>
  <c r="E111" i="335"/>
  <c r="D111" i="335"/>
  <c r="C111" i="335"/>
  <c r="I110" i="335"/>
  <c r="H110" i="335"/>
  <c r="G110" i="335"/>
  <c r="E110" i="335"/>
  <c r="D110" i="335"/>
  <c r="K109" i="335"/>
  <c r="J109" i="335"/>
  <c r="K108" i="335"/>
  <c r="J108" i="335"/>
  <c r="K107" i="335"/>
  <c r="J107" i="335"/>
  <c r="K106" i="335"/>
  <c r="J106" i="335"/>
  <c r="K105" i="335"/>
  <c r="J105" i="335"/>
  <c r="K103" i="335"/>
  <c r="J103" i="335"/>
  <c r="K102" i="335"/>
  <c r="J102" i="335"/>
  <c r="K101" i="335"/>
  <c r="J101" i="335"/>
  <c r="K100" i="335"/>
  <c r="J100" i="335"/>
  <c r="K98" i="335"/>
  <c r="J98" i="335"/>
  <c r="K97" i="335"/>
  <c r="J97" i="335"/>
  <c r="J111" i="335" s="1"/>
  <c r="N96" i="335"/>
  <c r="N110" i="335" s="1"/>
  <c r="M96" i="335"/>
  <c r="M110" i="335" s="1"/>
  <c r="K96" i="335"/>
  <c r="F96" i="335"/>
  <c r="F110" i="335" s="1"/>
  <c r="C96" i="335"/>
  <c r="C110" i="335" s="1"/>
  <c r="N94" i="335"/>
  <c r="M94" i="335"/>
  <c r="I94" i="335"/>
  <c r="H94" i="335"/>
  <c r="G94" i="335"/>
  <c r="F94" i="335"/>
  <c r="E94" i="335"/>
  <c r="D94" i="335"/>
  <c r="C94" i="335"/>
  <c r="N93" i="335"/>
  <c r="M93" i="335"/>
  <c r="I93" i="335"/>
  <c r="H93" i="335"/>
  <c r="G93" i="335"/>
  <c r="F93" i="335"/>
  <c r="E93" i="335"/>
  <c r="D93" i="335"/>
  <c r="C93" i="335"/>
  <c r="I92" i="335"/>
  <c r="H92" i="335"/>
  <c r="G92" i="335"/>
  <c r="E92" i="335"/>
  <c r="D92" i="335"/>
  <c r="K91" i="335"/>
  <c r="J91" i="335"/>
  <c r="K90" i="335"/>
  <c r="J90" i="335"/>
  <c r="K89" i="335"/>
  <c r="J89" i="335"/>
  <c r="K88" i="335"/>
  <c r="J88" i="335"/>
  <c r="K86" i="335"/>
  <c r="J86" i="335"/>
  <c r="K85" i="335"/>
  <c r="J85" i="335"/>
  <c r="K84" i="335"/>
  <c r="J84" i="335"/>
  <c r="K83" i="335"/>
  <c r="J83" i="335"/>
  <c r="K82" i="335"/>
  <c r="J82" i="335"/>
  <c r="K80" i="335"/>
  <c r="J80" i="335"/>
  <c r="K79" i="335"/>
  <c r="J79" i="335"/>
  <c r="N78" i="335"/>
  <c r="N92" i="335" s="1"/>
  <c r="M78" i="335"/>
  <c r="M92" i="335" s="1"/>
  <c r="K78" i="335"/>
  <c r="F78" i="335"/>
  <c r="F92" i="335" s="1"/>
  <c r="C78" i="335"/>
  <c r="N76" i="335"/>
  <c r="M76" i="335"/>
  <c r="I76" i="335"/>
  <c r="H76" i="335"/>
  <c r="G76" i="335"/>
  <c r="F76" i="335"/>
  <c r="E76" i="335"/>
  <c r="D76" i="335"/>
  <c r="C76" i="335"/>
  <c r="N75" i="335"/>
  <c r="M75" i="335"/>
  <c r="I75" i="335"/>
  <c r="H75" i="335"/>
  <c r="G75" i="335"/>
  <c r="F75" i="335"/>
  <c r="E75" i="335"/>
  <c r="D75" i="335"/>
  <c r="C75" i="335"/>
  <c r="N74" i="335"/>
  <c r="I74" i="335"/>
  <c r="H74" i="335"/>
  <c r="G74" i="335"/>
  <c r="E74" i="335"/>
  <c r="D74" i="335"/>
  <c r="C74" i="335"/>
  <c r="K73" i="335"/>
  <c r="J73" i="335"/>
  <c r="K72" i="335"/>
  <c r="J72" i="335"/>
  <c r="K71" i="335"/>
  <c r="J71" i="335"/>
  <c r="K70" i="335"/>
  <c r="J70" i="335"/>
  <c r="L70" i="335" s="1"/>
  <c r="O70" i="335" s="1"/>
  <c r="K68" i="335"/>
  <c r="J68" i="335"/>
  <c r="K67" i="335"/>
  <c r="J67" i="335"/>
  <c r="K66" i="335"/>
  <c r="J66" i="335"/>
  <c r="K65" i="335"/>
  <c r="J65" i="335"/>
  <c r="L65" i="335" s="1"/>
  <c r="O65" i="335" s="1"/>
  <c r="K64" i="335"/>
  <c r="J64" i="335"/>
  <c r="K63" i="335"/>
  <c r="J63" i="335"/>
  <c r="K61" i="335"/>
  <c r="J61" i="335"/>
  <c r="K60" i="335"/>
  <c r="J60" i="335"/>
  <c r="L60" i="335" s="1"/>
  <c r="N59" i="335"/>
  <c r="M59" i="335"/>
  <c r="M74" i="335" s="1"/>
  <c r="K59" i="335"/>
  <c r="K74" i="335" s="1"/>
  <c r="F59" i="335"/>
  <c r="F74" i="335" s="1"/>
  <c r="C59" i="335"/>
  <c r="N57" i="335"/>
  <c r="M57" i="335"/>
  <c r="I57" i="335"/>
  <c r="H57" i="335"/>
  <c r="G57" i="335"/>
  <c r="F57" i="335"/>
  <c r="E57" i="335"/>
  <c r="D57" i="335"/>
  <c r="C57" i="335"/>
  <c r="N56" i="335"/>
  <c r="M56" i="335"/>
  <c r="I56" i="335"/>
  <c r="H56" i="335"/>
  <c r="G56" i="335"/>
  <c r="F56" i="335"/>
  <c r="E56" i="335"/>
  <c r="D56" i="335"/>
  <c r="C56" i="335"/>
  <c r="N55" i="335"/>
  <c r="I55" i="335"/>
  <c r="H55" i="335"/>
  <c r="G55" i="335"/>
  <c r="E55" i="335"/>
  <c r="D55" i="335"/>
  <c r="K54" i="335"/>
  <c r="J54" i="335"/>
  <c r="K53" i="335"/>
  <c r="J53" i="335"/>
  <c r="K52" i="335"/>
  <c r="J52" i="335"/>
  <c r="K51" i="335"/>
  <c r="J51" i="335"/>
  <c r="K50" i="335"/>
  <c r="J50" i="335"/>
  <c r="K48" i="335"/>
  <c r="J48" i="335"/>
  <c r="K47" i="335"/>
  <c r="J47" i="335"/>
  <c r="K46" i="335"/>
  <c r="J46" i="335"/>
  <c r="K45" i="335"/>
  <c r="J45" i="335"/>
  <c r="K44" i="335"/>
  <c r="J44" i="335"/>
  <c r="K42" i="335"/>
  <c r="J42" i="335"/>
  <c r="K41" i="335"/>
  <c r="J41" i="335"/>
  <c r="N40" i="335"/>
  <c r="M40" i="335"/>
  <c r="M55" i="335" s="1"/>
  <c r="M149" i="335" s="1"/>
  <c r="K40" i="335"/>
  <c r="F40" i="335"/>
  <c r="F55" i="335" s="1"/>
  <c r="F149" i="335" s="1"/>
  <c r="C40" i="335"/>
  <c r="C55" i="335" s="1"/>
  <c r="N37" i="335"/>
  <c r="M37" i="335"/>
  <c r="I37" i="335"/>
  <c r="H37" i="335"/>
  <c r="G37" i="335"/>
  <c r="F37" i="335"/>
  <c r="E37" i="335"/>
  <c r="D37" i="335"/>
  <c r="C37" i="335"/>
  <c r="N36" i="335"/>
  <c r="M36" i="335"/>
  <c r="I36" i="335"/>
  <c r="H36" i="335"/>
  <c r="G36" i="335"/>
  <c r="F36" i="335"/>
  <c r="E36" i="335"/>
  <c r="D36" i="335"/>
  <c r="C36" i="335"/>
  <c r="I35" i="335"/>
  <c r="H35" i="335"/>
  <c r="G35" i="335"/>
  <c r="E35" i="335"/>
  <c r="D35" i="335"/>
  <c r="K34" i="335"/>
  <c r="J34" i="335"/>
  <c r="L34" i="335" s="1"/>
  <c r="K33" i="335"/>
  <c r="J33" i="335"/>
  <c r="L32" i="335"/>
  <c r="O32" i="335" s="1"/>
  <c r="K32" i="335"/>
  <c r="J32" i="335"/>
  <c r="L30" i="335"/>
  <c r="O30" i="335" s="1"/>
  <c r="K30" i="335"/>
  <c r="J30" i="335"/>
  <c r="K29" i="335"/>
  <c r="J29" i="335"/>
  <c r="K28" i="335"/>
  <c r="J28" i="335"/>
  <c r="K26" i="335"/>
  <c r="L26" i="335" s="1"/>
  <c r="O26" i="335" s="1"/>
  <c r="J26" i="335"/>
  <c r="K25" i="335"/>
  <c r="L25" i="335" s="1"/>
  <c r="J25" i="335"/>
  <c r="N24" i="335"/>
  <c r="N35" i="335" s="1"/>
  <c r="M24" i="335"/>
  <c r="M35" i="335" s="1"/>
  <c r="K24" i="335"/>
  <c r="F24" i="335"/>
  <c r="F35" i="335" s="1"/>
  <c r="C24" i="335"/>
  <c r="C35" i="335" s="1"/>
  <c r="N22" i="335"/>
  <c r="M22" i="335"/>
  <c r="I22" i="335"/>
  <c r="H22" i="335"/>
  <c r="G22" i="335"/>
  <c r="F22" i="335"/>
  <c r="E22" i="335"/>
  <c r="D22" i="335"/>
  <c r="C22" i="335"/>
  <c r="N21" i="335"/>
  <c r="M21" i="335"/>
  <c r="I21" i="335"/>
  <c r="H21" i="335"/>
  <c r="G21" i="335"/>
  <c r="F21" i="335"/>
  <c r="E21" i="335"/>
  <c r="D21" i="335"/>
  <c r="C21" i="335"/>
  <c r="I20" i="335"/>
  <c r="I38" i="335" s="1"/>
  <c r="H20" i="335"/>
  <c r="H38" i="335" s="1"/>
  <c r="G20" i="335"/>
  <c r="G38" i="335" s="1"/>
  <c r="L19" i="335"/>
  <c r="O19" i="335" s="1"/>
  <c r="K19" i="335"/>
  <c r="J19" i="335"/>
  <c r="K18" i="335"/>
  <c r="K611" i="335" s="1"/>
  <c r="J18" i="335"/>
  <c r="K16" i="335"/>
  <c r="K603" i="335" s="1"/>
  <c r="J16" i="335"/>
  <c r="J603" i="335" s="1"/>
  <c r="K15" i="335"/>
  <c r="L15" i="335" s="1"/>
  <c r="J15" i="335"/>
  <c r="K14" i="335"/>
  <c r="J14" i="335"/>
  <c r="L14" i="335" s="1"/>
  <c r="K13" i="335"/>
  <c r="K590" i="335" s="1"/>
  <c r="J13" i="335"/>
  <c r="K12" i="335"/>
  <c r="J12" i="335"/>
  <c r="K10" i="335"/>
  <c r="J10" i="335"/>
  <c r="L10" i="335" s="1"/>
  <c r="O10" i="335" s="1"/>
  <c r="K9" i="335"/>
  <c r="J9" i="335"/>
  <c r="L9" i="335" s="1"/>
  <c r="N8" i="335"/>
  <c r="M8" i="335"/>
  <c r="F8" i="335"/>
  <c r="E8" i="335"/>
  <c r="D8" i="335"/>
  <c r="D20" i="335" s="1"/>
  <c r="D38" i="335" s="1"/>
  <c r="C8" i="335"/>
  <c r="C20" i="335" s="1"/>
  <c r="L310" i="335" l="1"/>
  <c r="E382" i="335"/>
  <c r="M382" i="335"/>
  <c r="L18" i="335"/>
  <c r="J587" i="335"/>
  <c r="L33" i="335"/>
  <c r="O33" i="335" s="1"/>
  <c r="K94" i="335"/>
  <c r="D249" i="335"/>
  <c r="K288" i="335"/>
  <c r="D287" i="335"/>
  <c r="O292" i="335"/>
  <c r="O310" i="335" s="1"/>
  <c r="K342" i="335"/>
  <c r="K359" i="335" s="1"/>
  <c r="J381" i="335"/>
  <c r="K400" i="335"/>
  <c r="J416" i="335"/>
  <c r="D446" i="335"/>
  <c r="J478" i="335"/>
  <c r="J491" i="335" s="1"/>
  <c r="L501" i="335"/>
  <c r="L523" i="335"/>
  <c r="O523" i="335" s="1"/>
  <c r="L527" i="335"/>
  <c r="O527" i="335" s="1"/>
  <c r="L556" i="335"/>
  <c r="O556" i="335" s="1"/>
  <c r="K587" i="335"/>
  <c r="L189" i="335"/>
  <c r="O189" i="335" s="1"/>
  <c r="O204" i="335" s="1"/>
  <c r="P203" i="335" s="1"/>
  <c r="L344" i="335"/>
  <c r="L347" i="335"/>
  <c r="O347" i="335" s="1"/>
  <c r="D379" i="335"/>
  <c r="J401" i="335"/>
  <c r="K432" i="335"/>
  <c r="K434" i="335"/>
  <c r="L455" i="335"/>
  <c r="O493" i="335"/>
  <c r="J517" i="335"/>
  <c r="J541" i="335"/>
  <c r="I651" i="335"/>
  <c r="E149" i="335"/>
  <c r="K76" i="335"/>
  <c r="J112" i="335"/>
  <c r="K167" i="335"/>
  <c r="K184" i="335"/>
  <c r="K203" i="335"/>
  <c r="L241" i="335"/>
  <c r="O241" i="335" s="1"/>
  <c r="K291" i="335"/>
  <c r="K309" i="335" s="1"/>
  <c r="L317" i="335"/>
  <c r="K403" i="335"/>
  <c r="K414" i="335" s="1"/>
  <c r="J503" i="335"/>
  <c r="L506" i="335"/>
  <c r="O506" i="335" s="1"/>
  <c r="L510" i="335"/>
  <c r="O510" i="335" s="1"/>
  <c r="K628" i="335"/>
  <c r="K541" i="335"/>
  <c r="L568" i="335"/>
  <c r="D652" i="335"/>
  <c r="N149" i="335"/>
  <c r="C637" i="335"/>
  <c r="C645" i="335" s="1"/>
  <c r="K36" i="335"/>
  <c r="K111" i="335"/>
  <c r="K165" i="335"/>
  <c r="E584" i="335"/>
  <c r="E636" i="335" s="1"/>
  <c r="E642" i="335" s="1"/>
  <c r="E650" i="335" s="1"/>
  <c r="K614" i="335"/>
  <c r="L47" i="335"/>
  <c r="O47" i="335" s="1"/>
  <c r="L52" i="335"/>
  <c r="O52" i="335" s="1"/>
  <c r="J93" i="335"/>
  <c r="L153" i="335"/>
  <c r="I382" i="335"/>
  <c r="L173" i="335"/>
  <c r="O173" i="335" s="1"/>
  <c r="L177" i="335"/>
  <c r="O177" i="335" s="1"/>
  <c r="L182" i="335"/>
  <c r="O182" i="335" s="1"/>
  <c r="K205" i="335"/>
  <c r="D203" i="335"/>
  <c r="L213" i="335"/>
  <c r="O213" i="335" s="1"/>
  <c r="L217" i="335"/>
  <c r="O217" i="335" s="1"/>
  <c r="L226" i="335"/>
  <c r="O226" i="335" s="1"/>
  <c r="L242" i="335"/>
  <c r="O242" i="335" s="1"/>
  <c r="L246" i="335"/>
  <c r="O246" i="335" s="1"/>
  <c r="L255" i="335"/>
  <c r="L293" i="335"/>
  <c r="K321" i="335"/>
  <c r="L407" i="335"/>
  <c r="O407" i="335" s="1"/>
  <c r="K456" i="335"/>
  <c r="G564" i="335"/>
  <c r="J476" i="335"/>
  <c r="L471" i="335"/>
  <c r="O471" i="335" s="1"/>
  <c r="L490" i="335"/>
  <c r="O490" i="335" s="1"/>
  <c r="K503" i="335"/>
  <c r="L573" i="335"/>
  <c r="N651" i="335"/>
  <c r="E652" i="335"/>
  <c r="E42" i="336"/>
  <c r="N564" i="335"/>
  <c r="J342" i="335"/>
  <c r="F435" i="335"/>
  <c r="H564" i="335"/>
  <c r="J475" i="335"/>
  <c r="M584" i="335"/>
  <c r="M636" i="335" s="1"/>
  <c r="M642" i="335" s="1"/>
  <c r="M650" i="335" s="1"/>
  <c r="H149" i="335"/>
  <c r="K110" i="335"/>
  <c r="K148" i="335"/>
  <c r="J207" i="335"/>
  <c r="J229" i="335" s="1"/>
  <c r="K249" i="335"/>
  <c r="J310" i="335"/>
  <c r="K320" i="335"/>
  <c r="D320" i="335"/>
  <c r="L343" i="335"/>
  <c r="L355" i="335"/>
  <c r="O355" i="335" s="1"/>
  <c r="K448" i="335"/>
  <c r="L508" i="335"/>
  <c r="O508" i="335" s="1"/>
  <c r="K529" i="335"/>
  <c r="E651" i="335"/>
  <c r="J586" i="335"/>
  <c r="G637" i="335"/>
  <c r="G645" i="335" s="1"/>
  <c r="L13" i="335"/>
  <c r="L28" i="335"/>
  <c r="O28" i="335" s="1"/>
  <c r="K55" i="335"/>
  <c r="K618" i="335"/>
  <c r="I149" i="335"/>
  <c r="I383" i="335" s="1"/>
  <c r="J131" i="335"/>
  <c r="J166" i="335"/>
  <c r="J268" i="335"/>
  <c r="J291" i="335"/>
  <c r="K339" i="335"/>
  <c r="D399" i="335"/>
  <c r="J403" i="335"/>
  <c r="L404" i="335"/>
  <c r="O404" i="335" s="1"/>
  <c r="L408" i="335"/>
  <c r="O408" i="335" s="1"/>
  <c r="L445" i="335"/>
  <c r="O445" i="335" s="1"/>
  <c r="L483" i="335"/>
  <c r="O483" i="335" s="1"/>
  <c r="K493" i="335"/>
  <c r="K505" i="335"/>
  <c r="K516" i="335" s="1"/>
  <c r="L526" i="335"/>
  <c r="O526" i="335" s="1"/>
  <c r="K627" i="335"/>
  <c r="K562" i="335"/>
  <c r="F651" i="335"/>
  <c r="H652" i="335"/>
  <c r="F652" i="335"/>
  <c r="I32" i="336"/>
  <c r="K29" i="336"/>
  <c r="I7" i="336"/>
  <c r="K5" i="336"/>
  <c r="E28" i="336"/>
  <c r="D43" i="336"/>
  <c r="K44" i="336"/>
  <c r="K15" i="336"/>
  <c r="I27" i="336"/>
  <c r="G43" i="336"/>
  <c r="G45" i="336" s="1"/>
  <c r="K8" i="336"/>
  <c r="I14" i="336"/>
  <c r="G28" i="336"/>
  <c r="I42" i="336"/>
  <c r="K34" i="336"/>
  <c r="C38" i="335"/>
  <c r="O18" i="335"/>
  <c r="L22" i="335"/>
  <c r="O13" i="335"/>
  <c r="O34" i="335"/>
  <c r="J37" i="335"/>
  <c r="J57" i="335"/>
  <c r="L42" i="335"/>
  <c r="K382" i="335"/>
  <c r="L166" i="335"/>
  <c r="O152" i="335"/>
  <c r="O157" i="335"/>
  <c r="J289" i="335"/>
  <c r="L284" i="335"/>
  <c r="L629" i="335"/>
  <c r="O319" i="335"/>
  <c r="O629" i="335" s="1"/>
  <c r="K379" i="335"/>
  <c r="J437" i="335"/>
  <c r="J610" i="335"/>
  <c r="L453" i="335"/>
  <c r="J457" i="335"/>
  <c r="O460" i="335"/>
  <c r="L607" i="335"/>
  <c r="O573" i="335"/>
  <c r="O607" i="335" s="1"/>
  <c r="F584" i="335"/>
  <c r="F636" i="335" s="1"/>
  <c r="F20" i="335"/>
  <c r="F38" i="335" s="1"/>
  <c r="N584" i="335"/>
  <c r="N636" i="335" s="1"/>
  <c r="N20" i="335"/>
  <c r="N38" i="335" s="1"/>
  <c r="K586" i="335"/>
  <c r="J596" i="335"/>
  <c r="M20" i="335"/>
  <c r="M38" i="335" s="1"/>
  <c r="M383" i="335" s="1"/>
  <c r="M637" i="335"/>
  <c r="M645" i="335" s="1"/>
  <c r="D638" i="335"/>
  <c r="H638" i="335"/>
  <c r="H646" i="335" s="1"/>
  <c r="M638" i="335"/>
  <c r="M646" i="335" s="1"/>
  <c r="J24" i="335"/>
  <c r="L29" i="335"/>
  <c r="L37" i="335"/>
  <c r="L41" i="335"/>
  <c r="J593" i="335"/>
  <c r="L46" i="335"/>
  <c r="L51" i="335"/>
  <c r="O51" i="335" s="1"/>
  <c r="G149" i="335"/>
  <c r="J56" i="335"/>
  <c r="J59" i="335"/>
  <c r="K75" i="335"/>
  <c r="L64" i="335"/>
  <c r="O64" i="335" s="1"/>
  <c r="L68" i="335"/>
  <c r="O68" i="335" s="1"/>
  <c r="L73" i="335"/>
  <c r="O73" i="335" s="1"/>
  <c r="L79" i="335"/>
  <c r="L82" i="335"/>
  <c r="O82" i="335" s="1"/>
  <c r="L84" i="335"/>
  <c r="O84" i="335" s="1"/>
  <c r="L86" i="335"/>
  <c r="O86" i="335" s="1"/>
  <c r="L89" i="335"/>
  <c r="O89" i="335" s="1"/>
  <c r="L91" i="335"/>
  <c r="O91" i="335" s="1"/>
  <c r="L101" i="335"/>
  <c r="O101" i="335" s="1"/>
  <c r="L103" i="335"/>
  <c r="O103" i="335" s="1"/>
  <c r="L106" i="335"/>
  <c r="O106" i="335" s="1"/>
  <c r="L108" i="335"/>
  <c r="O108" i="335" s="1"/>
  <c r="L115" i="335"/>
  <c r="L118" i="335"/>
  <c r="O118" i="335" s="1"/>
  <c r="L120" i="335"/>
  <c r="O120" i="335" s="1"/>
  <c r="L122" i="335"/>
  <c r="O122" i="335" s="1"/>
  <c r="L125" i="335"/>
  <c r="O125" i="335" s="1"/>
  <c r="L127" i="335"/>
  <c r="O127" i="335" s="1"/>
  <c r="L134" i="335"/>
  <c r="L137" i="335"/>
  <c r="O137" i="335" s="1"/>
  <c r="L139" i="335"/>
  <c r="O139" i="335" s="1"/>
  <c r="L142" i="335"/>
  <c r="O142" i="335" s="1"/>
  <c r="L144" i="335"/>
  <c r="O144" i="335" s="1"/>
  <c r="N382" i="335"/>
  <c r="L170" i="335"/>
  <c r="J185" i="335"/>
  <c r="J231" i="335"/>
  <c r="L209" i="335"/>
  <c r="J599" i="335"/>
  <c r="L216" i="335"/>
  <c r="J597" i="335"/>
  <c r="L220" i="335"/>
  <c r="J613" i="335"/>
  <c r="L225" i="335"/>
  <c r="L248" i="335"/>
  <c r="O248" i="335" s="1"/>
  <c r="J250" i="335"/>
  <c r="K287" i="335"/>
  <c r="L403" i="335"/>
  <c r="J414" i="335"/>
  <c r="M644" i="335"/>
  <c r="O9" i="335"/>
  <c r="K21" i="335"/>
  <c r="K35" i="335"/>
  <c r="J36" i="335"/>
  <c r="K57" i="335"/>
  <c r="L207" i="335"/>
  <c r="J309" i="335"/>
  <c r="L291" i="335"/>
  <c r="O314" i="335"/>
  <c r="O321" i="335" s="1"/>
  <c r="L321" i="335"/>
  <c r="K381" i="335"/>
  <c r="L416" i="335"/>
  <c r="O405" i="335"/>
  <c r="O416" i="335" s="1"/>
  <c r="C584" i="335"/>
  <c r="C636" i="335" s="1"/>
  <c r="J8" i="335"/>
  <c r="K22" i="335"/>
  <c r="L12" i="335"/>
  <c r="J595" i="335"/>
  <c r="K596" i="335"/>
  <c r="L16" i="335"/>
  <c r="E637" i="335"/>
  <c r="I637" i="335"/>
  <c r="I645" i="335" s="1"/>
  <c r="N637" i="335"/>
  <c r="N645" i="335" s="1"/>
  <c r="E638" i="335"/>
  <c r="I638" i="335"/>
  <c r="I646" i="335" s="1"/>
  <c r="N638" i="335"/>
  <c r="N646" i="335" s="1"/>
  <c r="K37" i="335"/>
  <c r="J40" i="335"/>
  <c r="K56" i="335"/>
  <c r="L45" i="335"/>
  <c r="O45" i="335" s="1"/>
  <c r="K593" i="335"/>
  <c r="J612" i="335"/>
  <c r="L50" i="335"/>
  <c r="J620" i="335"/>
  <c r="L54" i="335"/>
  <c r="O60" i="335"/>
  <c r="L63" i="335"/>
  <c r="O63" i="335" s="1"/>
  <c r="L67" i="335"/>
  <c r="O67" i="335" s="1"/>
  <c r="L72" i="335"/>
  <c r="O72" i="335" s="1"/>
  <c r="J75" i="335"/>
  <c r="K93" i="335"/>
  <c r="K92" i="335"/>
  <c r="K112" i="335"/>
  <c r="K129" i="335"/>
  <c r="K130" i="335"/>
  <c r="K146" i="335"/>
  <c r="K147" i="335"/>
  <c r="F382" i="335"/>
  <c r="O159" i="335"/>
  <c r="H382" i="335"/>
  <c r="H383" i="335" s="1"/>
  <c r="J169" i="335"/>
  <c r="J188" i="335"/>
  <c r="L205" i="335"/>
  <c r="O190" i="335"/>
  <c r="O205" i="335" s="1"/>
  <c r="J233" i="335"/>
  <c r="K250" i="335"/>
  <c r="O235" i="335"/>
  <c r="O251" i="335" s="1"/>
  <c r="L251" i="335"/>
  <c r="J288" i="335"/>
  <c r="L276" i="335"/>
  <c r="O276" i="335" s="1"/>
  <c r="L285" i="335"/>
  <c r="O285" i="335" s="1"/>
  <c r="H435" i="335"/>
  <c r="O14" i="335"/>
  <c r="O25" i="335"/>
  <c r="L268" i="335"/>
  <c r="O254" i="335"/>
  <c r="O268" i="335" s="1"/>
  <c r="J287" i="335"/>
  <c r="L271" i="335"/>
  <c r="L288" i="335"/>
  <c r="O272" i="335"/>
  <c r="O288" i="335" s="1"/>
  <c r="O22" i="335"/>
  <c r="J590" i="335"/>
  <c r="J651" i="335" s="1"/>
  <c r="K595" i="335"/>
  <c r="O15" i="335"/>
  <c r="J611" i="335"/>
  <c r="E20" i="335"/>
  <c r="E38" i="335" s="1"/>
  <c r="E383" i="335" s="1"/>
  <c r="F637" i="335"/>
  <c r="F645" i="335" s="1"/>
  <c r="J21" i="335"/>
  <c r="F638" i="335"/>
  <c r="F646" i="335" s="1"/>
  <c r="J22" i="335"/>
  <c r="J614" i="335"/>
  <c r="L44" i="335"/>
  <c r="O44" i="335" s="1"/>
  <c r="L48" i="335"/>
  <c r="O48" i="335" s="1"/>
  <c r="K612" i="335"/>
  <c r="J618" i="335"/>
  <c r="L53" i="335"/>
  <c r="K620" i="335"/>
  <c r="J76" i="335"/>
  <c r="L61" i="335"/>
  <c r="L66" i="335"/>
  <c r="O66" i="335" s="1"/>
  <c r="L71" i="335"/>
  <c r="O71" i="335" s="1"/>
  <c r="C92" i="335"/>
  <c r="C149" i="335" s="1"/>
  <c r="J78" i="335"/>
  <c r="J94" i="335"/>
  <c r="L80" i="335"/>
  <c r="L83" i="335"/>
  <c r="O83" i="335" s="1"/>
  <c r="L85" i="335"/>
  <c r="O85" i="335" s="1"/>
  <c r="L88" i="335"/>
  <c r="O88" i="335" s="1"/>
  <c r="L90" i="335"/>
  <c r="O90" i="335" s="1"/>
  <c r="L97" i="335"/>
  <c r="L100" i="335"/>
  <c r="O100" i="335" s="1"/>
  <c r="L102" i="335"/>
  <c r="O102" i="335" s="1"/>
  <c r="L105" i="335"/>
  <c r="O105" i="335" s="1"/>
  <c r="L107" i="335"/>
  <c r="O107" i="335" s="1"/>
  <c r="L109" i="335"/>
  <c r="O109" i="335" s="1"/>
  <c r="L119" i="335"/>
  <c r="O119" i="335" s="1"/>
  <c r="L121" i="335"/>
  <c r="O121" i="335" s="1"/>
  <c r="L123" i="335"/>
  <c r="O123" i="335" s="1"/>
  <c r="L126" i="335"/>
  <c r="O126" i="335" s="1"/>
  <c r="L128" i="335"/>
  <c r="O128" i="335" s="1"/>
  <c r="L138" i="335"/>
  <c r="O138" i="335" s="1"/>
  <c r="L140" i="335"/>
  <c r="O140" i="335" s="1"/>
  <c r="L143" i="335"/>
  <c r="O143" i="335" s="1"/>
  <c r="L145" i="335"/>
  <c r="O145" i="335" s="1"/>
  <c r="J151" i="335"/>
  <c r="L167" i="335"/>
  <c r="O153" i="335"/>
  <c r="O167" i="335" s="1"/>
  <c r="J186" i="335"/>
  <c r="L171" i="335"/>
  <c r="L204" i="335"/>
  <c r="L208" i="335"/>
  <c r="J230" i="335"/>
  <c r="J602" i="335"/>
  <c r="L221" i="335"/>
  <c r="J630" i="335"/>
  <c r="L228" i="335"/>
  <c r="L250" i="335"/>
  <c r="O234" i="335"/>
  <c r="L239" i="335"/>
  <c r="O239" i="335" s="1"/>
  <c r="J253" i="335"/>
  <c r="L269" i="335"/>
  <c r="O255" i="335"/>
  <c r="O269" i="335" s="1"/>
  <c r="L342" i="335"/>
  <c r="J359" i="335"/>
  <c r="D584" i="335"/>
  <c r="D636" i="335" s="1"/>
  <c r="K8" i="335"/>
  <c r="D637" i="335"/>
  <c r="D645" i="335" s="1"/>
  <c r="H637" i="335"/>
  <c r="H645" i="335" s="1"/>
  <c r="C638" i="335"/>
  <c r="C646" i="335" s="1"/>
  <c r="G638" i="335"/>
  <c r="G646" i="335" s="1"/>
  <c r="J96" i="335"/>
  <c r="L98" i="335"/>
  <c r="J114" i="335"/>
  <c r="L116" i="335"/>
  <c r="J133" i="335"/>
  <c r="L135" i="335"/>
  <c r="D184" i="335"/>
  <c r="D229" i="335"/>
  <c r="K253" i="335"/>
  <c r="K267" i="335" s="1"/>
  <c r="C287" i="335"/>
  <c r="C309" i="335"/>
  <c r="J324" i="335"/>
  <c r="L329" i="335"/>
  <c r="O329" i="335" s="1"/>
  <c r="L331" i="335"/>
  <c r="O331" i="335" s="1"/>
  <c r="L333" i="335"/>
  <c r="O333" i="335" s="1"/>
  <c r="L336" i="335"/>
  <c r="O336" i="335" s="1"/>
  <c r="L364" i="335"/>
  <c r="L367" i="335"/>
  <c r="O367" i="335" s="1"/>
  <c r="L369" i="335"/>
  <c r="O369" i="335" s="1"/>
  <c r="L371" i="335"/>
  <c r="O371" i="335" s="1"/>
  <c r="L373" i="335"/>
  <c r="O373" i="335" s="1"/>
  <c r="L376" i="335"/>
  <c r="O376" i="335" s="1"/>
  <c r="L378" i="335"/>
  <c r="O378" i="335" s="1"/>
  <c r="J385" i="335"/>
  <c r="M435" i="335"/>
  <c r="L390" i="335"/>
  <c r="O390" i="335" s="1"/>
  <c r="L392" i="335"/>
  <c r="O392" i="335" s="1"/>
  <c r="L395" i="335"/>
  <c r="O395" i="335" s="1"/>
  <c r="L397" i="335"/>
  <c r="O397" i="335" s="1"/>
  <c r="L415" i="335"/>
  <c r="K433" i="335"/>
  <c r="J594" i="335"/>
  <c r="J600" i="335"/>
  <c r="G382" i="335"/>
  <c r="K289" i="335"/>
  <c r="L598" i="335"/>
  <c r="O317" i="335"/>
  <c r="O598" i="335" s="1"/>
  <c r="K338" i="335"/>
  <c r="K340" i="335"/>
  <c r="K380" i="335"/>
  <c r="K399" i="335"/>
  <c r="K435" i="335" s="1"/>
  <c r="K401" i="335"/>
  <c r="D435" i="335"/>
  <c r="O415" i="335"/>
  <c r="O455" i="335"/>
  <c r="J495" i="335"/>
  <c r="O498" i="335"/>
  <c r="L503" i="335"/>
  <c r="J543" i="335"/>
  <c r="O545" i="335"/>
  <c r="K594" i="335"/>
  <c r="K600" i="335"/>
  <c r="K251" i="335"/>
  <c r="J313" i="335"/>
  <c r="L322" i="335"/>
  <c r="O315" i="335"/>
  <c r="O322" i="335" s="1"/>
  <c r="L325" i="335"/>
  <c r="L328" i="335"/>
  <c r="O328" i="335" s="1"/>
  <c r="L330" i="335"/>
  <c r="O330" i="335" s="1"/>
  <c r="L332" i="335"/>
  <c r="O332" i="335" s="1"/>
  <c r="L335" i="335"/>
  <c r="O335" i="335" s="1"/>
  <c r="L337" i="335"/>
  <c r="O337" i="335" s="1"/>
  <c r="J363" i="335"/>
  <c r="L368" i="335"/>
  <c r="O368" i="335" s="1"/>
  <c r="L370" i="335"/>
  <c r="O370" i="335" s="1"/>
  <c r="L372" i="335"/>
  <c r="O372" i="335" s="1"/>
  <c r="L375" i="335"/>
  <c r="O375" i="335" s="1"/>
  <c r="L377" i="335"/>
  <c r="O377" i="335" s="1"/>
  <c r="E435" i="335"/>
  <c r="L386" i="335"/>
  <c r="L389" i="335"/>
  <c r="O389" i="335" s="1"/>
  <c r="L396" i="335"/>
  <c r="O396" i="335" s="1"/>
  <c r="J447" i="335"/>
  <c r="L438" i="335"/>
  <c r="L326" i="335"/>
  <c r="C359" i="335"/>
  <c r="L365" i="335"/>
  <c r="L387" i="335"/>
  <c r="L391" i="335"/>
  <c r="L393" i="335"/>
  <c r="L398" i="335"/>
  <c r="I435" i="335"/>
  <c r="C414" i="335"/>
  <c r="C435" i="335" s="1"/>
  <c r="K415" i="335"/>
  <c r="L422" i="335"/>
  <c r="O422" i="335" s="1"/>
  <c r="L426" i="335"/>
  <c r="O426" i="335" s="1"/>
  <c r="L431" i="335"/>
  <c r="O431" i="335" s="1"/>
  <c r="D432" i="335"/>
  <c r="L439" i="335"/>
  <c r="J450" i="335"/>
  <c r="I584" i="335"/>
  <c r="I636" i="335" s="1"/>
  <c r="I474" i="335"/>
  <c r="I564" i="335" s="1"/>
  <c r="K475" i="335"/>
  <c r="K478" i="335"/>
  <c r="K491" i="335" s="1"/>
  <c r="L493" i="335"/>
  <c r="J505" i="335"/>
  <c r="C516" i="335"/>
  <c r="J609" i="335"/>
  <c r="L522" i="335"/>
  <c r="J619" i="335"/>
  <c r="L524" i="335"/>
  <c r="L534" i="335"/>
  <c r="O534" i="335" s="1"/>
  <c r="L536" i="335"/>
  <c r="O536" i="335" s="1"/>
  <c r="O562" i="335"/>
  <c r="K563" i="335"/>
  <c r="K567" i="335"/>
  <c r="K579" i="335" s="1"/>
  <c r="D579" i="335"/>
  <c r="C651" i="335"/>
  <c r="G651" i="335"/>
  <c r="K416" i="335"/>
  <c r="J418" i="335"/>
  <c r="J434" i="335"/>
  <c r="L420" i="335"/>
  <c r="L425" i="335"/>
  <c r="O425" i="335" s="1"/>
  <c r="L430" i="335"/>
  <c r="O430" i="335" s="1"/>
  <c r="F564" i="335"/>
  <c r="K519" i="335"/>
  <c r="K528" i="335" s="1"/>
  <c r="D528" i="335"/>
  <c r="J582" i="335"/>
  <c r="J639" i="335" s="1"/>
  <c r="J647" i="335" s="1"/>
  <c r="L570" i="335"/>
  <c r="K635" i="335"/>
  <c r="K653" i="335" s="1"/>
  <c r="K582" i="335"/>
  <c r="K639" i="335" s="1"/>
  <c r="L419" i="335"/>
  <c r="J591" i="335"/>
  <c r="L424" i="335"/>
  <c r="L429" i="335"/>
  <c r="O429" i="335" s="1"/>
  <c r="J433" i="335"/>
  <c r="E564" i="335"/>
  <c r="O451" i="335"/>
  <c r="O520" i="335"/>
  <c r="J626" i="335"/>
  <c r="L525" i="335"/>
  <c r="J529" i="335"/>
  <c r="L535" i="335"/>
  <c r="O535" i="335" s="1"/>
  <c r="L539" i="335"/>
  <c r="L562" i="335"/>
  <c r="L580" i="335"/>
  <c r="O568" i="335"/>
  <c r="O580" i="335" s="1"/>
  <c r="J634" i="335"/>
  <c r="J653" i="335" s="1"/>
  <c r="L577" i="335"/>
  <c r="K610" i="335"/>
  <c r="K615" i="335"/>
  <c r="K652" i="335" s="1"/>
  <c r="D456" i="335"/>
  <c r="D564" i="335" s="1"/>
  <c r="J459" i="335"/>
  <c r="L461" i="335"/>
  <c r="L464" i="335"/>
  <c r="L466" i="335"/>
  <c r="L472" i="335"/>
  <c r="J601" i="335"/>
  <c r="C491" i="335"/>
  <c r="C564" i="335" s="1"/>
  <c r="K495" i="335"/>
  <c r="K502" i="335" s="1"/>
  <c r="J628" i="335"/>
  <c r="J531" i="335"/>
  <c r="L532" i="335"/>
  <c r="L537" i="335"/>
  <c r="L538" i="335"/>
  <c r="K543" i="335"/>
  <c r="K561" i="335" s="1"/>
  <c r="L553" i="335"/>
  <c r="O553" i="335" s="1"/>
  <c r="L557" i="335"/>
  <c r="O557" i="335" s="1"/>
  <c r="L578" i="335"/>
  <c r="G584" i="335"/>
  <c r="G636" i="335" s="1"/>
  <c r="D651" i="335"/>
  <c r="D655" i="335" s="1"/>
  <c r="H651" i="335"/>
  <c r="M651" i="335"/>
  <c r="N652" i="335"/>
  <c r="N655" i="335" s="1"/>
  <c r="M564" i="335"/>
  <c r="K459" i="335"/>
  <c r="K474" i="335" s="1"/>
  <c r="K601" i="335"/>
  <c r="K517" i="335"/>
  <c r="J519" i="335"/>
  <c r="K531" i="335"/>
  <c r="K540" i="335" s="1"/>
  <c r="J563" i="335"/>
  <c r="J567" i="335"/>
  <c r="H584" i="335"/>
  <c r="H636" i="335" s="1"/>
  <c r="L479" i="335"/>
  <c r="L485" i="335"/>
  <c r="L486" i="335"/>
  <c r="L487" i="335"/>
  <c r="L511" i="335"/>
  <c r="L512" i="335"/>
  <c r="L513" i="335"/>
  <c r="L514" i="335"/>
  <c r="J627" i="335"/>
  <c r="L555" i="335"/>
  <c r="O555" i="335" s="1"/>
  <c r="L559" i="335"/>
  <c r="O559" i="335" s="1"/>
  <c r="L569" i="335"/>
  <c r="L575" i="335"/>
  <c r="E655" i="335"/>
  <c r="C652" i="335"/>
  <c r="G652" i="335"/>
  <c r="M652" i="335"/>
  <c r="F655" i="335"/>
  <c r="C653" i="335"/>
  <c r="G653" i="335"/>
  <c r="I655" i="335"/>
  <c r="H655" i="335" l="1"/>
  <c r="E644" i="335"/>
  <c r="C382" i="335"/>
  <c r="L36" i="335"/>
  <c r="O343" i="335"/>
  <c r="O360" i="335" s="1"/>
  <c r="L360" i="335"/>
  <c r="L478" i="335"/>
  <c r="M655" i="335"/>
  <c r="K564" i="335"/>
  <c r="D382" i="335"/>
  <c r="D383" i="335" s="1"/>
  <c r="D565" i="335" s="1"/>
  <c r="D583" i="335" s="1"/>
  <c r="L311" i="335"/>
  <c r="O293" i="335"/>
  <c r="O311" i="335" s="1"/>
  <c r="P309" i="335"/>
  <c r="L21" i="335"/>
  <c r="O594" i="335"/>
  <c r="O501" i="335"/>
  <c r="L621" i="335"/>
  <c r="P267" i="335"/>
  <c r="G383" i="335"/>
  <c r="G565" i="335" s="1"/>
  <c r="G583" i="335" s="1"/>
  <c r="H565" i="335"/>
  <c r="H583" i="335" s="1"/>
  <c r="K149" i="335"/>
  <c r="L361" i="335"/>
  <c r="O344" i="335"/>
  <c r="O361" i="335" s="1"/>
  <c r="M34" i="336"/>
  <c r="M42" i="336" s="1"/>
  <c r="K42" i="336"/>
  <c r="K14" i="336"/>
  <c r="M8" i="336"/>
  <c r="M14" i="336" s="1"/>
  <c r="M5" i="336"/>
  <c r="M7" i="336" s="1"/>
  <c r="K7" i="336"/>
  <c r="M44" i="336"/>
  <c r="I28" i="336"/>
  <c r="I43" i="336" s="1"/>
  <c r="I45" i="336" s="1"/>
  <c r="E43" i="336"/>
  <c r="D45" i="336"/>
  <c r="E45" i="336" s="1"/>
  <c r="M29" i="336"/>
  <c r="M32" i="336" s="1"/>
  <c r="K32" i="336"/>
  <c r="K27" i="336"/>
  <c r="M15" i="336"/>
  <c r="M27" i="336" s="1"/>
  <c r="I565" i="335"/>
  <c r="I583" i="335" s="1"/>
  <c r="O569" i="335"/>
  <c r="L581" i="335"/>
  <c r="L628" i="335"/>
  <c r="O514" i="335"/>
  <c r="O628" i="335" s="1"/>
  <c r="L606" i="335"/>
  <c r="O487" i="335"/>
  <c r="O606" i="335" s="1"/>
  <c r="O466" i="335"/>
  <c r="O592" i="335" s="1"/>
  <c r="L592" i="335"/>
  <c r="L627" i="335"/>
  <c r="O539" i="335"/>
  <c r="O627" i="335" s="1"/>
  <c r="O522" i="335"/>
  <c r="O609" i="335" s="1"/>
  <c r="L609" i="335"/>
  <c r="L491" i="335"/>
  <c r="O478" i="335"/>
  <c r="L401" i="335"/>
  <c r="O387" i="335"/>
  <c r="L114" i="335"/>
  <c r="J129" i="335"/>
  <c r="L618" i="335"/>
  <c r="O53" i="335"/>
  <c r="O618" i="335" s="1"/>
  <c r="O271" i="335"/>
  <c r="L287" i="335"/>
  <c r="J249" i="335"/>
  <c r="L233" i="335"/>
  <c r="K638" i="335"/>
  <c r="K637" i="335"/>
  <c r="K645" i="335" s="1"/>
  <c r="L597" i="335"/>
  <c r="O220" i="335"/>
  <c r="O597" i="335" s="1"/>
  <c r="O209" i="335"/>
  <c r="L231" i="335"/>
  <c r="O41" i="335"/>
  <c r="L56" i="335"/>
  <c r="M565" i="335"/>
  <c r="M583" i="335" s="1"/>
  <c r="N644" i="335"/>
  <c r="N642" i="335"/>
  <c r="N650" i="335" s="1"/>
  <c r="L610" i="335"/>
  <c r="O453" i="335"/>
  <c r="O610" i="335" s="1"/>
  <c r="L590" i="335"/>
  <c r="L625" i="335"/>
  <c r="O513" i="335"/>
  <c r="O625" i="335" s="1"/>
  <c r="L605" i="335"/>
  <c r="O486" i="335"/>
  <c r="O605" i="335" s="1"/>
  <c r="J579" i="335"/>
  <c r="L567" i="335"/>
  <c r="L635" i="335"/>
  <c r="O578" i="335"/>
  <c r="O635" i="335" s="1"/>
  <c r="L531" i="335"/>
  <c r="J540" i="335"/>
  <c r="L589" i="335"/>
  <c r="O464" i="335"/>
  <c r="O589" i="335" s="1"/>
  <c r="L529" i="335"/>
  <c r="J652" i="335"/>
  <c r="O439" i="335"/>
  <c r="O448" i="335" s="1"/>
  <c r="L448" i="335"/>
  <c r="L631" i="335"/>
  <c r="O398" i="335"/>
  <c r="O631" i="335" s="1"/>
  <c r="L381" i="335"/>
  <c r="O365" i="335"/>
  <c r="O381" i="335" s="1"/>
  <c r="L447" i="335"/>
  <c r="O438" i="335"/>
  <c r="O447" i="335" s="1"/>
  <c r="L400" i="335"/>
  <c r="O386" i="335"/>
  <c r="J561" i="335"/>
  <c r="L543" i="335"/>
  <c r="O615" i="335"/>
  <c r="L148" i="335"/>
  <c r="O135" i="335"/>
  <c r="O148" i="335" s="1"/>
  <c r="L112" i="335"/>
  <c r="O98" i="335"/>
  <c r="O112" i="335" s="1"/>
  <c r="L253" i="335"/>
  <c r="J267" i="335"/>
  <c r="L630" i="335"/>
  <c r="O228" i="335"/>
  <c r="O630" i="335" s="1"/>
  <c r="O171" i="335"/>
  <c r="O186" i="335" s="1"/>
  <c r="L186" i="335"/>
  <c r="J92" i="335"/>
  <c r="L78" i="335"/>
  <c r="O61" i="335"/>
  <c r="O76" i="335" s="1"/>
  <c r="L76" i="335"/>
  <c r="J637" i="335"/>
  <c r="J645" i="335" s="1"/>
  <c r="O596" i="335"/>
  <c r="L620" i="335"/>
  <c r="O54" i="335"/>
  <c r="O620" i="335" s="1"/>
  <c r="J584" i="335"/>
  <c r="J636" i="335" s="1"/>
  <c r="J20" i="335"/>
  <c r="L8" i="335"/>
  <c r="L309" i="335"/>
  <c r="O291" i="335"/>
  <c r="O309" i="335" s="1"/>
  <c r="L147" i="335"/>
  <c r="O134" i="335"/>
  <c r="O147" i="335" s="1"/>
  <c r="L93" i="335"/>
  <c r="O79" i="335"/>
  <c r="O93" i="335" s="1"/>
  <c r="F383" i="335"/>
  <c r="F565" i="335" s="1"/>
  <c r="F583" i="335" s="1"/>
  <c r="O475" i="335"/>
  <c r="L594" i="335"/>
  <c r="L75" i="335"/>
  <c r="L614" i="335"/>
  <c r="O611" i="335"/>
  <c r="H642" i="335"/>
  <c r="H650" i="335" s="1"/>
  <c r="H644" i="335"/>
  <c r="J528" i="335"/>
  <c r="L519" i="335"/>
  <c r="L418" i="335"/>
  <c r="J432" i="335"/>
  <c r="L505" i="335"/>
  <c r="J516" i="335"/>
  <c r="L363" i="335"/>
  <c r="J379" i="335"/>
  <c r="L563" i="335"/>
  <c r="L624" i="335"/>
  <c r="O512" i="335"/>
  <c r="O624" i="335" s="1"/>
  <c r="L601" i="335"/>
  <c r="O485" i="335"/>
  <c r="O601" i="335" s="1"/>
  <c r="L623" i="335"/>
  <c r="O538" i="335"/>
  <c r="O623" i="335" s="1"/>
  <c r="L476" i="335"/>
  <c r="O461" i="335"/>
  <c r="L517" i="335"/>
  <c r="L313" i="335"/>
  <c r="J320" i="335"/>
  <c r="L615" i="335"/>
  <c r="L380" i="335"/>
  <c r="O364" i="335"/>
  <c r="O380" i="335" s="1"/>
  <c r="P379" i="335" s="1"/>
  <c r="L133" i="335"/>
  <c r="J146" i="335"/>
  <c r="L96" i="335"/>
  <c r="J110" i="335"/>
  <c r="L359" i="335"/>
  <c r="O342" i="335"/>
  <c r="O359" i="335" s="1"/>
  <c r="L230" i="335"/>
  <c r="O208" i="335"/>
  <c r="L151" i="335"/>
  <c r="J165" i="335"/>
  <c r="L111" i="335"/>
  <c r="O97" i="335"/>
  <c r="O111" i="335" s="1"/>
  <c r="P110" i="335" s="1"/>
  <c r="O37" i="335"/>
  <c r="L596" i="335"/>
  <c r="P287" i="335"/>
  <c r="O595" i="335"/>
  <c r="O600" i="335"/>
  <c r="C644" i="335"/>
  <c r="C642" i="335"/>
  <c r="C650" i="335" s="1"/>
  <c r="L414" i="335"/>
  <c r="O403" i="335"/>
  <c r="O414" i="335" s="1"/>
  <c r="L613" i="335"/>
  <c r="O225" i="335"/>
  <c r="O613" i="335" s="1"/>
  <c r="L599" i="335"/>
  <c r="O216" i="335"/>
  <c r="O599" i="335" s="1"/>
  <c r="J74" i="335"/>
  <c r="L59" i="335"/>
  <c r="L593" i="335"/>
  <c r="O46" i="335"/>
  <c r="O593" i="335" s="1"/>
  <c r="L587" i="335"/>
  <c r="O29" i="335"/>
  <c r="O587" i="335" s="1"/>
  <c r="K651" i="335"/>
  <c r="K655" i="335" s="1"/>
  <c r="F644" i="335"/>
  <c r="F642" i="335"/>
  <c r="F650" i="335" s="1"/>
  <c r="L475" i="335"/>
  <c r="J446" i="335"/>
  <c r="L437" i="335"/>
  <c r="O284" i="335"/>
  <c r="O289" i="335" s="1"/>
  <c r="L289" i="335"/>
  <c r="O166" i="335"/>
  <c r="P165" i="335" s="1"/>
  <c r="O42" i="335"/>
  <c r="L57" i="335"/>
  <c r="L611" i="335"/>
  <c r="C655" i="335"/>
  <c r="G644" i="335"/>
  <c r="G642" i="335"/>
  <c r="G650" i="335" s="1"/>
  <c r="O532" i="335"/>
  <c r="L541" i="335"/>
  <c r="J655" i="335"/>
  <c r="L591" i="335"/>
  <c r="O424" i="335"/>
  <c r="O591" i="335" s="1"/>
  <c r="J456" i="335"/>
  <c r="L450" i="335"/>
  <c r="L495" i="335"/>
  <c r="J502" i="335"/>
  <c r="D642" i="335"/>
  <c r="D650" i="335" s="1"/>
  <c r="D644" i="335"/>
  <c r="J184" i="335"/>
  <c r="L169" i="335"/>
  <c r="O75" i="335"/>
  <c r="J55" i="335"/>
  <c r="L40" i="335"/>
  <c r="L603" i="335"/>
  <c r="O16" i="335"/>
  <c r="O603" i="335" s="1"/>
  <c r="P320" i="335"/>
  <c r="O419" i="335"/>
  <c r="O433" i="335" s="1"/>
  <c r="L433" i="335"/>
  <c r="O570" i="335"/>
  <c r="L582" i="335"/>
  <c r="L639" i="335" s="1"/>
  <c r="L647" i="335" s="1"/>
  <c r="L434" i="335"/>
  <c r="O420" i="335"/>
  <c r="O434" i="335" s="1"/>
  <c r="L619" i="335"/>
  <c r="O524" i="335"/>
  <c r="O619" i="335" s="1"/>
  <c r="L604" i="335"/>
  <c r="O393" i="335"/>
  <c r="O604" i="335" s="1"/>
  <c r="G655" i="335"/>
  <c r="L632" i="335"/>
  <c r="O575" i="335"/>
  <c r="O632" i="335" s="1"/>
  <c r="L616" i="335"/>
  <c r="O511" i="335"/>
  <c r="O479" i="335"/>
  <c r="L492" i="335"/>
  <c r="L622" i="335"/>
  <c r="O537" i="335"/>
  <c r="O622" i="335" s="1"/>
  <c r="L617" i="335"/>
  <c r="O472" i="335"/>
  <c r="O617" i="335" s="1"/>
  <c r="L459" i="335"/>
  <c r="J474" i="335"/>
  <c r="L634" i="335"/>
  <c r="L653" i="335" s="1"/>
  <c r="O577" i="335"/>
  <c r="O634" i="335" s="1"/>
  <c r="O653" i="335" s="1"/>
  <c r="L626" i="335"/>
  <c r="O525" i="335"/>
  <c r="O626" i="335" s="1"/>
  <c r="L457" i="335"/>
  <c r="I644" i="335"/>
  <c r="I642" i="335"/>
  <c r="I650" i="335" s="1"/>
  <c r="L588" i="335"/>
  <c r="O391" i="335"/>
  <c r="O588" i="335" s="1"/>
  <c r="L340" i="335"/>
  <c r="O326" i="335"/>
  <c r="O340" i="335" s="1"/>
  <c r="L339" i="335"/>
  <c r="O325" i="335"/>
  <c r="O339" i="335" s="1"/>
  <c r="P338" i="335" s="1"/>
  <c r="O563" i="335"/>
  <c r="P561" i="335" s="1"/>
  <c r="P414" i="335"/>
  <c r="L385" i="335"/>
  <c r="J399" i="335"/>
  <c r="L324" i="335"/>
  <c r="J338" i="335"/>
  <c r="L131" i="335"/>
  <c r="O116" i="335"/>
  <c r="O131" i="335" s="1"/>
  <c r="K584" i="335"/>
  <c r="K636" i="335" s="1"/>
  <c r="K20" i="335"/>
  <c r="K38" i="335" s="1"/>
  <c r="K383" i="335" s="1"/>
  <c r="K565" i="335" s="1"/>
  <c r="K583" i="335" s="1"/>
  <c r="O250" i="335"/>
  <c r="P249" i="335" s="1"/>
  <c r="L602" i="335"/>
  <c r="O221" i="335"/>
  <c r="O602" i="335" s="1"/>
  <c r="L94" i="335"/>
  <c r="O80" i="335"/>
  <c r="O94" i="335" s="1"/>
  <c r="J638" i="335"/>
  <c r="J646" i="335" s="1"/>
  <c r="E565" i="335"/>
  <c r="E583" i="335" s="1"/>
  <c r="L595" i="335"/>
  <c r="L188" i="335"/>
  <c r="J203" i="335"/>
  <c r="L600" i="335"/>
  <c r="L612" i="335"/>
  <c r="O50" i="335"/>
  <c r="O612" i="335" s="1"/>
  <c r="L586" i="335"/>
  <c r="O12" i="335"/>
  <c r="O586" i="335" s="1"/>
  <c r="O207" i="335"/>
  <c r="L229" i="335"/>
  <c r="L185" i="335"/>
  <c r="O170" i="335"/>
  <c r="O185" i="335" s="1"/>
  <c r="L130" i="335"/>
  <c r="O115" i="335"/>
  <c r="O130" i="335" s="1"/>
  <c r="J35" i="335"/>
  <c r="L24" i="335"/>
  <c r="N383" i="335"/>
  <c r="N565" i="335" s="1"/>
  <c r="N583" i="335" s="1"/>
  <c r="O590" i="335"/>
  <c r="C383" i="335"/>
  <c r="C565" i="335" s="1"/>
  <c r="C583" i="335" s="1"/>
  <c r="O21" i="335" l="1"/>
  <c r="O621" i="335"/>
  <c r="O503" i="335"/>
  <c r="L637" i="335"/>
  <c r="L645" i="335" s="1"/>
  <c r="L651" i="335"/>
  <c r="J435" i="335"/>
  <c r="P432" i="335"/>
  <c r="L638" i="335"/>
  <c r="L646" i="335" s="1"/>
  <c r="P359" i="335"/>
  <c r="O614" i="335"/>
  <c r="O491" i="335"/>
  <c r="K28" i="336"/>
  <c r="O230" i="335"/>
  <c r="O287" i="335"/>
  <c r="M28" i="336"/>
  <c r="M43" i="336" s="1"/>
  <c r="M45" i="336" s="1"/>
  <c r="K43" i="336"/>
  <c r="K45" i="336" s="1"/>
  <c r="L320" i="335"/>
  <c r="O313" i="335"/>
  <c r="O320" i="335" s="1"/>
  <c r="L516" i="335"/>
  <c r="O505" i="335"/>
  <c r="O516" i="335" s="1"/>
  <c r="L584" i="335"/>
  <c r="L636" i="335" s="1"/>
  <c r="O8" i="335"/>
  <c r="L20" i="335"/>
  <c r="O567" i="335"/>
  <c r="O579" i="335" s="1"/>
  <c r="L579" i="335"/>
  <c r="P129" i="335"/>
  <c r="L203" i="335"/>
  <c r="O188" i="335"/>
  <c r="O203" i="335" s="1"/>
  <c r="O529" i="335"/>
  <c r="L55" i="335"/>
  <c r="O40" i="335"/>
  <c r="O55" i="335" s="1"/>
  <c r="L502" i="335"/>
  <c r="O495" i="335"/>
  <c r="O502" i="335" s="1"/>
  <c r="O541" i="335"/>
  <c r="L74" i="335"/>
  <c r="O59" i="335"/>
  <c r="O74" i="335" s="1"/>
  <c r="O96" i="335"/>
  <c r="O110" i="335" s="1"/>
  <c r="L110" i="335"/>
  <c r="J38" i="335"/>
  <c r="O400" i="335"/>
  <c r="O531" i="335"/>
  <c r="O540" i="335" s="1"/>
  <c r="L540" i="335"/>
  <c r="O229" i="335"/>
  <c r="O616" i="335"/>
  <c r="O517" i="335"/>
  <c r="O582" i="335"/>
  <c r="O639" i="335" s="1"/>
  <c r="O647" i="335" s="1"/>
  <c r="J149" i="335"/>
  <c r="O450" i="335"/>
  <c r="O456" i="335" s="1"/>
  <c r="L456" i="335"/>
  <c r="O457" i="335"/>
  <c r="J382" i="335"/>
  <c r="O476" i="335"/>
  <c r="O363" i="335"/>
  <c r="O379" i="335" s="1"/>
  <c r="L379" i="335"/>
  <c r="O418" i="335"/>
  <c r="O432" i="335" s="1"/>
  <c r="L432" i="335"/>
  <c r="J644" i="335"/>
  <c r="J642" i="335"/>
  <c r="J650" i="335" s="1"/>
  <c r="O78" i="335"/>
  <c r="O92" i="335" s="1"/>
  <c r="L92" i="335"/>
  <c r="L249" i="335"/>
  <c r="O233" i="335"/>
  <c r="O249" i="335" s="1"/>
  <c r="O401" i="335"/>
  <c r="L652" i="335"/>
  <c r="O169" i="335"/>
  <c r="O184" i="335" s="1"/>
  <c r="L184" i="335"/>
  <c r="O385" i="335"/>
  <c r="O399" i="335" s="1"/>
  <c r="L399" i="335"/>
  <c r="O492" i="335"/>
  <c r="P491" i="335" s="1"/>
  <c r="P92" i="335"/>
  <c r="P20" i="335"/>
  <c r="L267" i="335"/>
  <c r="O253" i="335"/>
  <c r="O267" i="335" s="1"/>
  <c r="O231" i="335"/>
  <c r="P229" i="335" s="1"/>
  <c r="O114" i="335"/>
  <c r="O129" i="335" s="1"/>
  <c r="L129" i="335"/>
  <c r="O581" i="335"/>
  <c r="O24" i="335"/>
  <c r="O35" i="335" s="1"/>
  <c r="L35" i="335"/>
  <c r="P184" i="335"/>
  <c r="O651" i="335"/>
  <c r="K644" i="335"/>
  <c r="K642" i="335"/>
  <c r="K650" i="335" s="1"/>
  <c r="O324" i="335"/>
  <c r="O338" i="335" s="1"/>
  <c r="L338" i="335"/>
  <c r="O459" i="335"/>
  <c r="O474" i="335" s="1"/>
  <c r="L474" i="335"/>
  <c r="P74" i="335"/>
  <c r="J564" i="335"/>
  <c r="O57" i="335"/>
  <c r="L446" i="335"/>
  <c r="O437" i="335"/>
  <c r="O446" i="335" s="1"/>
  <c r="L165" i="335"/>
  <c r="O151" i="335"/>
  <c r="O165" i="335" s="1"/>
  <c r="O133" i="335"/>
  <c r="O146" i="335" s="1"/>
  <c r="L146" i="335"/>
  <c r="O36" i="335"/>
  <c r="P35" i="335" s="1"/>
  <c r="O519" i="335"/>
  <c r="O528" i="335" s="1"/>
  <c r="L528" i="335"/>
  <c r="P474" i="335"/>
  <c r="P146" i="335"/>
  <c r="O543" i="335"/>
  <c r="O561" i="335" s="1"/>
  <c r="L561" i="335"/>
  <c r="P446" i="335"/>
  <c r="O56" i="335"/>
  <c r="O652" i="335"/>
  <c r="O655" i="335" s="1"/>
  <c r="L655" i="335" l="1"/>
  <c r="L38" i="335"/>
  <c r="L435" i="335"/>
  <c r="P55" i="335"/>
  <c r="J383" i="335"/>
  <c r="J565" i="335" s="1"/>
  <c r="J583" i="335" s="1"/>
  <c r="O149" i="335"/>
  <c r="L149" i="335"/>
  <c r="O382" i="335"/>
  <c r="O638" i="335"/>
  <c r="O646" i="335" s="1"/>
  <c r="O637" i="335"/>
  <c r="L564" i="335"/>
  <c r="L642" i="335"/>
  <c r="L650" i="335" s="1"/>
  <c r="L644" i="335"/>
  <c r="O584" i="335"/>
  <c r="O636" i="335" s="1"/>
  <c r="O20" i="335"/>
  <c r="O38" i="335" s="1"/>
  <c r="L382" i="335"/>
  <c r="P579" i="335"/>
  <c r="O435" i="335"/>
  <c r="O564" i="335"/>
  <c r="P399" i="335"/>
  <c r="L383" i="335" l="1"/>
  <c r="L565" i="335" s="1"/>
  <c r="L583" i="335" s="1"/>
  <c r="O383" i="335"/>
  <c r="O565" i="335" s="1"/>
  <c r="O583" i="335" s="1"/>
  <c r="O644" i="335"/>
  <c r="O642" i="335"/>
  <c r="O650" i="335" s="1"/>
  <c r="O645" i="335"/>
  <c r="P636" i="335"/>
  <c r="N660" i="334" l="1"/>
  <c r="K660" i="334"/>
  <c r="J660" i="334"/>
  <c r="I660" i="334"/>
  <c r="G660" i="334"/>
  <c r="F660" i="334"/>
  <c r="E660" i="334"/>
  <c r="D660" i="334"/>
  <c r="C660" i="334"/>
  <c r="N659" i="334"/>
  <c r="K659" i="334"/>
  <c r="K677" i="334" s="1"/>
  <c r="J659" i="334"/>
  <c r="J677" i="334" s="1"/>
  <c r="I659" i="334"/>
  <c r="G659" i="334"/>
  <c r="G677" i="334" s="1"/>
  <c r="F659" i="334"/>
  <c r="F677" i="334" s="1"/>
  <c r="E659" i="334"/>
  <c r="E677" i="334" s="1"/>
  <c r="D659" i="334"/>
  <c r="D677" i="334" s="1"/>
  <c r="C659" i="334"/>
  <c r="C677" i="334" s="1"/>
  <c r="N657" i="334"/>
  <c r="K657" i="334"/>
  <c r="J657" i="334"/>
  <c r="I657" i="334"/>
  <c r="G657" i="334"/>
  <c r="F657" i="334"/>
  <c r="E657" i="334"/>
  <c r="D657" i="334"/>
  <c r="C657" i="334"/>
  <c r="N656" i="334"/>
  <c r="K656" i="334"/>
  <c r="J656" i="334"/>
  <c r="I656" i="334"/>
  <c r="G656" i="334"/>
  <c r="F656" i="334"/>
  <c r="E656" i="334"/>
  <c r="D656" i="334"/>
  <c r="C656" i="334"/>
  <c r="N655" i="334"/>
  <c r="K655" i="334"/>
  <c r="J655" i="334"/>
  <c r="I655" i="334"/>
  <c r="G655" i="334"/>
  <c r="F655" i="334"/>
  <c r="E655" i="334"/>
  <c r="D655" i="334"/>
  <c r="C655" i="334"/>
  <c r="N654" i="334"/>
  <c r="K654" i="334"/>
  <c r="J654" i="334"/>
  <c r="I654" i="334"/>
  <c r="G654" i="334"/>
  <c r="F654" i="334"/>
  <c r="E654" i="334"/>
  <c r="D654" i="334"/>
  <c r="C654" i="334"/>
  <c r="N653" i="334"/>
  <c r="K653" i="334"/>
  <c r="J653" i="334"/>
  <c r="I653" i="334"/>
  <c r="G653" i="334"/>
  <c r="F653" i="334"/>
  <c r="E653" i="334"/>
  <c r="D653" i="334"/>
  <c r="C653" i="334"/>
  <c r="N652" i="334"/>
  <c r="K652" i="334"/>
  <c r="J652" i="334"/>
  <c r="I652" i="334"/>
  <c r="G652" i="334"/>
  <c r="F652" i="334"/>
  <c r="E652" i="334"/>
  <c r="D652" i="334"/>
  <c r="C652" i="334"/>
  <c r="N651" i="334"/>
  <c r="K651" i="334"/>
  <c r="J651" i="334"/>
  <c r="I651" i="334"/>
  <c r="G651" i="334"/>
  <c r="F651" i="334"/>
  <c r="E651" i="334"/>
  <c r="D651" i="334"/>
  <c r="C651" i="334"/>
  <c r="N650" i="334"/>
  <c r="K650" i="334"/>
  <c r="J650" i="334"/>
  <c r="I650" i="334"/>
  <c r="G650" i="334"/>
  <c r="F650" i="334"/>
  <c r="E650" i="334"/>
  <c r="D650" i="334"/>
  <c r="C650" i="334"/>
  <c r="N649" i="334"/>
  <c r="K649" i="334"/>
  <c r="J649" i="334"/>
  <c r="I649" i="334"/>
  <c r="G649" i="334"/>
  <c r="F649" i="334"/>
  <c r="E649" i="334"/>
  <c r="D649" i="334"/>
  <c r="C649" i="334"/>
  <c r="N648" i="334"/>
  <c r="K648" i="334"/>
  <c r="J648" i="334"/>
  <c r="I648" i="334"/>
  <c r="G648" i="334"/>
  <c r="F648" i="334"/>
  <c r="E648" i="334"/>
  <c r="D648" i="334"/>
  <c r="C648" i="334"/>
  <c r="N647" i="334"/>
  <c r="K647" i="334"/>
  <c r="J647" i="334"/>
  <c r="I647" i="334"/>
  <c r="G647" i="334"/>
  <c r="F647" i="334"/>
  <c r="E647" i="334"/>
  <c r="D647" i="334"/>
  <c r="C647" i="334"/>
  <c r="N646" i="334"/>
  <c r="K646" i="334"/>
  <c r="J646" i="334"/>
  <c r="I646" i="334"/>
  <c r="G646" i="334"/>
  <c r="F646" i="334"/>
  <c r="E646" i="334"/>
  <c r="D646" i="334"/>
  <c r="C646" i="334"/>
  <c r="N645" i="334"/>
  <c r="K645" i="334"/>
  <c r="J645" i="334"/>
  <c r="I645" i="334"/>
  <c r="G645" i="334"/>
  <c r="F645" i="334"/>
  <c r="E645" i="334"/>
  <c r="D645" i="334"/>
  <c r="C645" i="334"/>
  <c r="N644" i="334"/>
  <c r="K644" i="334"/>
  <c r="J644" i="334"/>
  <c r="I644" i="334"/>
  <c r="G644" i="334"/>
  <c r="F644" i="334"/>
  <c r="E644" i="334"/>
  <c r="D644" i="334"/>
  <c r="C644" i="334"/>
  <c r="N643" i="334"/>
  <c r="K643" i="334"/>
  <c r="J643" i="334"/>
  <c r="I643" i="334"/>
  <c r="G643" i="334"/>
  <c r="F643" i="334"/>
  <c r="E643" i="334"/>
  <c r="D643" i="334"/>
  <c r="C643" i="334"/>
  <c r="N642" i="334"/>
  <c r="K642" i="334"/>
  <c r="J642" i="334"/>
  <c r="I642" i="334"/>
  <c r="G642" i="334"/>
  <c r="F642" i="334"/>
  <c r="E642" i="334"/>
  <c r="D642" i="334"/>
  <c r="C642" i="334"/>
  <c r="N641" i="334"/>
  <c r="K641" i="334"/>
  <c r="J641" i="334"/>
  <c r="I641" i="334"/>
  <c r="G641" i="334"/>
  <c r="F641" i="334"/>
  <c r="E641" i="334"/>
  <c r="D641" i="334"/>
  <c r="C641" i="334"/>
  <c r="N640" i="334"/>
  <c r="K640" i="334"/>
  <c r="J640" i="334"/>
  <c r="I640" i="334"/>
  <c r="G640" i="334"/>
  <c r="F640" i="334"/>
  <c r="E640" i="334"/>
  <c r="D640" i="334"/>
  <c r="C640" i="334"/>
  <c r="N639" i="334"/>
  <c r="K639" i="334"/>
  <c r="J639" i="334"/>
  <c r="I639" i="334"/>
  <c r="G639" i="334"/>
  <c r="F639" i="334"/>
  <c r="E639" i="334"/>
  <c r="D639" i="334"/>
  <c r="C639" i="334"/>
  <c r="N638" i="334"/>
  <c r="K638" i="334"/>
  <c r="J638" i="334"/>
  <c r="I638" i="334"/>
  <c r="G638" i="334"/>
  <c r="F638" i="334"/>
  <c r="E638" i="334"/>
  <c r="D638" i="334"/>
  <c r="C638" i="334"/>
  <c r="N637" i="334"/>
  <c r="K637" i="334"/>
  <c r="J637" i="334"/>
  <c r="I637" i="334"/>
  <c r="G637" i="334"/>
  <c r="F637" i="334"/>
  <c r="E637" i="334"/>
  <c r="D637" i="334"/>
  <c r="C637" i="334"/>
  <c r="N636" i="334"/>
  <c r="K636" i="334"/>
  <c r="J636" i="334"/>
  <c r="I636" i="334"/>
  <c r="G636" i="334"/>
  <c r="F636" i="334"/>
  <c r="E636" i="334"/>
  <c r="D636" i="334"/>
  <c r="C636" i="334"/>
  <c r="N635" i="334"/>
  <c r="K635" i="334"/>
  <c r="J635" i="334"/>
  <c r="I635" i="334"/>
  <c r="G635" i="334"/>
  <c r="F635" i="334"/>
  <c r="E635" i="334"/>
  <c r="D635" i="334"/>
  <c r="C635" i="334"/>
  <c r="N634" i="334"/>
  <c r="K634" i="334"/>
  <c r="J634" i="334"/>
  <c r="I634" i="334"/>
  <c r="G634" i="334"/>
  <c r="F634" i="334"/>
  <c r="E634" i="334"/>
  <c r="D634" i="334"/>
  <c r="C634" i="334"/>
  <c r="N633" i="334"/>
  <c r="K633" i="334"/>
  <c r="J633" i="334"/>
  <c r="I633" i="334"/>
  <c r="G633" i="334"/>
  <c r="F633" i="334"/>
  <c r="E633" i="334"/>
  <c r="D633" i="334"/>
  <c r="C633" i="334"/>
  <c r="N632" i="334"/>
  <c r="K632" i="334"/>
  <c r="J632" i="334"/>
  <c r="I632" i="334"/>
  <c r="I676" i="334" s="1"/>
  <c r="G632" i="334"/>
  <c r="F632" i="334"/>
  <c r="E632" i="334"/>
  <c r="D632" i="334"/>
  <c r="D676" i="334" s="1"/>
  <c r="C632" i="334"/>
  <c r="C676" i="334" s="1"/>
  <c r="N630" i="334"/>
  <c r="K630" i="334"/>
  <c r="J630" i="334"/>
  <c r="I630" i="334"/>
  <c r="G630" i="334"/>
  <c r="F630" i="334"/>
  <c r="E630" i="334"/>
  <c r="D630" i="334"/>
  <c r="C630" i="334"/>
  <c r="N629" i="334"/>
  <c r="K629" i="334"/>
  <c r="J629" i="334"/>
  <c r="I629" i="334"/>
  <c r="G629" i="334"/>
  <c r="F629" i="334"/>
  <c r="E629" i="334"/>
  <c r="D629" i="334"/>
  <c r="C629" i="334"/>
  <c r="N628" i="334"/>
  <c r="K628" i="334"/>
  <c r="J628" i="334"/>
  <c r="I628" i="334"/>
  <c r="G628" i="334"/>
  <c r="F628" i="334"/>
  <c r="E628" i="334"/>
  <c r="D628" i="334"/>
  <c r="C628" i="334"/>
  <c r="N627" i="334"/>
  <c r="K627" i="334"/>
  <c r="J627" i="334"/>
  <c r="I627" i="334"/>
  <c r="G627" i="334"/>
  <c r="F627" i="334"/>
  <c r="E627" i="334"/>
  <c r="D627" i="334"/>
  <c r="C627" i="334"/>
  <c r="N626" i="334"/>
  <c r="K626" i="334"/>
  <c r="J626" i="334"/>
  <c r="I626" i="334"/>
  <c r="G626" i="334"/>
  <c r="F626" i="334"/>
  <c r="E626" i="334"/>
  <c r="D626" i="334"/>
  <c r="C626" i="334"/>
  <c r="N625" i="334"/>
  <c r="K625" i="334"/>
  <c r="J625" i="334"/>
  <c r="I625" i="334"/>
  <c r="G625" i="334"/>
  <c r="F625" i="334"/>
  <c r="E625" i="334"/>
  <c r="D625" i="334"/>
  <c r="C625" i="334"/>
  <c r="N624" i="334"/>
  <c r="K624" i="334"/>
  <c r="J624" i="334"/>
  <c r="I624" i="334"/>
  <c r="G624" i="334"/>
  <c r="F624" i="334"/>
  <c r="E624" i="334"/>
  <c r="D624" i="334"/>
  <c r="C624" i="334"/>
  <c r="N623" i="334"/>
  <c r="K623" i="334"/>
  <c r="J623" i="334"/>
  <c r="I623" i="334"/>
  <c r="G623" i="334"/>
  <c r="F623" i="334"/>
  <c r="E623" i="334"/>
  <c r="D623" i="334"/>
  <c r="C623" i="334"/>
  <c r="N622" i="334"/>
  <c r="K622" i="334"/>
  <c r="J622" i="334"/>
  <c r="I622" i="334"/>
  <c r="G622" i="334"/>
  <c r="F622" i="334"/>
  <c r="E622" i="334"/>
  <c r="D622" i="334"/>
  <c r="C622" i="334"/>
  <c r="N621" i="334"/>
  <c r="K621" i="334"/>
  <c r="J621" i="334"/>
  <c r="I621" i="334"/>
  <c r="G621" i="334"/>
  <c r="F621" i="334"/>
  <c r="E621" i="334"/>
  <c r="D621" i="334"/>
  <c r="C621" i="334"/>
  <c r="N620" i="334"/>
  <c r="K620" i="334"/>
  <c r="J620" i="334"/>
  <c r="I620" i="334"/>
  <c r="G620" i="334"/>
  <c r="F620" i="334"/>
  <c r="E620" i="334"/>
  <c r="D620" i="334"/>
  <c r="C620" i="334"/>
  <c r="N619" i="334"/>
  <c r="K619" i="334"/>
  <c r="J619" i="334"/>
  <c r="I619" i="334"/>
  <c r="G619" i="334"/>
  <c r="F619" i="334"/>
  <c r="E619" i="334"/>
  <c r="D619" i="334"/>
  <c r="C619" i="334"/>
  <c r="N618" i="334"/>
  <c r="K618" i="334"/>
  <c r="J618" i="334"/>
  <c r="I618" i="334"/>
  <c r="G618" i="334"/>
  <c r="F618" i="334"/>
  <c r="E618" i="334"/>
  <c r="D618" i="334"/>
  <c r="C618" i="334"/>
  <c r="N617" i="334"/>
  <c r="K617" i="334"/>
  <c r="J617" i="334"/>
  <c r="I617" i="334"/>
  <c r="G617" i="334"/>
  <c r="F617" i="334"/>
  <c r="E617" i="334"/>
  <c r="D617" i="334"/>
  <c r="C617" i="334"/>
  <c r="N616" i="334"/>
  <c r="K616" i="334"/>
  <c r="J616" i="334"/>
  <c r="I616" i="334"/>
  <c r="G616" i="334"/>
  <c r="F616" i="334"/>
  <c r="E616" i="334"/>
  <c r="D616" i="334"/>
  <c r="C616" i="334"/>
  <c r="N615" i="334"/>
  <c r="K615" i="334"/>
  <c r="J615" i="334"/>
  <c r="I615" i="334"/>
  <c r="G615" i="334"/>
  <c r="F615" i="334"/>
  <c r="E615" i="334"/>
  <c r="D615" i="334"/>
  <c r="C615" i="334"/>
  <c r="N614" i="334"/>
  <c r="K614" i="334"/>
  <c r="J614" i="334"/>
  <c r="I614" i="334"/>
  <c r="G614" i="334"/>
  <c r="F614" i="334"/>
  <c r="E614" i="334"/>
  <c r="D614" i="334"/>
  <c r="C614" i="334"/>
  <c r="N613" i="334"/>
  <c r="K613" i="334"/>
  <c r="J613" i="334"/>
  <c r="I613" i="334"/>
  <c r="G613" i="334"/>
  <c r="F613" i="334"/>
  <c r="E613" i="334"/>
  <c r="D613" i="334"/>
  <c r="C613" i="334"/>
  <c r="N612" i="334"/>
  <c r="K612" i="334"/>
  <c r="J612" i="334"/>
  <c r="I612" i="334"/>
  <c r="G612" i="334"/>
  <c r="F612" i="334"/>
  <c r="E612" i="334"/>
  <c r="D612" i="334"/>
  <c r="C612" i="334"/>
  <c r="N611" i="334"/>
  <c r="K611" i="334"/>
  <c r="J611" i="334"/>
  <c r="I611" i="334"/>
  <c r="G611" i="334"/>
  <c r="F611" i="334"/>
  <c r="E611" i="334"/>
  <c r="D611" i="334"/>
  <c r="C611" i="334"/>
  <c r="N610" i="334"/>
  <c r="K610" i="334"/>
  <c r="J610" i="334"/>
  <c r="I610" i="334"/>
  <c r="G610" i="334"/>
  <c r="F610" i="334"/>
  <c r="E610" i="334"/>
  <c r="D610" i="334"/>
  <c r="C610" i="334"/>
  <c r="N609" i="334"/>
  <c r="K609" i="334"/>
  <c r="J609" i="334"/>
  <c r="I609" i="334"/>
  <c r="G609" i="334"/>
  <c r="F609" i="334"/>
  <c r="E609" i="334"/>
  <c r="D609" i="334"/>
  <c r="C609" i="334"/>
  <c r="N608" i="334"/>
  <c r="K608" i="334"/>
  <c r="J608" i="334"/>
  <c r="I608" i="334"/>
  <c r="G608" i="334"/>
  <c r="F608" i="334"/>
  <c r="E608" i="334"/>
  <c r="D608" i="334"/>
  <c r="C608" i="334"/>
  <c r="N604" i="334"/>
  <c r="N664" i="334" s="1"/>
  <c r="N671" i="334" s="1"/>
  <c r="K604" i="334"/>
  <c r="K664" i="334" s="1"/>
  <c r="K671" i="334" s="1"/>
  <c r="J604" i="334"/>
  <c r="J664" i="334" s="1"/>
  <c r="J671" i="334" s="1"/>
  <c r="I604" i="334"/>
  <c r="I664" i="334" s="1"/>
  <c r="I671" i="334" s="1"/>
  <c r="G604" i="334"/>
  <c r="G664" i="334" s="1"/>
  <c r="G671" i="334" s="1"/>
  <c r="F604" i="334"/>
  <c r="F664" i="334" s="1"/>
  <c r="F671" i="334" s="1"/>
  <c r="F681" i="334" s="1"/>
  <c r="E604" i="334"/>
  <c r="E664" i="334" s="1"/>
  <c r="E671" i="334" s="1"/>
  <c r="E681" i="334" s="1"/>
  <c r="D604" i="334"/>
  <c r="D664" i="334" s="1"/>
  <c r="D671" i="334" s="1"/>
  <c r="D681" i="334" s="1"/>
  <c r="C604" i="334"/>
  <c r="C664" i="334" s="1"/>
  <c r="C671" i="334" s="1"/>
  <c r="C681" i="334" s="1"/>
  <c r="N603" i="334"/>
  <c r="K603" i="334"/>
  <c r="J603" i="334"/>
  <c r="I603" i="334"/>
  <c r="G603" i="334"/>
  <c r="F603" i="334"/>
  <c r="E603" i="334"/>
  <c r="D603" i="334"/>
  <c r="C603" i="334"/>
  <c r="N602" i="334"/>
  <c r="K602" i="334"/>
  <c r="J602" i="334"/>
  <c r="I602" i="334"/>
  <c r="G602" i="334"/>
  <c r="F602" i="334"/>
  <c r="E602" i="334"/>
  <c r="D602" i="334"/>
  <c r="C602" i="334"/>
  <c r="N601" i="334"/>
  <c r="K601" i="334"/>
  <c r="G601" i="334"/>
  <c r="F601" i="334"/>
  <c r="L600" i="334"/>
  <c r="L660" i="334" s="1"/>
  <c r="H600" i="334"/>
  <c r="H660" i="334" s="1"/>
  <c r="L599" i="334"/>
  <c r="L659" i="334" s="1"/>
  <c r="L677" i="334" s="1"/>
  <c r="H599" i="334"/>
  <c r="H659" i="334" s="1"/>
  <c r="H598" i="334"/>
  <c r="L597" i="334"/>
  <c r="L657" i="334" s="1"/>
  <c r="H597" i="334"/>
  <c r="L596" i="334"/>
  <c r="L656" i="334" s="1"/>
  <c r="H596" i="334"/>
  <c r="L595" i="334"/>
  <c r="H595" i="334"/>
  <c r="L594" i="334"/>
  <c r="L630" i="334" s="1"/>
  <c r="H594" i="334"/>
  <c r="L593" i="334"/>
  <c r="L629" i="334" s="1"/>
  <c r="H593" i="334"/>
  <c r="L592" i="334"/>
  <c r="H592" i="334"/>
  <c r="L590" i="334"/>
  <c r="L604" i="334" s="1"/>
  <c r="L664" i="334" s="1"/>
  <c r="L671" i="334" s="1"/>
  <c r="H590" i="334"/>
  <c r="L589" i="334"/>
  <c r="H589" i="334"/>
  <c r="L588" i="334"/>
  <c r="L602" i="334" s="1"/>
  <c r="H588" i="334"/>
  <c r="J587" i="334"/>
  <c r="J601" i="334" s="1"/>
  <c r="I587" i="334"/>
  <c r="I601" i="334" s="1"/>
  <c r="E587" i="334"/>
  <c r="E601" i="334" s="1"/>
  <c r="D587" i="334"/>
  <c r="D601" i="334" s="1"/>
  <c r="C587" i="334"/>
  <c r="N583" i="334"/>
  <c r="K583" i="334"/>
  <c r="J583" i="334"/>
  <c r="I583" i="334"/>
  <c r="G583" i="334"/>
  <c r="F583" i="334"/>
  <c r="E583" i="334"/>
  <c r="D583" i="334"/>
  <c r="C583" i="334"/>
  <c r="N582" i="334"/>
  <c r="K582" i="334"/>
  <c r="J582" i="334"/>
  <c r="I582" i="334"/>
  <c r="G582" i="334"/>
  <c r="F582" i="334"/>
  <c r="E582" i="334"/>
  <c r="D582" i="334"/>
  <c r="C582" i="334"/>
  <c r="N581" i="334"/>
  <c r="K581" i="334"/>
  <c r="J581" i="334"/>
  <c r="G581" i="334"/>
  <c r="F581" i="334"/>
  <c r="L580" i="334"/>
  <c r="H580" i="334"/>
  <c r="M580" i="334" s="1"/>
  <c r="O580" i="334" s="1"/>
  <c r="L579" i="334"/>
  <c r="H579" i="334"/>
  <c r="L578" i="334"/>
  <c r="H578" i="334"/>
  <c r="L577" i="334"/>
  <c r="H577" i="334"/>
  <c r="O576" i="334"/>
  <c r="L576" i="334"/>
  <c r="H576" i="334"/>
  <c r="M576" i="334" s="1"/>
  <c r="O575" i="334"/>
  <c r="L575" i="334"/>
  <c r="H575" i="334"/>
  <c r="M575" i="334" s="1"/>
  <c r="L574" i="334"/>
  <c r="H574" i="334"/>
  <c r="L573" i="334"/>
  <c r="H573" i="334"/>
  <c r="L572" i="334"/>
  <c r="H572" i="334"/>
  <c r="L571" i="334"/>
  <c r="H571" i="334"/>
  <c r="L570" i="334"/>
  <c r="H570" i="334"/>
  <c r="L568" i="334"/>
  <c r="H568" i="334"/>
  <c r="L567" i="334"/>
  <c r="H567" i="334"/>
  <c r="M567" i="334" s="1"/>
  <c r="O567" i="334" s="1"/>
  <c r="L566" i="334"/>
  <c r="H566" i="334"/>
  <c r="L564" i="334"/>
  <c r="H564" i="334"/>
  <c r="L563" i="334"/>
  <c r="L582" i="334" s="1"/>
  <c r="H563" i="334"/>
  <c r="M563" i="334" s="1"/>
  <c r="I562" i="334"/>
  <c r="I581" i="334" s="1"/>
  <c r="E562" i="334"/>
  <c r="E581" i="334" s="1"/>
  <c r="D562" i="334"/>
  <c r="D581" i="334" s="1"/>
  <c r="C562" i="334"/>
  <c r="C581" i="334" s="1"/>
  <c r="N560" i="334"/>
  <c r="K560" i="334"/>
  <c r="J560" i="334"/>
  <c r="I560" i="334"/>
  <c r="G560" i="334"/>
  <c r="F560" i="334"/>
  <c r="E560" i="334"/>
  <c r="D560" i="334"/>
  <c r="C560" i="334"/>
  <c r="N559" i="334"/>
  <c r="K559" i="334"/>
  <c r="J559" i="334"/>
  <c r="G559" i="334"/>
  <c r="F559" i="334"/>
  <c r="L558" i="334"/>
  <c r="H558" i="334"/>
  <c r="L557" i="334"/>
  <c r="L647" i="334" s="1"/>
  <c r="H557" i="334"/>
  <c r="H647" i="334" s="1"/>
  <c r="L556" i="334"/>
  <c r="L646" i="334" s="1"/>
  <c r="H556" i="334"/>
  <c r="H646" i="334" s="1"/>
  <c r="L555" i="334"/>
  <c r="H555" i="334"/>
  <c r="M555" i="334" s="1"/>
  <c r="O555" i="334" s="1"/>
  <c r="L554" i="334"/>
  <c r="H554" i="334"/>
  <c r="L553" i="334"/>
  <c r="H553" i="334"/>
  <c r="L552" i="334"/>
  <c r="H552" i="334"/>
  <c r="L550" i="334"/>
  <c r="H550" i="334"/>
  <c r="H560" i="334" s="1"/>
  <c r="I549" i="334"/>
  <c r="I559" i="334" s="1"/>
  <c r="E549" i="334"/>
  <c r="E559" i="334" s="1"/>
  <c r="D549" i="334"/>
  <c r="D559" i="334" s="1"/>
  <c r="C549" i="334"/>
  <c r="C559" i="334" s="1"/>
  <c r="N547" i="334"/>
  <c r="K547" i="334"/>
  <c r="J547" i="334"/>
  <c r="I547" i="334"/>
  <c r="G547" i="334"/>
  <c r="F547" i="334"/>
  <c r="E547" i="334"/>
  <c r="D547" i="334"/>
  <c r="C547" i="334"/>
  <c r="N546" i="334"/>
  <c r="K546" i="334"/>
  <c r="G546" i="334"/>
  <c r="F546" i="334"/>
  <c r="L545" i="334"/>
  <c r="H545" i="334"/>
  <c r="M545" i="334" s="1"/>
  <c r="O545" i="334" s="1"/>
  <c r="L544" i="334"/>
  <c r="H544" i="334"/>
  <c r="L543" i="334"/>
  <c r="H543" i="334"/>
  <c r="L542" i="334"/>
  <c r="L650" i="334" s="1"/>
  <c r="H542" i="334"/>
  <c r="H650" i="334" s="1"/>
  <c r="L541" i="334"/>
  <c r="L643" i="334" s="1"/>
  <c r="H541" i="334"/>
  <c r="H643" i="334" s="1"/>
  <c r="O540" i="334"/>
  <c r="L540" i="334"/>
  <c r="H540" i="334"/>
  <c r="M540" i="334" s="1"/>
  <c r="L539" i="334"/>
  <c r="L632" i="334" s="1"/>
  <c r="H539" i="334"/>
  <c r="H632" i="334" s="1"/>
  <c r="L537" i="334"/>
  <c r="H537" i="334"/>
  <c r="H547" i="334" s="1"/>
  <c r="J536" i="334"/>
  <c r="J546" i="334" s="1"/>
  <c r="I536" i="334"/>
  <c r="E536" i="334"/>
  <c r="E546" i="334" s="1"/>
  <c r="D536" i="334"/>
  <c r="D546" i="334" s="1"/>
  <c r="C536" i="334"/>
  <c r="N534" i="334"/>
  <c r="K534" i="334"/>
  <c r="J534" i="334"/>
  <c r="I534" i="334"/>
  <c r="G534" i="334"/>
  <c r="F534" i="334"/>
  <c r="E534" i="334"/>
  <c r="D534" i="334"/>
  <c r="C534" i="334"/>
  <c r="N533" i="334"/>
  <c r="J533" i="334"/>
  <c r="G533" i="334"/>
  <c r="F533" i="334"/>
  <c r="L532" i="334"/>
  <c r="H532" i="334"/>
  <c r="M532" i="334" s="1"/>
  <c r="O532" i="334" s="1"/>
  <c r="L531" i="334"/>
  <c r="L652" i="334" s="1"/>
  <c r="H531" i="334"/>
  <c r="H652" i="334" s="1"/>
  <c r="M530" i="334"/>
  <c r="L530" i="334"/>
  <c r="L649" i="334" s="1"/>
  <c r="H530" i="334"/>
  <c r="H649" i="334" s="1"/>
  <c r="L529" i="334"/>
  <c r="L648" i="334" s="1"/>
  <c r="H529" i="334"/>
  <c r="H648" i="334" s="1"/>
  <c r="M528" i="334"/>
  <c r="L528" i="334"/>
  <c r="L640" i="334" s="1"/>
  <c r="H528" i="334"/>
  <c r="H640" i="334" s="1"/>
  <c r="M527" i="334"/>
  <c r="O527" i="334" s="1"/>
  <c r="L527" i="334"/>
  <c r="H527" i="334"/>
  <c r="L526" i="334"/>
  <c r="H526" i="334"/>
  <c r="M526" i="334" s="1"/>
  <c r="O526" i="334" s="1"/>
  <c r="L525" i="334"/>
  <c r="H525" i="334"/>
  <c r="M525" i="334" s="1"/>
  <c r="O525" i="334" s="1"/>
  <c r="M524" i="334"/>
  <c r="O524" i="334" s="1"/>
  <c r="L524" i="334"/>
  <c r="H524" i="334"/>
  <c r="L522" i="334"/>
  <c r="L534" i="334" s="1"/>
  <c r="H522" i="334"/>
  <c r="H534" i="334" s="1"/>
  <c r="K521" i="334"/>
  <c r="K533" i="334" s="1"/>
  <c r="I521" i="334"/>
  <c r="I533" i="334" s="1"/>
  <c r="E521" i="334"/>
  <c r="E533" i="334" s="1"/>
  <c r="D521" i="334"/>
  <c r="D533" i="334" s="1"/>
  <c r="C521" i="334"/>
  <c r="C533" i="334" s="1"/>
  <c r="N519" i="334"/>
  <c r="K519" i="334"/>
  <c r="J519" i="334"/>
  <c r="I519" i="334"/>
  <c r="G519" i="334"/>
  <c r="F519" i="334"/>
  <c r="E519" i="334"/>
  <c r="D519" i="334"/>
  <c r="C519" i="334"/>
  <c r="N518" i="334"/>
  <c r="K518" i="334"/>
  <c r="J518" i="334"/>
  <c r="I518" i="334"/>
  <c r="G518" i="334"/>
  <c r="F518" i="334"/>
  <c r="L517" i="334"/>
  <c r="L645" i="334" s="1"/>
  <c r="H517" i="334"/>
  <c r="L516" i="334"/>
  <c r="H516" i="334"/>
  <c r="L515" i="334"/>
  <c r="H515" i="334"/>
  <c r="M515" i="334" s="1"/>
  <c r="O515" i="334" s="1"/>
  <c r="L514" i="334"/>
  <c r="H514" i="334"/>
  <c r="L512" i="334"/>
  <c r="L519" i="334" s="1"/>
  <c r="H512" i="334"/>
  <c r="L511" i="334"/>
  <c r="E511" i="334"/>
  <c r="E518" i="334" s="1"/>
  <c r="D511" i="334"/>
  <c r="D518" i="334" s="1"/>
  <c r="C511" i="334"/>
  <c r="H511" i="334" s="1"/>
  <c r="N509" i="334"/>
  <c r="K509" i="334"/>
  <c r="J509" i="334"/>
  <c r="I509" i="334"/>
  <c r="G509" i="334"/>
  <c r="F509" i="334"/>
  <c r="E509" i="334"/>
  <c r="D509" i="334"/>
  <c r="C509" i="334"/>
  <c r="N508" i="334"/>
  <c r="K508" i="334"/>
  <c r="J508" i="334"/>
  <c r="I508" i="334"/>
  <c r="G508" i="334"/>
  <c r="F508" i="334"/>
  <c r="E508" i="334"/>
  <c r="D508" i="334"/>
  <c r="C508" i="334"/>
  <c r="N507" i="334"/>
  <c r="K507" i="334"/>
  <c r="G507" i="334"/>
  <c r="F507" i="334"/>
  <c r="E507" i="334"/>
  <c r="O506" i="334"/>
  <c r="M506" i="334"/>
  <c r="L506" i="334"/>
  <c r="H506" i="334"/>
  <c r="L505" i="334"/>
  <c r="H505" i="334"/>
  <c r="M505" i="334" s="1"/>
  <c r="O505" i="334" s="1"/>
  <c r="O503" i="334"/>
  <c r="O628" i="334" s="1"/>
  <c r="M503" i="334"/>
  <c r="M628" i="334" s="1"/>
  <c r="L503" i="334"/>
  <c r="L628" i="334" s="1"/>
  <c r="H503" i="334"/>
  <c r="H628" i="334" s="1"/>
  <c r="L502" i="334"/>
  <c r="L624" i="334" s="1"/>
  <c r="H502" i="334"/>
  <c r="O501" i="334"/>
  <c r="M501" i="334"/>
  <c r="L501" i="334"/>
  <c r="H501" i="334"/>
  <c r="L500" i="334"/>
  <c r="H500" i="334"/>
  <c r="M500" i="334" s="1"/>
  <c r="O500" i="334" s="1"/>
  <c r="O499" i="334"/>
  <c r="M499" i="334"/>
  <c r="L499" i="334"/>
  <c r="H499" i="334"/>
  <c r="L498" i="334"/>
  <c r="H498" i="334"/>
  <c r="M498" i="334" s="1"/>
  <c r="O498" i="334" s="1"/>
  <c r="O497" i="334"/>
  <c r="M497" i="334"/>
  <c r="L497" i="334"/>
  <c r="H497" i="334"/>
  <c r="L496" i="334"/>
  <c r="L509" i="334" s="1"/>
  <c r="H496" i="334"/>
  <c r="H509" i="334" s="1"/>
  <c r="O495" i="334"/>
  <c r="M495" i="334"/>
  <c r="L495" i="334"/>
  <c r="L508" i="334" s="1"/>
  <c r="H495" i="334"/>
  <c r="H508" i="334" s="1"/>
  <c r="J494" i="334"/>
  <c r="J507" i="334" s="1"/>
  <c r="I494" i="334"/>
  <c r="E494" i="334"/>
  <c r="D494" i="334"/>
  <c r="D507" i="334" s="1"/>
  <c r="C494" i="334"/>
  <c r="N492" i="334"/>
  <c r="K492" i="334"/>
  <c r="J492" i="334"/>
  <c r="I492" i="334"/>
  <c r="G492" i="334"/>
  <c r="F492" i="334"/>
  <c r="E492" i="334"/>
  <c r="D492" i="334"/>
  <c r="C492" i="334"/>
  <c r="N491" i="334"/>
  <c r="L491" i="334"/>
  <c r="K491" i="334"/>
  <c r="J491" i="334"/>
  <c r="I491" i="334"/>
  <c r="G491" i="334"/>
  <c r="F491" i="334"/>
  <c r="E491" i="334"/>
  <c r="D491" i="334"/>
  <c r="C491" i="334"/>
  <c r="N490" i="334"/>
  <c r="G490" i="334"/>
  <c r="F490" i="334"/>
  <c r="L489" i="334"/>
  <c r="H489" i="334"/>
  <c r="L488" i="334"/>
  <c r="H488" i="334"/>
  <c r="L487" i="334"/>
  <c r="H487" i="334"/>
  <c r="M487" i="334" s="1"/>
  <c r="O487" i="334" s="1"/>
  <c r="L486" i="334"/>
  <c r="H486" i="334"/>
  <c r="M486" i="334" s="1"/>
  <c r="O486" i="334" s="1"/>
  <c r="L484" i="334"/>
  <c r="H484" i="334"/>
  <c r="L483" i="334"/>
  <c r="H483" i="334"/>
  <c r="M483" i="334" s="1"/>
  <c r="O483" i="334" s="1"/>
  <c r="L482" i="334"/>
  <c r="L615" i="334" s="1"/>
  <c r="H482" i="334"/>
  <c r="L481" i="334"/>
  <c r="H481" i="334"/>
  <c r="M481" i="334" s="1"/>
  <c r="O481" i="334" s="1"/>
  <c r="L480" i="334"/>
  <c r="H480" i="334"/>
  <c r="L479" i="334"/>
  <c r="H479" i="334"/>
  <c r="L478" i="334"/>
  <c r="H478" i="334"/>
  <c r="M478" i="334" s="1"/>
  <c r="O478" i="334" s="1"/>
  <c r="L476" i="334"/>
  <c r="L492" i="334" s="1"/>
  <c r="H476" i="334"/>
  <c r="M476" i="334" s="1"/>
  <c r="L475" i="334"/>
  <c r="H475" i="334"/>
  <c r="K474" i="334"/>
  <c r="K490" i="334" s="1"/>
  <c r="J474" i="334"/>
  <c r="J490" i="334" s="1"/>
  <c r="I474" i="334"/>
  <c r="I490" i="334" s="1"/>
  <c r="E474" i="334"/>
  <c r="E490" i="334" s="1"/>
  <c r="D474" i="334"/>
  <c r="D490" i="334" s="1"/>
  <c r="C474" i="334"/>
  <c r="N472" i="334"/>
  <c r="K472" i="334"/>
  <c r="J472" i="334"/>
  <c r="I472" i="334"/>
  <c r="G472" i="334"/>
  <c r="F472" i="334"/>
  <c r="E472" i="334"/>
  <c r="D472" i="334"/>
  <c r="C472" i="334"/>
  <c r="N471" i="334"/>
  <c r="K471" i="334"/>
  <c r="L470" i="334"/>
  <c r="L639" i="334" s="1"/>
  <c r="H470" i="334"/>
  <c r="L469" i="334"/>
  <c r="H469" i="334"/>
  <c r="L468" i="334"/>
  <c r="H468" i="334"/>
  <c r="M468" i="334" s="1"/>
  <c r="O468" i="334" s="1"/>
  <c r="L467" i="334"/>
  <c r="L633" i="334" s="1"/>
  <c r="H467" i="334"/>
  <c r="L465" i="334"/>
  <c r="L472" i="334" s="1"/>
  <c r="H465" i="334"/>
  <c r="K464" i="334"/>
  <c r="J464" i="334"/>
  <c r="J471" i="334" s="1"/>
  <c r="I464" i="334"/>
  <c r="I471" i="334" s="1"/>
  <c r="G464" i="334"/>
  <c r="G471" i="334" s="1"/>
  <c r="F464" i="334"/>
  <c r="F471" i="334" s="1"/>
  <c r="E464" i="334"/>
  <c r="E471" i="334" s="1"/>
  <c r="D464" i="334"/>
  <c r="D471" i="334" s="1"/>
  <c r="C464" i="334"/>
  <c r="C471" i="334" s="1"/>
  <c r="N462" i="334"/>
  <c r="K462" i="334"/>
  <c r="J462" i="334"/>
  <c r="I462" i="334"/>
  <c r="G462" i="334"/>
  <c r="F462" i="334"/>
  <c r="E462" i="334"/>
  <c r="D462" i="334"/>
  <c r="C462" i="334"/>
  <c r="N461" i="334"/>
  <c r="K461" i="334"/>
  <c r="J461" i="334"/>
  <c r="I461" i="334"/>
  <c r="G461" i="334"/>
  <c r="F461" i="334"/>
  <c r="E461" i="334"/>
  <c r="D461" i="334"/>
  <c r="C461" i="334"/>
  <c r="N460" i="334"/>
  <c r="G460" i="334"/>
  <c r="L459" i="334"/>
  <c r="L462" i="334" s="1"/>
  <c r="H459" i="334"/>
  <c r="L457" i="334"/>
  <c r="H457" i="334"/>
  <c r="M457" i="334" s="1"/>
  <c r="O457" i="334" s="1"/>
  <c r="L456" i="334"/>
  <c r="H456" i="334"/>
  <c r="L455" i="334"/>
  <c r="H455" i="334"/>
  <c r="L454" i="334"/>
  <c r="H454" i="334"/>
  <c r="L452" i="334"/>
  <c r="H452" i="334"/>
  <c r="M452" i="334" s="1"/>
  <c r="L451" i="334"/>
  <c r="L461" i="334" s="1"/>
  <c r="H451" i="334"/>
  <c r="K450" i="334"/>
  <c r="K460" i="334" s="1"/>
  <c r="J450" i="334"/>
  <c r="J460" i="334" s="1"/>
  <c r="I450" i="334"/>
  <c r="I460" i="334" s="1"/>
  <c r="G450" i="334"/>
  <c r="F450" i="334"/>
  <c r="F460" i="334" s="1"/>
  <c r="E450" i="334"/>
  <c r="E460" i="334" s="1"/>
  <c r="D450" i="334"/>
  <c r="D460" i="334" s="1"/>
  <c r="C450" i="334"/>
  <c r="N447" i="334"/>
  <c r="K447" i="334"/>
  <c r="J447" i="334"/>
  <c r="I447" i="334"/>
  <c r="G447" i="334"/>
  <c r="F447" i="334"/>
  <c r="E447" i="334"/>
  <c r="D447" i="334"/>
  <c r="C447" i="334"/>
  <c r="N446" i="334"/>
  <c r="K446" i="334"/>
  <c r="J446" i="334"/>
  <c r="I446" i="334"/>
  <c r="G446" i="334"/>
  <c r="F446" i="334"/>
  <c r="E446" i="334"/>
  <c r="D446" i="334"/>
  <c r="C446" i="334"/>
  <c r="N445" i="334"/>
  <c r="K445" i="334"/>
  <c r="J445" i="334"/>
  <c r="I445" i="334"/>
  <c r="G445" i="334"/>
  <c r="F445" i="334"/>
  <c r="D445" i="334"/>
  <c r="L444" i="334"/>
  <c r="H444" i="334"/>
  <c r="L443" i="334"/>
  <c r="H443" i="334"/>
  <c r="L442" i="334"/>
  <c r="H442" i="334"/>
  <c r="L441" i="334"/>
  <c r="H441" i="334"/>
  <c r="L439" i="334"/>
  <c r="H439" i="334"/>
  <c r="L438" i="334"/>
  <c r="H438" i="334"/>
  <c r="L437" i="334"/>
  <c r="L613" i="334" s="1"/>
  <c r="H437" i="334"/>
  <c r="H613" i="334" s="1"/>
  <c r="L436" i="334"/>
  <c r="H436" i="334"/>
  <c r="L435" i="334"/>
  <c r="H435" i="334"/>
  <c r="L433" i="334"/>
  <c r="H433" i="334"/>
  <c r="L432" i="334"/>
  <c r="H432" i="334"/>
  <c r="L431" i="334"/>
  <c r="E431" i="334"/>
  <c r="E445" i="334" s="1"/>
  <c r="D431" i="334"/>
  <c r="C431" i="334"/>
  <c r="N429" i="334"/>
  <c r="K429" i="334"/>
  <c r="J429" i="334"/>
  <c r="I429" i="334"/>
  <c r="G429" i="334"/>
  <c r="F429" i="334"/>
  <c r="E429" i="334"/>
  <c r="D429" i="334"/>
  <c r="C429" i="334"/>
  <c r="N428" i="334"/>
  <c r="L428" i="334"/>
  <c r="K428" i="334"/>
  <c r="J428" i="334"/>
  <c r="I428" i="334"/>
  <c r="G428" i="334"/>
  <c r="F428" i="334"/>
  <c r="E428" i="334"/>
  <c r="D428" i="334"/>
  <c r="C428" i="334"/>
  <c r="N427" i="334"/>
  <c r="K427" i="334"/>
  <c r="L426" i="334"/>
  <c r="H426" i="334"/>
  <c r="M426" i="334" s="1"/>
  <c r="O426" i="334" s="1"/>
  <c r="L425" i="334"/>
  <c r="H425" i="334"/>
  <c r="L424" i="334"/>
  <c r="H424" i="334"/>
  <c r="M424" i="334" s="1"/>
  <c r="O424" i="334" s="1"/>
  <c r="L422" i="334"/>
  <c r="H422" i="334"/>
  <c r="M422" i="334" s="1"/>
  <c r="O422" i="334" s="1"/>
  <c r="L421" i="334"/>
  <c r="H421" i="334"/>
  <c r="M421" i="334" s="1"/>
  <c r="O421" i="334" s="1"/>
  <c r="L420" i="334"/>
  <c r="H420" i="334"/>
  <c r="L418" i="334"/>
  <c r="L429" i="334" s="1"/>
  <c r="H418" i="334"/>
  <c r="M418" i="334" s="1"/>
  <c r="L417" i="334"/>
  <c r="H417" i="334"/>
  <c r="K416" i="334"/>
  <c r="J416" i="334"/>
  <c r="J427" i="334" s="1"/>
  <c r="I416" i="334"/>
  <c r="I427" i="334" s="1"/>
  <c r="G416" i="334"/>
  <c r="G427" i="334" s="1"/>
  <c r="F416" i="334"/>
  <c r="F427" i="334" s="1"/>
  <c r="E416" i="334"/>
  <c r="E427" i="334" s="1"/>
  <c r="D416" i="334"/>
  <c r="D427" i="334" s="1"/>
  <c r="C416" i="334"/>
  <c r="H416" i="334" s="1"/>
  <c r="N414" i="334"/>
  <c r="K414" i="334"/>
  <c r="J414" i="334"/>
  <c r="I414" i="334"/>
  <c r="G414" i="334"/>
  <c r="F414" i="334"/>
  <c r="E414" i="334"/>
  <c r="D414" i="334"/>
  <c r="C414" i="334"/>
  <c r="N413" i="334"/>
  <c r="K413" i="334"/>
  <c r="J413" i="334"/>
  <c r="I413" i="334"/>
  <c r="G413" i="334"/>
  <c r="F413" i="334"/>
  <c r="E413" i="334"/>
  <c r="D413" i="334"/>
  <c r="C413" i="334"/>
  <c r="N412" i="334"/>
  <c r="K412" i="334"/>
  <c r="J412" i="334"/>
  <c r="I412" i="334"/>
  <c r="I448" i="334" s="1"/>
  <c r="G412" i="334"/>
  <c r="F412" i="334"/>
  <c r="F448" i="334" s="1"/>
  <c r="L411" i="334"/>
  <c r="L655" i="334" s="1"/>
  <c r="H411" i="334"/>
  <c r="L410" i="334"/>
  <c r="H410" i="334"/>
  <c r="L409" i="334"/>
  <c r="H409" i="334"/>
  <c r="L408" i="334"/>
  <c r="H408" i="334"/>
  <c r="L406" i="334"/>
  <c r="L627" i="334" s="1"/>
  <c r="H406" i="334"/>
  <c r="L405" i="334"/>
  <c r="H405" i="334"/>
  <c r="L404" i="334"/>
  <c r="H404" i="334"/>
  <c r="L403" i="334"/>
  <c r="L610" i="334" s="1"/>
  <c r="H403" i="334"/>
  <c r="L402" i="334"/>
  <c r="H402" i="334"/>
  <c r="M402" i="334" s="1"/>
  <c r="O402" i="334" s="1"/>
  <c r="L401" i="334"/>
  <c r="H401" i="334"/>
  <c r="L399" i="334"/>
  <c r="L414" i="334" s="1"/>
  <c r="H399" i="334"/>
  <c r="L398" i="334"/>
  <c r="H398" i="334"/>
  <c r="L397" i="334"/>
  <c r="E397" i="334"/>
  <c r="E412" i="334" s="1"/>
  <c r="D397" i="334"/>
  <c r="D412" i="334" s="1"/>
  <c r="C397" i="334"/>
  <c r="N393" i="334"/>
  <c r="K393" i="334"/>
  <c r="J393" i="334"/>
  <c r="I393" i="334"/>
  <c r="G393" i="334"/>
  <c r="F393" i="334"/>
  <c r="E393" i="334"/>
  <c r="D393" i="334"/>
  <c r="C393" i="334"/>
  <c r="N392" i="334"/>
  <c r="K392" i="334"/>
  <c r="J392" i="334"/>
  <c r="I392" i="334"/>
  <c r="G392" i="334"/>
  <c r="F392" i="334"/>
  <c r="E392" i="334"/>
  <c r="D392" i="334"/>
  <c r="C392" i="334"/>
  <c r="N391" i="334"/>
  <c r="K391" i="334"/>
  <c r="J391" i="334"/>
  <c r="I391" i="334"/>
  <c r="G391" i="334"/>
  <c r="F391" i="334"/>
  <c r="D391" i="334"/>
  <c r="L390" i="334"/>
  <c r="H390" i="334"/>
  <c r="M390" i="334" s="1"/>
  <c r="O390" i="334" s="1"/>
  <c r="L389" i="334"/>
  <c r="H389" i="334"/>
  <c r="L388" i="334"/>
  <c r="H388" i="334"/>
  <c r="L387" i="334"/>
  <c r="H387" i="334"/>
  <c r="L385" i="334"/>
  <c r="H385" i="334"/>
  <c r="M385" i="334" s="1"/>
  <c r="O385" i="334" s="1"/>
  <c r="L384" i="334"/>
  <c r="H384" i="334"/>
  <c r="L383" i="334"/>
  <c r="H383" i="334"/>
  <c r="L382" i="334"/>
  <c r="H382" i="334"/>
  <c r="L381" i="334"/>
  <c r="H381" i="334"/>
  <c r="M381" i="334" s="1"/>
  <c r="O381" i="334" s="1"/>
  <c r="L380" i="334"/>
  <c r="H380" i="334"/>
  <c r="L379" i="334"/>
  <c r="H379" i="334"/>
  <c r="L377" i="334"/>
  <c r="H377" i="334"/>
  <c r="L376" i="334"/>
  <c r="H376" i="334"/>
  <c r="L375" i="334"/>
  <c r="L391" i="334" s="1"/>
  <c r="E375" i="334"/>
  <c r="E391" i="334" s="1"/>
  <c r="D375" i="334"/>
  <c r="C375" i="334"/>
  <c r="C391" i="334" s="1"/>
  <c r="N373" i="334"/>
  <c r="K373" i="334"/>
  <c r="J373" i="334"/>
  <c r="I373" i="334"/>
  <c r="G373" i="334"/>
  <c r="F373" i="334"/>
  <c r="E373" i="334"/>
  <c r="D373" i="334"/>
  <c r="C373" i="334"/>
  <c r="N372" i="334"/>
  <c r="K372" i="334"/>
  <c r="J372" i="334"/>
  <c r="I372" i="334"/>
  <c r="G372" i="334"/>
  <c r="F372" i="334"/>
  <c r="E372" i="334"/>
  <c r="D372" i="334"/>
  <c r="C372" i="334"/>
  <c r="N371" i="334"/>
  <c r="K371" i="334"/>
  <c r="J371" i="334"/>
  <c r="I371" i="334"/>
  <c r="G371" i="334"/>
  <c r="F371" i="334"/>
  <c r="L370" i="334"/>
  <c r="H370" i="334"/>
  <c r="L369" i="334"/>
  <c r="H369" i="334"/>
  <c r="L368" i="334"/>
  <c r="H368" i="334"/>
  <c r="M368" i="334" s="1"/>
  <c r="O368" i="334" s="1"/>
  <c r="L367" i="334"/>
  <c r="H367" i="334"/>
  <c r="M367" i="334" s="1"/>
  <c r="O367" i="334" s="1"/>
  <c r="L366" i="334"/>
  <c r="H366" i="334"/>
  <c r="L364" i="334"/>
  <c r="H364" i="334"/>
  <c r="M364" i="334" s="1"/>
  <c r="O364" i="334" s="1"/>
  <c r="L363" i="334"/>
  <c r="H363" i="334"/>
  <c r="O362" i="334"/>
  <c r="L362" i="334"/>
  <c r="H362" i="334"/>
  <c r="M362" i="334" s="1"/>
  <c r="O361" i="334"/>
  <c r="L361" i="334"/>
  <c r="H361" i="334"/>
  <c r="M361" i="334" s="1"/>
  <c r="L360" i="334"/>
  <c r="H360" i="334"/>
  <c r="L359" i="334"/>
  <c r="H359" i="334"/>
  <c r="L358" i="334"/>
  <c r="H358" i="334"/>
  <c r="L356" i="334"/>
  <c r="L373" i="334" s="1"/>
  <c r="H356" i="334"/>
  <c r="L355" i="334"/>
  <c r="L372" i="334" s="1"/>
  <c r="H355" i="334"/>
  <c r="L354" i="334"/>
  <c r="E354" i="334"/>
  <c r="E371" i="334" s="1"/>
  <c r="D354" i="334"/>
  <c r="D371" i="334" s="1"/>
  <c r="C354" i="334"/>
  <c r="H354" i="334" s="1"/>
  <c r="N352" i="334"/>
  <c r="K352" i="334"/>
  <c r="J352" i="334"/>
  <c r="I352" i="334"/>
  <c r="G352" i="334"/>
  <c r="F352" i="334"/>
  <c r="E352" i="334"/>
  <c r="D352" i="334"/>
  <c r="C352" i="334"/>
  <c r="N351" i="334"/>
  <c r="K351" i="334"/>
  <c r="J351" i="334"/>
  <c r="I351" i="334"/>
  <c r="H351" i="334"/>
  <c r="G351" i="334"/>
  <c r="F351" i="334"/>
  <c r="E351" i="334"/>
  <c r="D351" i="334"/>
  <c r="C351" i="334"/>
  <c r="N350" i="334"/>
  <c r="K350" i="334"/>
  <c r="J350" i="334"/>
  <c r="I350" i="334"/>
  <c r="G350" i="334"/>
  <c r="F350" i="334"/>
  <c r="O349" i="334"/>
  <c r="M349" i="334"/>
  <c r="L349" i="334"/>
  <c r="H349" i="334"/>
  <c r="L348" i="334"/>
  <c r="H348" i="334"/>
  <c r="M348" i="334" s="1"/>
  <c r="O348" i="334" s="1"/>
  <c r="O347" i="334"/>
  <c r="M347" i="334"/>
  <c r="L347" i="334"/>
  <c r="H347" i="334"/>
  <c r="L345" i="334"/>
  <c r="H345" i="334"/>
  <c r="O344" i="334"/>
  <c r="M344" i="334"/>
  <c r="L344" i="334"/>
  <c r="H344" i="334"/>
  <c r="L343" i="334"/>
  <c r="H343" i="334"/>
  <c r="M343" i="334" s="1"/>
  <c r="O343" i="334" s="1"/>
  <c r="O342" i="334"/>
  <c r="M342" i="334"/>
  <c r="L342" i="334"/>
  <c r="H342" i="334"/>
  <c r="L341" i="334"/>
  <c r="L351" i="334" s="1"/>
  <c r="H341" i="334"/>
  <c r="M341" i="334" s="1"/>
  <c r="O341" i="334" s="1"/>
  <c r="O340" i="334"/>
  <c r="M340" i="334"/>
  <c r="L340" i="334"/>
  <c r="H340" i="334"/>
  <c r="L338" i="334"/>
  <c r="L352" i="334" s="1"/>
  <c r="H338" i="334"/>
  <c r="M338" i="334" s="1"/>
  <c r="O337" i="334"/>
  <c r="M337" i="334"/>
  <c r="L337" i="334"/>
  <c r="H337" i="334"/>
  <c r="L336" i="334"/>
  <c r="E336" i="334"/>
  <c r="E350" i="334" s="1"/>
  <c r="D336" i="334"/>
  <c r="D350" i="334" s="1"/>
  <c r="C336" i="334"/>
  <c r="C350" i="334" s="1"/>
  <c r="N334" i="334"/>
  <c r="K334" i="334"/>
  <c r="J334" i="334"/>
  <c r="I334" i="334"/>
  <c r="G334" i="334"/>
  <c r="F334" i="334"/>
  <c r="E334" i="334"/>
  <c r="D334" i="334"/>
  <c r="C334" i="334"/>
  <c r="N333" i="334"/>
  <c r="K333" i="334"/>
  <c r="J333" i="334"/>
  <c r="I333" i="334"/>
  <c r="G333" i="334"/>
  <c r="F333" i="334"/>
  <c r="E333" i="334"/>
  <c r="D333" i="334"/>
  <c r="C333" i="334"/>
  <c r="N332" i="334"/>
  <c r="K332" i="334"/>
  <c r="J332" i="334"/>
  <c r="I332" i="334"/>
  <c r="G332" i="334"/>
  <c r="F332" i="334"/>
  <c r="L331" i="334"/>
  <c r="L653" i="334" s="1"/>
  <c r="H331" i="334"/>
  <c r="H653" i="334" s="1"/>
  <c r="L329" i="334"/>
  <c r="L621" i="334" s="1"/>
  <c r="H329" i="334"/>
  <c r="H621" i="334" s="1"/>
  <c r="L327" i="334"/>
  <c r="L334" i="334" s="1"/>
  <c r="H327" i="334"/>
  <c r="L326" i="334"/>
  <c r="H326" i="334"/>
  <c r="H333" i="334" s="1"/>
  <c r="L325" i="334"/>
  <c r="E325" i="334"/>
  <c r="E332" i="334" s="1"/>
  <c r="D325" i="334"/>
  <c r="D332" i="334" s="1"/>
  <c r="C325" i="334"/>
  <c r="N323" i="334"/>
  <c r="K323" i="334"/>
  <c r="J323" i="334"/>
  <c r="I323" i="334"/>
  <c r="G323" i="334"/>
  <c r="F323" i="334"/>
  <c r="E323" i="334"/>
  <c r="D323" i="334"/>
  <c r="C323" i="334"/>
  <c r="N322" i="334"/>
  <c r="K322" i="334"/>
  <c r="J322" i="334"/>
  <c r="I322" i="334"/>
  <c r="G322" i="334"/>
  <c r="F322" i="334"/>
  <c r="E322" i="334"/>
  <c r="D322" i="334"/>
  <c r="C322" i="334"/>
  <c r="N321" i="334"/>
  <c r="K321" i="334"/>
  <c r="J321" i="334"/>
  <c r="I321" i="334"/>
  <c r="G321" i="334"/>
  <c r="F321" i="334"/>
  <c r="E321" i="334"/>
  <c r="L320" i="334"/>
  <c r="H320" i="334"/>
  <c r="M320" i="334" s="1"/>
  <c r="O320" i="334" s="1"/>
  <c r="L319" i="334"/>
  <c r="H319" i="334"/>
  <c r="M319" i="334" s="1"/>
  <c r="O319" i="334" s="1"/>
  <c r="L318" i="334"/>
  <c r="H318" i="334"/>
  <c r="M318" i="334" s="1"/>
  <c r="O318" i="334" s="1"/>
  <c r="L317" i="334"/>
  <c r="H317" i="334"/>
  <c r="L316" i="334"/>
  <c r="H316" i="334"/>
  <c r="M316" i="334" s="1"/>
  <c r="O316" i="334" s="1"/>
  <c r="L315" i="334"/>
  <c r="H315" i="334"/>
  <c r="M315" i="334" s="1"/>
  <c r="O315" i="334" s="1"/>
  <c r="L313" i="334"/>
  <c r="H313" i="334"/>
  <c r="M313" i="334" s="1"/>
  <c r="O313" i="334" s="1"/>
  <c r="L312" i="334"/>
  <c r="H312" i="334"/>
  <c r="L311" i="334"/>
  <c r="H311" i="334"/>
  <c r="M311" i="334" s="1"/>
  <c r="O311" i="334" s="1"/>
  <c r="L310" i="334"/>
  <c r="H310" i="334"/>
  <c r="M310" i="334" s="1"/>
  <c r="O310" i="334" s="1"/>
  <c r="L309" i="334"/>
  <c r="H309" i="334"/>
  <c r="M309" i="334" s="1"/>
  <c r="O309" i="334" s="1"/>
  <c r="L308" i="334"/>
  <c r="H308" i="334"/>
  <c r="L307" i="334"/>
  <c r="H307" i="334"/>
  <c r="M307" i="334" s="1"/>
  <c r="O307" i="334" s="1"/>
  <c r="L306" i="334"/>
  <c r="H306" i="334"/>
  <c r="M306" i="334" s="1"/>
  <c r="O306" i="334" s="1"/>
  <c r="L304" i="334"/>
  <c r="L323" i="334" s="1"/>
  <c r="H304" i="334"/>
  <c r="M304" i="334" s="1"/>
  <c r="L303" i="334"/>
  <c r="L322" i="334" s="1"/>
  <c r="H303" i="334"/>
  <c r="L302" i="334"/>
  <c r="E302" i="334"/>
  <c r="D302" i="334"/>
  <c r="C302" i="334"/>
  <c r="C321" i="334" s="1"/>
  <c r="N300" i="334"/>
  <c r="K300" i="334"/>
  <c r="J300" i="334"/>
  <c r="I300" i="334"/>
  <c r="G300" i="334"/>
  <c r="F300" i="334"/>
  <c r="E300" i="334"/>
  <c r="D300" i="334"/>
  <c r="C300" i="334"/>
  <c r="N299" i="334"/>
  <c r="K299" i="334"/>
  <c r="J299" i="334"/>
  <c r="I299" i="334"/>
  <c r="G299" i="334"/>
  <c r="F299" i="334"/>
  <c r="E299" i="334"/>
  <c r="D299" i="334"/>
  <c r="C299" i="334"/>
  <c r="N298" i="334"/>
  <c r="K298" i="334"/>
  <c r="J298" i="334"/>
  <c r="I298" i="334"/>
  <c r="G298" i="334"/>
  <c r="F298" i="334"/>
  <c r="L297" i="334"/>
  <c r="H297" i="334"/>
  <c r="L296" i="334"/>
  <c r="M296" i="334" s="1"/>
  <c r="O296" i="334" s="1"/>
  <c r="H296" i="334"/>
  <c r="L295" i="334"/>
  <c r="M295" i="334" s="1"/>
  <c r="O295" i="334" s="1"/>
  <c r="H295" i="334"/>
  <c r="L294" i="334"/>
  <c r="H294" i="334"/>
  <c r="L292" i="334"/>
  <c r="H292" i="334"/>
  <c r="L291" i="334"/>
  <c r="M291" i="334" s="1"/>
  <c r="O291" i="334" s="1"/>
  <c r="H291" i="334"/>
  <c r="L290" i="334"/>
  <c r="H290" i="334"/>
  <c r="L289" i="334"/>
  <c r="H289" i="334"/>
  <c r="H299" i="334" s="1"/>
  <c r="L288" i="334"/>
  <c r="H288" i="334"/>
  <c r="L287" i="334"/>
  <c r="H287" i="334"/>
  <c r="L286" i="334"/>
  <c r="M286" i="334" s="1"/>
  <c r="O286" i="334" s="1"/>
  <c r="H286" i="334"/>
  <c r="L285" i="334"/>
  <c r="H285" i="334"/>
  <c r="L283" i="334"/>
  <c r="M283" i="334" s="1"/>
  <c r="H283" i="334"/>
  <c r="L282" i="334"/>
  <c r="M282" i="334" s="1"/>
  <c r="O282" i="334" s="1"/>
  <c r="H282" i="334"/>
  <c r="L281" i="334"/>
  <c r="L298" i="334" s="1"/>
  <c r="E281" i="334"/>
  <c r="E298" i="334" s="1"/>
  <c r="D281" i="334"/>
  <c r="D298" i="334" s="1"/>
  <c r="C281" i="334"/>
  <c r="C298" i="334" s="1"/>
  <c r="N279" i="334"/>
  <c r="K279" i="334"/>
  <c r="J279" i="334"/>
  <c r="I279" i="334"/>
  <c r="G279" i="334"/>
  <c r="F279" i="334"/>
  <c r="E279" i="334"/>
  <c r="D279" i="334"/>
  <c r="C279" i="334"/>
  <c r="N278" i="334"/>
  <c r="K278" i="334"/>
  <c r="J278" i="334"/>
  <c r="I278" i="334"/>
  <c r="G278" i="334"/>
  <c r="F278" i="334"/>
  <c r="E278" i="334"/>
  <c r="D278" i="334"/>
  <c r="C278" i="334"/>
  <c r="N277" i="334"/>
  <c r="K277" i="334"/>
  <c r="J277" i="334"/>
  <c r="I277" i="334"/>
  <c r="G277" i="334"/>
  <c r="F277" i="334"/>
  <c r="E277" i="334"/>
  <c r="L276" i="334"/>
  <c r="H276" i="334"/>
  <c r="M275" i="334"/>
  <c r="O275" i="334" s="1"/>
  <c r="L275" i="334"/>
  <c r="H275" i="334"/>
  <c r="L274" i="334"/>
  <c r="M274" i="334" s="1"/>
  <c r="O274" i="334" s="1"/>
  <c r="H274" i="334"/>
  <c r="M272" i="334"/>
  <c r="O272" i="334" s="1"/>
  <c r="L272" i="334"/>
  <c r="H272" i="334"/>
  <c r="M271" i="334"/>
  <c r="O271" i="334" s="1"/>
  <c r="L271" i="334"/>
  <c r="H271" i="334"/>
  <c r="L270" i="334"/>
  <c r="H270" i="334"/>
  <c r="M270" i="334" s="1"/>
  <c r="O270" i="334" s="1"/>
  <c r="L269" i="334"/>
  <c r="H269" i="334"/>
  <c r="M269" i="334" s="1"/>
  <c r="O269" i="334" s="1"/>
  <c r="L268" i="334"/>
  <c r="H268" i="334"/>
  <c r="M268" i="334" s="1"/>
  <c r="O268" i="334" s="1"/>
  <c r="L267" i="334"/>
  <c r="H267" i="334"/>
  <c r="M267" i="334" s="1"/>
  <c r="O267" i="334" s="1"/>
  <c r="M266" i="334"/>
  <c r="O266" i="334" s="1"/>
  <c r="L266" i="334"/>
  <c r="H266" i="334"/>
  <c r="L264" i="334"/>
  <c r="L279" i="334" s="1"/>
  <c r="H264" i="334"/>
  <c r="M263" i="334"/>
  <c r="L263" i="334"/>
  <c r="H263" i="334"/>
  <c r="L262" i="334"/>
  <c r="E262" i="334"/>
  <c r="D262" i="334"/>
  <c r="C262" i="334"/>
  <c r="C277" i="334" s="1"/>
  <c r="N260" i="334"/>
  <c r="K260" i="334"/>
  <c r="J260" i="334"/>
  <c r="I260" i="334"/>
  <c r="G260" i="334"/>
  <c r="F260" i="334"/>
  <c r="E260" i="334"/>
  <c r="D260" i="334"/>
  <c r="C260" i="334"/>
  <c r="N259" i="334"/>
  <c r="K259" i="334"/>
  <c r="J259" i="334"/>
  <c r="I259" i="334"/>
  <c r="G259" i="334"/>
  <c r="F259" i="334"/>
  <c r="E259" i="334"/>
  <c r="D259" i="334"/>
  <c r="C259" i="334"/>
  <c r="N258" i="334"/>
  <c r="K258" i="334"/>
  <c r="J258" i="334"/>
  <c r="I258" i="334"/>
  <c r="G258" i="334"/>
  <c r="F258" i="334"/>
  <c r="D258" i="334"/>
  <c r="L257" i="334"/>
  <c r="H257" i="334"/>
  <c r="L256" i="334"/>
  <c r="H256" i="334"/>
  <c r="L255" i="334"/>
  <c r="H255" i="334"/>
  <c r="L254" i="334"/>
  <c r="H254" i="334"/>
  <c r="L253" i="334"/>
  <c r="H253" i="334"/>
  <c r="L251" i="334"/>
  <c r="H251" i="334"/>
  <c r="L250" i="334"/>
  <c r="H250" i="334"/>
  <c r="L249" i="334"/>
  <c r="H249" i="334"/>
  <c r="L248" i="334"/>
  <c r="H248" i="334"/>
  <c r="L247" i="334"/>
  <c r="H247" i="334"/>
  <c r="L246" i="334"/>
  <c r="H246" i="334"/>
  <c r="L245" i="334"/>
  <c r="H245" i="334"/>
  <c r="L243" i="334"/>
  <c r="H243" i="334"/>
  <c r="L242" i="334"/>
  <c r="L259" i="334" s="1"/>
  <c r="H242" i="334"/>
  <c r="H259" i="334" s="1"/>
  <c r="L241" i="334"/>
  <c r="E241" i="334"/>
  <c r="E258" i="334" s="1"/>
  <c r="D241" i="334"/>
  <c r="C241" i="334"/>
  <c r="N239" i="334"/>
  <c r="K239" i="334"/>
  <c r="J239" i="334"/>
  <c r="I239" i="334"/>
  <c r="G239" i="334"/>
  <c r="F239" i="334"/>
  <c r="E239" i="334"/>
  <c r="D239" i="334"/>
  <c r="C239" i="334"/>
  <c r="N238" i="334"/>
  <c r="K238" i="334"/>
  <c r="J238" i="334"/>
  <c r="I238" i="334"/>
  <c r="G238" i="334"/>
  <c r="F238" i="334"/>
  <c r="E238" i="334"/>
  <c r="D238" i="334"/>
  <c r="C238" i="334"/>
  <c r="N237" i="334"/>
  <c r="K237" i="334"/>
  <c r="J237" i="334"/>
  <c r="I237" i="334"/>
  <c r="G237" i="334"/>
  <c r="F237" i="334"/>
  <c r="E237" i="334"/>
  <c r="L236" i="334"/>
  <c r="L654" i="334" s="1"/>
  <c r="H236" i="334"/>
  <c r="L235" i="334"/>
  <c r="H235" i="334"/>
  <c r="M235" i="334" s="1"/>
  <c r="O235" i="334" s="1"/>
  <c r="L234" i="334"/>
  <c r="H234" i="334"/>
  <c r="M234" i="334" s="1"/>
  <c r="O234" i="334" s="1"/>
  <c r="L233" i="334"/>
  <c r="L239" i="334" s="1"/>
  <c r="H233" i="334"/>
  <c r="L232" i="334"/>
  <c r="L636" i="334" s="1"/>
  <c r="H232" i="334"/>
  <c r="L231" i="334"/>
  <c r="H231" i="334"/>
  <c r="M231" i="334" s="1"/>
  <c r="O231" i="334" s="1"/>
  <c r="L229" i="334"/>
  <c r="L625" i="334" s="1"/>
  <c r="H229" i="334"/>
  <c r="L228" i="334"/>
  <c r="L620" i="334" s="1"/>
  <c r="H228" i="334"/>
  <c r="L227" i="334"/>
  <c r="H227" i="334"/>
  <c r="M227" i="334" s="1"/>
  <c r="O227" i="334" s="1"/>
  <c r="L226" i="334"/>
  <c r="H226" i="334"/>
  <c r="M226" i="334" s="1"/>
  <c r="O226" i="334" s="1"/>
  <c r="L225" i="334"/>
  <c r="H225" i="334"/>
  <c r="M225" i="334" s="1"/>
  <c r="O225" i="334" s="1"/>
  <c r="L224" i="334"/>
  <c r="L622" i="334" s="1"/>
  <c r="H224" i="334"/>
  <c r="L223" i="334"/>
  <c r="H223" i="334"/>
  <c r="M223" i="334" s="1"/>
  <c r="O223" i="334" s="1"/>
  <c r="L222" i="334"/>
  <c r="H222" i="334"/>
  <c r="M222" i="334" s="1"/>
  <c r="O222" i="334" s="1"/>
  <c r="L221" i="334"/>
  <c r="H221" i="334"/>
  <c r="M221" i="334" s="1"/>
  <c r="O221" i="334" s="1"/>
  <c r="L220" i="334"/>
  <c r="H220" i="334"/>
  <c r="L219" i="334"/>
  <c r="H219" i="334"/>
  <c r="M219" i="334" s="1"/>
  <c r="O219" i="334" s="1"/>
  <c r="L217" i="334"/>
  <c r="H217" i="334"/>
  <c r="M217" i="334" s="1"/>
  <c r="L216" i="334"/>
  <c r="L238" i="334" s="1"/>
  <c r="H216" i="334"/>
  <c r="L215" i="334"/>
  <c r="L237" i="334" s="1"/>
  <c r="E215" i="334"/>
  <c r="D215" i="334"/>
  <c r="D237" i="334" s="1"/>
  <c r="C215" i="334"/>
  <c r="C237" i="334" s="1"/>
  <c r="N213" i="334"/>
  <c r="K213" i="334"/>
  <c r="J213" i="334"/>
  <c r="I213" i="334"/>
  <c r="G213" i="334"/>
  <c r="F213" i="334"/>
  <c r="E213" i="334"/>
  <c r="D213" i="334"/>
  <c r="C213" i="334"/>
  <c r="N212" i="334"/>
  <c r="K212" i="334"/>
  <c r="J212" i="334"/>
  <c r="I212" i="334"/>
  <c r="G212" i="334"/>
  <c r="F212" i="334"/>
  <c r="E212" i="334"/>
  <c r="D212" i="334"/>
  <c r="C212" i="334"/>
  <c r="N211" i="334"/>
  <c r="K211" i="334"/>
  <c r="J211" i="334"/>
  <c r="I211" i="334"/>
  <c r="G211" i="334"/>
  <c r="F211" i="334"/>
  <c r="L210" i="334"/>
  <c r="H210" i="334"/>
  <c r="L209" i="334"/>
  <c r="M209" i="334" s="1"/>
  <c r="O209" i="334" s="1"/>
  <c r="H209" i="334"/>
  <c r="L208" i="334"/>
  <c r="H208" i="334"/>
  <c r="L206" i="334"/>
  <c r="M206" i="334" s="1"/>
  <c r="O206" i="334" s="1"/>
  <c r="H206" i="334"/>
  <c r="L205" i="334"/>
  <c r="M205" i="334" s="1"/>
  <c r="O205" i="334" s="1"/>
  <c r="H205" i="334"/>
  <c r="L204" i="334"/>
  <c r="M204" i="334" s="1"/>
  <c r="O204" i="334" s="1"/>
  <c r="H204" i="334"/>
  <c r="L203" i="334"/>
  <c r="M203" i="334" s="1"/>
  <c r="O203" i="334" s="1"/>
  <c r="H203" i="334"/>
  <c r="L202" i="334"/>
  <c r="H202" i="334"/>
  <c r="L201" i="334"/>
  <c r="M201" i="334" s="1"/>
  <c r="O201" i="334" s="1"/>
  <c r="H201" i="334"/>
  <c r="L200" i="334"/>
  <c r="H200" i="334"/>
  <c r="L198" i="334"/>
  <c r="H198" i="334"/>
  <c r="H213" i="334" s="1"/>
  <c r="L197" i="334"/>
  <c r="H197" i="334"/>
  <c r="H212" i="334" s="1"/>
  <c r="L196" i="334"/>
  <c r="E196" i="334"/>
  <c r="E211" i="334" s="1"/>
  <c r="D196" i="334"/>
  <c r="D211" i="334" s="1"/>
  <c r="C196" i="334"/>
  <c r="C211" i="334" s="1"/>
  <c r="N194" i="334"/>
  <c r="K194" i="334"/>
  <c r="J194" i="334"/>
  <c r="I194" i="334"/>
  <c r="G194" i="334"/>
  <c r="F194" i="334"/>
  <c r="E194" i="334"/>
  <c r="D194" i="334"/>
  <c r="C194" i="334"/>
  <c r="N193" i="334"/>
  <c r="K193" i="334"/>
  <c r="J193" i="334"/>
  <c r="I193" i="334"/>
  <c r="G193" i="334"/>
  <c r="F193" i="334"/>
  <c r="E193" i="334"/>
  <c r="D193" i="334"/>
  <c r="C193" i="334"/>
  <c r="N192" i="334"/>
  <c r="L191" i="334"/>
  <c r="M191" i="334" s="1"/>
  <c r="O191" i="334" s="1"/>
  <c r="H191" i="334"/>
  <c r="L190" i="334"/>
  <c r="M190" i="334" s="1"/>
  <c r="O190" i="334" s="1"/>
  <c r="H190" i="334"/>
  <c r="M189" i="334"/>
  <c r="O189" i="334" s="1"/>
  <c r="L189" i="334"/>
  <c r="H189" i="334"/>
  <c r="M187" i="334"/>
  <c r="O187" i="334" s="1"/>
  <c r="L187" i="334"/>
  <c r="H187" i="334"/>
  <c r="L186" i="334"/>
  <c r="H186" i="334"/>
  <c r="M186" i="334" s="1"/>
  <c r="O186" i="334" s="1"/>
  <c r="L185" i="334"/>
  <c r="H185" i="334"/>
  <c r="M185" i="334" s="1"/>
  <c r="O185" i="334" s="1"/>
  <c r="L184" i="334"/>
  <c r="H184" i="334"/>
  <c r="M184" i="334" s="1"/>
  <c r="O184" i="334" s="1"/>
  <c r="L183" i="334"/>
  <c r="H183" i="334"/>
  <c r="L182" i="334"/>
  <c r="M182" i="334" s="1"/>
  <c r="O182" i="334" s="1"/>
  <c r="H182" i="334"/>
  <c r="L181" i="334"/>
  <c r="M181" i="334" s="1"/>
  <c r="O181" i="334" s="1"/>
  <c r="H181" i="334"/>
  <c r="M179" i="334"/>
  <c r="L179" i="334"/>
  <c r="H179" i="334"/>
  <c r="H194" i="334" s="1"/>
  <c r="M178" i="334"/>
  <c r="L178" i="334"/>
  <c r="H178" i="334"/>
  <c r="K177" i="334"/>
  <c r="K192" i="334" s="1"/>
  <c r="J177" i="334"/>
  <c r="J192" i="334" s="1"/>
  <c r="I177" i="334"/>
  <c r="L177" i="334" s="1"/>
  <c r="G177" i="334"/>
  <c r="G192" i="334" s="1"/>
  <c r="F177" i="334"/>
  <c r="F192" i="334" s="1"/>
  <c r="E177" i="334"/>
  <c r="E192" i="334" s="1"/>
  <c r="D177" i="334"/>
  <c r="D192" i="334" s="1"/>
  <c r="C177" i="334"/>
  <c r="N175" i="334"/>
  <c r="K175" i="334"/>
  <c r="J175" i="334"/>
  <c r="I175" i="334"/>
  <c r="G175" i="334"/>
  <c r="F175" i="334"/>
  <c r="E175" i="334"/>
  <c r="D175" i="334"/>
  <c r="C175" i="334"/>
  <c r="N174" i="334"/>
  <c r="K174" i="334"/>
  <c r="J174" i="334"/>
  <c r="I174" i="334"/>
  <c r="G174" i="334"/>
  <c r="F174" i="334"/>
  <c r="E174" i="334"/>
  <c r="D174" i="334"/>
  <c r="C174" i="334"/>
  <c r="N173" i="334"/>
  <c r="M172" i="334"/>
  <c r="O172" i="334" s="1"/>
  <c r="L172" i="334"/>
  <c r="H172" i="334"/>
  <c r="L171" i="334"/>
  <c r="H171" i="334"/>
  <c r="M171" i="334" s="1"/>
  <c r="O171" i="334" s="1"/>
  <c r="L170" i="334"/>
  <c r="H170" i="334"/>
  <c r="M170" i="334" s="1"/>
  <c r="O170" i="334" s="1"/>
  <c r="L169" i="334"/>
  <c r="H169" i="334"/>
  <c r="M169" i="334" s="1"/>
  <c r="O169" i="334" s="1"/>
  <c r="L167" i="334"/>
  <c r="H167" i="334"/>
  <c r="L166" i="334"/>
  <c r="M166" i="334" s="1"/>
  <c r="O166" i="334" s="1"/>
  <c r="H166" i="334"/>
  <c r="L165" i="334"/>
  <c r="M165" i="334" s="1"/>
  <c r="H165" i="334"/>
  <c r="M164" i="334"/>
  <c r="O164" i="334" s="1"/>
  <c r="L164" i="334"/>
  <c r="H164" i="334"/>
  <c r="M163" i="334"/>
  <c r="O163" i="334" s="1"/>
  <c r="L163" i="334"/>
  <c r="H163" i="334"/>
  <c r="L162" i="334"/>
  <c r="H162" i="334"/>
  <c r="M162" i="334" s="1"/>
  <c r="O162" i="334" s="1"/>
  <c r="L160" i="334"/>
  <c r="L175" i="334" s="1"/>
  <c r="H160" i="334"/>
  <c r="L159" i="334"/>
  <c r="H159" i="334"/>
  <c r="H158" i="334" s="1"/>
  <c r="K158" i="334"/>
  <c r="K173" i="334" s="1"/>
  <c r="J158" i="334"/>
  <c r="J173" i="334" s="1"/>
  <c r="I158" i="334"/>
  <c r="G158" i="334"/>
  <c r="G173" i="334" s="1"/>
  <c r="F158" i="334"/>
  <c r="F173" i="334" s="1"/>
  <c r="E158" i="334"/>
  <c r="E173" i="334" s="1"/>
  <c r="D158" i="334"/>
  <c r="D173" i="334" s="1"/>
  <c r="C158" i="334"/>
  <c r="C173" i="334" s="1"/>
  <c r="N155" i="334"/>
  <c r="K155" i="334"/>
  <c r="J155" i="334"/>
  <c r="I155" i="334"/>
  <c r="G155" i="334"/>
  <c r="F155" i="334"/>
  <c r="E155" i="334"/>
  <c r="D155" i="334"/>
  <c r="C155" i="334"/>
  <c r="N154" i="334"/>
  <c r="K154" i="334"/>
  <c r="J154" i="334"/>
  <c r="I154" i="334"/>
  <c r="G154" i="334"/>
  <c r="F154" i="334"/>
  <c r="E154" i="334"/>
  <c r="D154" i="334"/>
  <c r="C154" i="334"/>
  <c r="N153" i="334"/>
  <c r="K153" i="334"/>
  <c r="J153" i="334"/>
  <c r="I153" i="334"/>
  <c r="G153" i="334"/>
  <c r="F153" i="334"/>
  <c r="D153" i="334"/>
  <c r="L152" i="334"/>
  <c r="H152" i="334"/>
  <c r="L151" i="334"/>
  <c r="M151" i="334" s="1"/>
  <c r="O151" i="334" s="1"/>
  <c r="H151" i="334"/>
  <c r="L150" i="334"/>
  <c r="H150" i="334"/>
  <c r="L149" i="334"/>
  <c r="M149" i="334" s="1"/>
  <c r="O149" i="334" s="1"/>
  <c r="H149" i="334"/>
  <c r="L147" i="334"/>
  <c r="M147" i="334" s="1"/>
  <c r="O147" i="334" s="1"/>
  <c r="H147" i="334"/>
  <c r="L146" i="334"/>
  <c r="M146" i="334" s="1"/>
  <c r="O146" i="334" s="1"/>
  <c r="H146" i="334"/>
  <c r="L145" i="334"/>
  <c r="M145" i="334" s="1"/>
  <c r="O145" i="334" s="1"/>
  <c r="H145" i="334"/>
  <c r="L144" i="334"/>
  <c r="H144" i="334"/>
  <c r="L143" i="334"/>
  <c r="H143" i="334"/>
  <c r="L141" i="334"/>
  <c r="H141" i="334"/>
  <c r="H155" i="334" s="1"/>
  <c r="L140" i="334"/>
  <c r="H140" i="334"/>
  <c r="H154" i="334" s="1"/>
  <c r="L139" i="334"/>
  <c r="E139" i="334"/>
  <c r="E153" i="334" s="1"/>
  <c r="D139" i="334"/>
  <c r="C139" i="334"/>
  <c r="C153" i="334" s="1"/>
  <c r="N137" i="334"/>
  <c r="K137" i="334"/>
  <c r="J137" i="334"/>
  <c r="I137" i="334"/>
  <c r="G137" i="334"/>
  <c r="F137" i="334"/>
  <c r="E137" i="334"/>
  <c r="D137" i="334"/>
  <c r="C137" i="334"/>
  <c r="N136" i="334"/>
  <c r="K136" i="334"/>
  <c r="J136" i="334"/>
  <c r="I136" i="334"/>
  <c r="G136" i="334"/>
  <c r="F136" i="334"/>
  <c r="E136" i="334"/>
  <c r="D136" i="334"/>
  <c r="C136" i="334"/>
  <c r="N135" i="334"/>
  <c r="K135" i="334"/>
  <c r="J135" i="334"/>
  <c r="I135" i="334"/>
  <c r="G135" i="334"/>
  <c r="F135" i="334"/>
  <c r="L134" i="334"/>
  <c r="H134" i="334"/>
  <c r="M134" i="334" s="1"/>
  <c r="O134" i="334" s="1"/>
  <c r="L133" i="334"/>
  <c r="H133" i="334"/>
  <c r="M133" i="334" s="1"/>
  <c r="O133" i="334" s="1"/>
  <c r="L132" i="334"/>
  <c r="H132" i="334"/>
  <c r="M132" i="334" s="1"/>
  <c r="O132" i="334" s="1"/>
  <c r="L131" i="334"/>
  <c r="H131" i="334"/>
  <c r="M129" i="334"/>
  <c r="O129" i="334" s="1"/>
  <c r="L129" i="334"/>
  <c r="H129" i="334"/>
  <c r="M128" i="334"/>
  <c r="O128" i="334" s="1"/>
  <c r="L128" i="334"/>
  <c r="H128" i="334"/>
  <c r="L127" i="334"/>
  <c r="H127" i="334"/>
  <c r="L126" i="334"/>
  <c r="H126" i="334"/>
  <c r="L125" i="334"/>
  <c r="M125" i="334" s="1"/>
  <c r="O125" i="334" s="1"/>
  <c r="H125" i="334"/>
  <c r="L124" i="334"/>
  <c r="M124" i="334" s="1"/>
  <c r="O124" i="334" s="1"/>
  <c r="H124" i="334"/>
  <c r="L123" i="334"/>
  <c r="H123" i="334"/>
  <c r="L121" i="334"/>
  <c r="L137" i="334" s="1"/>
  <c r="H121" i="334"/>
  <c r="L120" i="334"/>
  <c r="H120" i="334"/>
  <c r="M120" i="334" s="1"/>
  <c r="L119" i="334"/>
  <c r="E119" i="334"/>
  <c r="E135" i="334" s="1"/>
  <c r="D119" i="334"/>
  <c r="D135" i="334" s="1"/>
  <c r="C119" i="334"/>
  <c r="C135" i="334" s="1"/>
  <c r="N117" i="334"/>
  <c r="K117" i="334"/>
  <c r="J117" i="334"/>
  <c r="I117" i="334"/>
  <c r="G117" i="334"/>
  <c r="F117" i="334"/>
  <c r="E117" i="334"/>
  <c r="D117" i="334"/>
  <c r="C117" i="334"/>
  <c r="N116" i="334"/>
  <c r="K116" i="334"/>
  <c r="J116" i="334"/>
  <c r="I116" i="334"/>
  <c r="G116" i="334"/>
  <c r="F116" i="334"/>
  <c r="E116" i="334"/>
  <c r="D116" i="334"/>
  <c r="C116" i="334"/>
  <c r="N115" i="334"/>
  <c r="K115" i="334"/>
  <c r="J115" i="334"/>
  <c r="I115" i="334"/>
  <c r="G115" i="334"/>
  <c r="F115" i="334"/>
  <c r="L114" i="334"/>
  <c r="H114" i="334"/>
  <c r="M114" i="334" s="1"/>
  <c r="O114" i="334" s="1"/>
  <c r="L113" i="334"/>
  <c r="H113" i="334"/>
  <c r="L112" i="334"/>
  <c r="H112" i="334"/>
  <c r="L111" i="334"/>
  <c r="H111" i="334"/>
  <c r="L110" i="334"/>
  <c r="H110" i="334"/>
  <c r="M110" i="334" s="1"/>
  <c r="O110" i="334" s="1"/>
  <c r="L108" i="334"/>
  <c r="H108" i="334"/>
  <c r="L107" i="334"/>
  <c r="H107" i="334"/>
  <c r="L106" i="334"/>
  <c r="H106" i="334"/>
  <c r="L105" i="334"/>
  <c r="H105" i="334"/>
  <c r="M105" i="334" s="1"/>
  <c r="O105" i="334" s="1"/>
  <c r="L104" i="334"/>
  <c r="H104" i="334"/>
  <c r="L102" i="334"/>
  <c r="H102" i="334"/>
  <c r="L101" i="334"/>
  <c r="H101" i="334"/>
  <c r="H116" i="334" s="1"/>
  <c r="L100" i="334"/>
  <c r="E100" i="334"/>
  <c r="E115" i="334" s="1"/>
  <c r="D100" i="334"/>
  <c r="D115" i="334" s="1"/>
  <c r="C100" i="334"/>
  <c r="C115" i="334" s="1"/>
  <c r="N98" i="334"/>
  <c r="K98" i="334"/>
  <c r="J98" i="334"/>
  <c r="I98" i="334"/>
  <c r="G98" i="334"/>
  <c r="F98" i="334"/>
  <c r="E98" i="334"/>
  <c r="D98" i="334"/>
  <c r="C98" i="334"/>
  <c r="N97" i="334"/>
  <c r="K97" i="334"/>
  <c r="J97" i="334"/>
  <c r="I97" i="334"/>
  <c r="G97" i="334"/>
  <c r="F97" i="334"/>
  <c r="E97" i="334"/>
  <c r="D97" i="334"/>
  <c r="C97" i="334"/>
  <c r="N96" i="334"/>
  <c r="K96" i="334"/>
  <c r="J96" i="334"/>
  <c r="I96" i="334"/>
  <c r="G96" i="334"/>
  <c r="F96" i="334"/>
  <c r="C96" i="334"/>
  <c r="L95" i="334"/>
  <c r="H95" i="334"/>
  <c r="L94" i="334"/>
  <c r="H94" i="334"/>
  <c r="M94" i="334" s="1"/>
  <c r="O94" i="334" s="1"/>
  <c r="L93" i="334"/>
  <c r="H93" i="334"/>
  <c r="M93" i="334" s="1"/>
  <c r="O93" i="334" s="1"/>
  <c r="L92" i="334"/>
  <c r="L98" i="334" s="1"/>
  <c r="H92" i="334"/>
  <c r="M92" i="334" s="1"/>
  <c r="O92" i="334" s="1"/>
  <c r="L90" i="334"/>
  <c r="H90" i="334"/>
  <c r="L89" i="334"/>
  <c r="H89" i="334"/>
  <c r="M89" i="334" s="1"/>
  <c r="O89" i="334" s="1"/>
  <c r="L88" i="334"/>
  <c r="H88" i="334"/>
  <c r="M88" i="334" s="1"/>
  <c r="O88" i="334" s="1"/>
  <c r="L87" i="334"/>
  <c r="H87" i="334"/>
  <c r="M87" i="334" s="1"/>
  <c r="O87" i="334" s="1"/>
  <c r="L86" i="334"/>
  <c r="L97" i="334" s="1"/>
  <c r="H86" i="334"/>
  <c r="L85" i="334"/>
  <c r="H85" i="334"/>
  <c r="M85" i="334" s="1"/>
  <c r="O85" i="334" s="1"/>
  <c r="L83" i="334"/>
  <c r="H83" i="334"/>
  <c r="M83" i="334" s="1"/>
  <c r="L82" i="334"/>
  <c r="H82" i="334"/>
  <c r="L81" i="334"/>
  <c r="L96" i="334" s="1"/>
  <c r="E81" i="334"/>
  <c r="E96" i="334" s="1"/>
  <c r="D81" i="334"/>
  <c r="D96" i="334" s="1"/>
  <c r="C81" i="334"/>
  <c r="H81" i="334" s="1"/>
  <c r="M81" i="334" s="1"/>
  <c r="N79" i="334"/>
  <c r="K79" i="334"/>
  <c r="J79" i="334"/>
  <c r="I79" i="334"/>
  <c r="G79" i="334"/>
  <c r="F79" i="334"/>
  <c r="E79" i="334"/>
  <c r="D79" i="334"/>
  <c r="C79" i="334"/>
  <c r="N78" i="334"/>
  <c r="K78" i="334"/>
  <c r="J78" i="334"/>
  <c r="I78" i="334"/>
  <c r="H78" i="334"/>
  <c r="G78" i="334"/>
  <c r="F78" i="334"/>
  <c r="E78" i="334"/>
  <c r="D78" i="334"/>
  <c r="C78" i="334"/>
  <c r="N77" i="334"/>
  <c r="K77" i="334"/>
  <c r="J77" i="334"/>
  <c r="I77" i="334"/>
  <c r="G77" i="334"/>
  <c r="F77" i="334"/>
  <c r="M76" i="334"/>
  <c r="O76" i="334" s="1"/>
  <c r="L76" i="334"/>
  <c r="H76" i="334"/>
  <c r="L75" i="334"/>
  <c r="H75" i="334"/>
  <c r="M74" i="334"/>
  <c r="O74" i="334" s="1"/>
  <c r="L74" i="334"/>
  <c r="H74" i="334"/>
  <c r="L73" i="334"/>
  <c r="H73" i="334"/>
  <c r="M71" i="334"/>
  <c r="O71" i="334" s="1"/>
  <c r="L71" i="334"/>
  <c r="H71" i="334"/>
  <c r="L70" i="334"/>
  <c r="H70" i="334"/>
  <c r="M70" i="334" s="1"/>
  <c r="O70" i="334" s="1"/>
  <c r="M69" i="334"/>
  <c r="O69" i="334" s="1"/>
  <c r="L69" i="334"/>
  <c r="H69" i="334"/>
  <c r="L68" i="334"/>
  <c r="H68" i="334"/>
  <c r="M67" i="334"/>
  <c r="O67" i="334" s="1"/>
  <c r="L67" i="334"/>
  <c r="H67" i="334"/>
  <c r="L66" i="334"/>
  <c r="L78" i="334" s="1"/>
  <c r="H66" i="334"/>
  <c r="M66" i="334" s="1"/>
  <c r="O66" i="334" s="1"/>
  <c r="M65" i="334"/>
  <c r="O65" i="334" s="1"/>
  <c r="L65" i="334"/>
  <c r="H65" i="334"/>
  <c r="L63" i="334"/>
  <c r="H63" i="334"/>
  <c r="H79" i="334" s="1"/>
  <c r="M62" i="334"/>
  <c r="L62" i="334"/>
  <c r="H62" i="334"/>
  <c r="L61" i="334"/>
  <c r="E61" i="334"/>
  <c r="E77" i="334" s="1"/>
  <c r="D61" i="334"/>
  <c r="D77" i="334" s="1"/>
  <c r="C61" i="334"/>
  <c r="C77" i="334" s="1"/>
  <c r="N59" i="334"/>
  <c r="K59" i="334"/>
  <c r="J59" i="334"/>
  <c r="I59" i="334"/>
  <c r="G59" i="334"/>
  <c r="F59" i="334"/>
  <c r="E59" i="334"/>
  <c r="D59" i="334"/>
  <c r="C59" i="334"/>
  <c r="N58" i="334"/>
  <c r="K58" i="334"/>
  <c r="J58" i="334"/>
  <c r="I58" i="334"/>
  <c r="G58" i="334"/>
  <c r="F58" i="334"/>
  <c r="E58" i="334"/>
  <c r="D58" i="334"/>
  <c r="C58" i="334"/>
  <c r="N57" i="334"/>
  <c r="K57" i="334"/>
  <c r="J57" i="334"/>
  <c r="I57" i="334"/>
  <c r="G57" i="334"/>
  <c r="F57" i="334"/>
  <c r="M56" i="334"/>
  <c r="L56" i="334"/>
  <c r="H56" i="334"/>
  <c r="L55" i="334"/>
  <c r="H55" i="334"/>
  <c r="M55" i="334" s="1"/>
  <c r="L54" i="334"/>
  <c r="H54" i="334"/>
  <c r="M54" i="334" s="1"/>
  <c r="O54" i="334" s="1"/>
  <c r="L53" i="334"/>
  <c r="H53" i="334"/>
  <c r="M53" i="334" s="1"/>
  <c r="O53" i="334" s="1"/>
  <c r="L52" i="334"/>
  <c r="H52" i="334"/>
  <c r="M52" i="334" s="1"/>
  <c r="O52" i="334" s="1"/>
  <c r="L50" i="334"/>
  <c r="M50" i="334" s="1"/>
  <c r="O50" i="334" s="1"/>
  <c r="H50" i="334"/>
  <c r="L49" i="334"/>
  <c r="M49" i="334" s="1"/>
  <c r="O49" i="334" s="1"/>
  <c r="H49" i="334"/>
  <c r="M48" i="334"/>
  <c r="L48" i="334"/>
  <c r="H48" i="334"/>
  <c r="M47" i="334"/>
  <c r="O47" i="334" s="1"/>
  <c r="L47" i="334"/>
  <c r="H47" i="334"/>
  <c r="L46" i="334"/>
  <c r="H46" i="334"/>
  <c r="M46" i="334" s="1"/>
  <c r="O46" i="334" s="1"/>
  <c r="L45" i="334"/>
  <c r="H45" i="334"/>
  <c r="M45" i="334" s="1"/>
  <c r="O45" i="334" s="1"/>
  <c r="L43" i="334"/>
  <c r="H43" i="334"/>
  <c r="L42" i="334"/>
  <c r="L58" i="334" s="1"/>
  <c r="H42" i="334"/>
  <c r="L41" i="334"/>
  <c r="E41" i="334"/>
  <c r="E57" i="334" s="1"/>
  <c r="D41" i="334"/>
  <c r="D57" i="334" s="1"/>
  <c r="C41" i="334"/>
  <c r="C57" i="334" s="1"/>
  <c r="N38" i="334"/>
  <c r="K38" i="334"/>
  <c r="J38" i="334"/>
  <c r="I38" i="334"/>
  <c r="G38" i="334"/>
  <c r="F38" i="334"/>
  <c r="E38" i="334"/>
  <c r="D38" i="334"/>
  <c r="C38" i="334"/>
  <c r="N37" i="334"/>
  <c r="K37" i="334"/>
  <c r="J37" i="334"/>
  <c r="I37" i="334"/>
  <c r="G37" i="334"/>
  <c r="F37" i="334"/>
  <c r="E37" i="334"/>
  <c r="D37" i="334"/>
  <c r="C37" i="334"/>
  <c r="N36" i="334"/>
  <c r="L35" i="334"/>
  <c r="H35" i="334"/>
  <c r="M35" i="334" s="1"/>
  <c r="O35" i="334" s="1"/>
  <c r="L34" i="334"/>
  <c r="H34" i="334"/>
  <c r="M34" i="334" s="1"/>
  <c r="O34" i="334" s="1"/>
  <c r="L33" i="334"/>
  <c r="H33" i="334"/>
  <c r="M33" i="334" s="1"/>
  <c r="O33" i="334" s="1"/>
  <c r="L31" i="334"/>
  <c r="M31" i="334" s="1"/>
  <c r="O31" i="334" s="1"/>
  <c r="H31" i="334"/>
  <c r="L30" i="334"/>
  <c r="M30" i="334" s="1"/>
  <c r="O30" i="334" s="1"/>
  <c r="H30" i="334"/>
  <c r="M29" i="334"/>
  <c r="L29" i="334"/>
  <c r="H29" i="334"/>
  <c r="M28" i="334"/>
  <c r="O28" i="334" s="1"/>
  <c r="L28" i="334"/>
  <c r="H28" i="334"/>
  <c r="L26" i="334"/>
  <c r="H26" i="334"/>
  <c r="L25" i="334"/>
  <c r="H25" i="334"/>
  <c r="H37" i="334" s="1"/>
  <c r="K24" i="334"/>
  <c r="K36" i="334" s="1"/>
  <c r="J24" i="334"/>
  <c r="J36" i="334" s="1"/>
  <c r="I24" i="334"/>
  <c r="L24" i="334" s="1"/>
  <c r="G24" i="334"/>
  <c r="G36" i="334" s="1"/>
  <c r="F24" i="334"/>
  <c r="F36" i="334" s="1"/>
  <c r="E24" i="334"/>
  <c r="E36" i="334" s="1"/>
  <c r="D24" i="334"/>
  <c r="D36" i="334" s="1"/>
  <c r="C24" i="334"/>
  <c r="C36" i="334" s="1"/>
  <c r="N22" i="334"/>
  <c r="K22" i="334"/>
  <c r="J22" i="334"/>
  <c r="I22" i="334"/>
  <c r="G22" i="334"/>
  <c r="F22" i="334"/>
  <c r="E22" i="334"/>
  <c r="D22" i="334"/>
  <c r="C22" i="334"/>
  <c r="N21" i="334"/>
  <c r="K21" i="334"/>
  <c r="J21" i="334"/>
  <c r="I21" i="334"/>
  <c r="G21" i="334"/>
  <c r="F21" i="334"/>
  <c r="E21" i="334"/>
  <c r="D21" i="334"/>
  <c r="C21" i="334"/>
  <c r="L19" i="334"/>
  <c r="H19" i="334"/>
  <c r="M19" i="334" s="1"/>
  <c r="O19" i="334" s="1"/>
  <c r="L18" i="334"/>
  <c r="H18" i="334"/>
  <c r="L16" i="334"/>
  <c r="L626" i="334" s="1"/>
  <c r="H16" i="334"/>
  <c r="H626" i="334" s="1"/>
  <c r="L15" i="334"/>
  <c r="H15" i="334"/>
  <c r="M15" i="334" s="1"/>
  <c r="L14" i="334"/>
  <c r="M14" i="334" s="1"/>
  <c r="O14" i="334" s="1"/>
  <c r="H14" i="334"/>
  <c r="L13" i="334"/>
  <c r="M13" i="334" s="1"/>
  <c r="O13" i="334" s="1"/>
  <c r="H13" i="334"/>
  <c r="M12" i="334"/>
  <c r="O12" i="334" s="1"/>
  <c r="L12" i="334"/>
  <c r="H12" i="334"/>
  <c r="M11" i="334"/>
  <c r="O11" i="334" s="1"/>
  <c r="L11" i="334"/>
  <c r="L10" i="334"/>
  <c r="H10" i="334"/>
  <c r="L9" i="334"/>
  <c r="H9" i="334"/>
  <c r="H21" i="334" s="1"/>
  <c r="N8" i="334"/>
  <c r="N606" i="334" s="1"/>
  <c r="K8" i="334"/>
  <c r="J8" i="334"/>
  <c r="I8" i="334"/>
  <c r="G8" i="334"/>
  <c r="G606" i="334" s="1"/>
  <c r="F8" i="334"/>
  <c r="E8" i="334"/>
  <c r="D8" i="334"/>
  <c r="C8" i="334"/>
  <c r="L192" i="334" l="1"/>
  <c r="D321" i="334"/>
  <c r="H302" i="334"/>
  <c r="M352" i="334"/>
  <c r="O338" i="334"/>
  <c r="O352" i="334" s="1"/>
  <c r="C412" i="334"/>
  <c r="H397" i="334"/>
  <c r="L79" i="334"/>
  <c r="M75" i="334"/>
  <c r="O75" i="334" s="1"/>
  <c r="M143" i="334"/>
  <c r="O143" i="334" s="1"/>
  <c r="L154" i="334"/>
  <c r="M276" i="334"/>
  <c r="O276" i="334" s="1"/>
  <c r="M345" i="334"/>
  <c r="O345" i="334" s="1"/>
  <c r="M68" i="334"/>
  <c r="O68" i="334" s="1"/>
  <c r="H38" i="334"/>
  <c r="M26" i="334"/>
  <c r="M38" i="334" s="1"/>
  <c r="M502" i="334"/>
  <c r="O502" i="334" s="1"/>
  <c r="M42" i="334"/>
  <c r="M58" i="334" s="1"/>
  <c r="M73" i="334"/>
  <c r="O73" i="334" s="1"/>
  <c r="M167" i="334"/>
  <c r="M183" i="334"/>
  <c r="O183" i="334" s="1"/>
  <c r="L413" i="334"/>
  <c r="K675" i="334"/>
  <c r="E606" i="334"/>
  <c r="E661" i="334" s="1"/>
  <c r="E666" i="334" s="1"/>
  <c r="L21" i="334"/>
  <c r="H612" i="334"/>
  <c r="L38" i="334"/>
  <c r="L642" i="334"/>
  <c r="I156" i="334"/>
  <c r="M63" i="334"/>
  <c r="L135" i="334"/>
  <c r="M127" i="334"/>
  <c r="O127" i="334" s="1"/>
  <c r="M131" i="334"/>
  <c r="O131" i="334" s="1"/>
  <c r="L153" i="334"/>
  <c r="M197" i="334"/>
  <c r="H279" i="334"/>
  <c r="M289" i="334"/>
  <c r="O289" i="334" s="1"/>
  <c r="M292" i="334"/>
  <c r="O292" i="334" s="1"/>
  <c r="M356" i="334"/>
  <c r="O356" i="334" s="1"/>
  <c r="O373" i="334" s="1"/>
  <c r="M360" i="334"/>
  <c r="O360" i="334" s="1"/>
  <c r="M363" i="334"/>
  <c r="O363" i="334" s="1"/>
  <c r="H375" i="334"/>
  <c r="M375" i="334" s="1"/>
  <c r="M380" i="334"/>
  <c r="O380" i="334" s="1"/>
  <c r="M384" i="334"/>
  <c r="O384" i="334" s="1"/>
  <c r="M389" i="334"/>
  <c r="O389" i="334" s="1"/>
  <c r="D448" i="334"/>
  <c r="M401" i="334"/>
  <c r="O401" i="334" s="1"/>
  <c r="M405" i="334"/>
  <c r="O405" i="334" s="1"/>
  <c r="M410" i="334"/>
  <c r="O410" i="334" s="1"/>
  <c r="J448" i="334"/>
  <c r="H450" i="334"/>
  <c r="M456" i="334"/>
  <c r="O456" i="334" s="1"/>
  <c r="H462" i="334"/>
  <c r="E584" i="334"/>
  <c r="M496" i="334"/>
  <c r="M514" i="334"/>
  <c r="O514" i="334" s="1"/>
  <c r="C518" i="334"/>
  <c r="M531" i="334"/>
  <c r="H562" i="334"/>
  <c r="M571" i="334"/>
  <c r="O571" i="334" s="1"/>
  <c r="M574" i="334"/>
  <c r="O574" i="334" s="1"/>
  <c r="M577" i="334"/>
  <c r="O577" i="334" s="1"/>
  <c r="M588" i="334"/>
  <c r="O588" i="334" s="1"/>
  <c r="H602" i="334"/>
  <c r="N676" i="334"/>
  <c r="L194" i="334"/>
  <c r="L350" i="334"/>
  <c r="C371" i="334"/>
  <c r="K448" i="334"/>
  <c r="H446" i="334"/>
  <c r="M522" i="334"/>
  <c r="M534" i="334" s="1"/>
  <c r="L36" i="334"/>
  <c r="J156" i="334"/>
  <c r="H173" i="334"/>
  <c r="L22" i="334"/>
  <c r="N662" i="334"/>
  <c r="N669" i="334" s="1"/>
  <c r="C156" i="334"/>
  <c r="L136" i="334"/>
  <c r="M140" i="334"/>
  <c r="O140" i="334" s="1"/>
  <c r="M144" i="334"/>
  <c r="O144" i="334" s="1"/>
  <c r="E394" i="334"/>
  <c r="L174" i="334"/>
  <c r="H177" i="334"/>
  <c r="H192" i="334" s="1"/>
  <c r="H193" i="334"/>
  <c r="M198" i="334"/>
  <c r="O198" i="334" s="1"/>
  <c r="O213" i="334" s="1"/>
  <c r="M202" i="334"/>
  <c r="O202" i="334" s="1"/>
  <c r="L258" i="334"/>
  <c r="M264" i="334"/>
  <c r="M294" i="334"/>
  <c r="O294" i="334" s="1"/>
  <c r="M297" i="334"/>
  <c r="O297" i="334" s="1"/>
  <c r="L321" i="334"/>
  <c r="H323" i="334"/>
  <c r="N448" i="334"/>
  <c r="L446" i="334"/>
  <c r="G584" i="334"/>
  <c r="L611" i="334"/>
  <c r="M529" i="334"/>
  <c r="L547" i="334"/>
  <c r="M578" i="334"/>
  <c r="O578" i="334" s="1"/>
  <c r="J663" i="334"/>
  <c r="J670" i="334" s="1"/>
  <c r="H59" i="334"/>
  <c r="L77" i="334"/>
  <c r="G661" i="334"/>
  <c r="G668" i="334" s="1"/>
  <c r="C662" i="334"/>
  <c r="C669" i="334" s="1"/>
  <c r="L59" i="334"/>
  <c r="I606" i="334"/>
  <c r="I661" i="334" s="1"/>
  <c r="M16" i="334"/>
  <c r="M626" i="334" s="1"/>
  <c r="N663" i="334"/>
  <c r="N670" i="334" s="1"/>
  <c r="N680" i="334" s="1"/>
  <c r="M43" i="334"/>
  <c r="M59" i="334" s="1"/>
  <c r="L644" i="334"/>
  <c r="L676" i="334" s="1"/>
  <c r="N156" i="334"/>
  <c r="M86" i="334"/>
  <c r="O86" i="334" s="1"/>
  <c r="M90" i="334"/>
  <c r="O90" i="334" s="1"/>
  <c r="M95" i="334"/>
  <c r="O95" i="334" s="1"/>
  <c r="L115" i="334"/>
  <c r="M152" i="334"/>
  <c r="O152" i="334" s="1"/>
  <c r="M159" i="334"/>
  <c r="L193" i="334"/>
  <c r="M210" i="334"/>
  <c r="O210" i="334" s="1"/>
  <c r="H215" i="334"/>
  <c r="M220" i="334"/>
  <c r="O220" i="334" s="1"/>
  <c r="M233" i="334"/>
  <c r="O233" i="334" s="1"/>
  <c r="H300" i="334"/>
  <c r="M287" i="334"/>
  <c r="O287" i="334" s="1"/>
  <c r="M290" i="334"/>
  <c r="O290" i="334" s="1"/>
  <c r="L299" i="334"/>
  <c r="M308" i="334"/>
  <c r="O308" i="334" s="1"/>
  <c r="M312" i="334"/>
  <c r="O312" i="334" s="1"/>
  <c r="M317" i="334"/>
  <c r="O317" i="334" s="1"/>
  <c r="L332" i="334"/>
  <c r="M358" i="334"/>
  <c r="O358" i="334" s="1"/>
  <c r="L392" i="334"/>
  <c r="L412" i="334"/>
  <c r="M420" i="334"/>
  <c r="O420" i="334" s="1"/>
  <c r="M425" i="334"/>
  <c r="O425" i="334" s="1"/>
  <c r="H447" i="334"/>
  <c r="M480" i="334"/>
  <c r="O480" i="334" s="1"/>
  <c r="M484" i="334"/>
  <c r="O484" i="334" s="1"/>
  <c r="M489" i="334"/>
  <c r="O489" i="334" s="1"/>
  <c r="M553" i="334"/>
  <c r="O553" i="334" s="1"/>
  <c r="M572" i="334"/>
  <c r="O572" i="334" s="1"/>
  <c r="H587" i="334"/>
  <c r="H601" i="334" s="1"/>
  <c r="L603" i="334"/>
  <c r="H677" i="334"/>
  <c r="G681" i="334"/>
  <c r="G676" i="334"/>
  <c r="K662" i="334"/>
  <c r="K669" i="334" s="1"/>
  <c r="H634" i="334"/>
  <c r="H137" i="334"/>
  <c r="G394" i="334"/>
  <c r="H175" i="334"/>
  <c r="L277" i="334"/>
  <c r="M300" i="334"/>
  <c r="M326" i="334"/>
  <c r="M351" i="334"/>
  <c r="M366" i="334"/>
  <c r="O366" i="334" s="1"/>
  <c r="M369" i="334"/>
  <c r="O369" i="334" s="1"/>
  <c r="M382" i="334"/>
  <c r="O382" i="334" s="1"/>
  <c r="M387" i="334"/>
  <c r="O387" i="334" s="1"/>
  <c r="M408" i="334"/>
  <c r="O408" i="334" s="1"/>
  <c r="M454" i="334"/>
  <c r="O454" i="334" s="1"/>
  <c r="M459" i="334"/>
  <c r="O459" i="334" s="1"/>
  <c r="J584" i="334"/>
  <c r="M508" i="334"/>
  <c r="N584" i="334"/>
  <c r="M516" i="334"/>
  <c r="O516" i="334" s="1"/>
  <c r="M543" i="334"/>
  <c r="O543" i="334" s="1"/>
  <c r="M564" i="334"/>
  <c r="O564" i="334" s="1"/>
  <c r="M568" i="334"/>
  <c r="O568" i="334" s="1"/>
  <c r="M579" i="334"/>
  <c r="O579" i="334" s="1"/>
  <c r="H582" i="334"/>
  <c r="M595" i="334"/>
  <c r="O595" i="334" s="1"/>
  <c r="F606" i="334"/>
  <c r="F661" i="334" s="1"/>
  <c r="F668" i="334" s="1"/>
  <c r="J606" i="334"/>
  <c r="J661" i="334" s="1"/>
  <c r="J666" i="334" s="1"/>
  <c r="M78" i="334"/>
  <c r="L57" i="334"/>
  <c r="O62" i="334"/>
  <c r="O78" i="334" s="1"/>
  <c r="H97" i="334"/>
  <c r="L116" i="334"/>
  <c r="M141" i="334"/>
  <c r="L158" i="334"/>
  <c r="L173" i="334" s="1"/>
  <c r="L394" i="334" s="1"/>
  <c r="I173" i="334"/>
  <c r="M200" i="334"/>
  <c r="O200" i="334" s="1"/>
  <c r="L212" i="334"/>
  <c r="H260" i="334"/>
  <c r="H278" i="334"/>
  <c r="L333" i="334"/>
  <c r="O351" i="334"/>
  <c r="P350" i="334" s="1"/>
  <c r="L371" i="334"/>
  <c r="H474" i="334"/>
  <c r="C490" i="334"/>
  <c r="O508" i="334"/>
  <c r="L518" i="334"/>
  <c r="L583" i="334"/>
  <c r="L681" i="334"/>
  <c r="J681" i="334"/>
  <c r="H22" i="334"/>
  <c r="K606" i="334"/>
  <c r="K661" i="334" s="1"/>
  <c r="K666" i="334" s="1"/>
  <c r="L634" i="334"/>
  <c r="L37" i="334"/>
  <c r="N661" i="334"/>
  <c r="L608" i="334"/>
  <c r="M18" i="334"/>
  <c r="O18" i="334" s="1"/>
  <c r="G662" i="334"/>
  <c r="G669" i="334" s="1"/>
  <c r="F663" i="334"/>
  <c r="F670" i="334" s="1"/>
  <c r="M25" i="334"/>
  <c r="M37" i="334" s="1"/>
  <c r="L609" i="334"/>
  <c r="H58" i="334"/>
  <c r="F156" i="334"/>
  <c r="M123" i="334"/>
  <c r="O123" i="334" s="1"/>
  <c r="M126" i="334"/>
  <c r="O126" i="334" s="1"/>
  <c r="M150" i="334"/>
  <c r="O150" i="334" s="1"/>
  <c r="J394" i="334"/>
  <c r="M160" i="334"/>
  <c r="L211" i="334"/>
  <c r="M208" i="334"/>
  <c r="O208" i="334" s="1"/>
  <c r="L278" i="334"/>
  <c r="M285" i="334"/>
  <c r="O285" i="334" s="1"/>
  <c r="M288" i="334"/>
  <c r="O288" i="334" s="1"/>
  <c r="O299" i="334" s="1"/>
  <c r="P298" i="334" s="1"/>
  <c r="H334" i="334"/>
  <c r="H352" i="334"/>
  <c r="M355" i="334"/>
  <c r="M370" i="334"/>
  <c r="O370" i="334" s="1"/>
  <c r="M379" i="334"/>
  <c r="O379" i="334" s="1"/>
  <c r="M383" i="334"/>
  <c r="O383" i="334" s="1"/>
  <c r="M388" i="334"/>
  <c r="O388" i="334" s="1"/>
  <c r="M404" i="334"/>
  <c r="O404" i="334" s="1"/>
  <c r="M409" i="334"/>
  <c r="O409" i="334" s="1"/>
  <c r="G448" i="334"/>
  <c r="L445" i="334"/>
  <c r="M455" i="334"/>
  <c r="O455" i="334" s="1"/>
  <c r="C460" i="334"/>
  <c r="H464" i="334"/>
  <c r="L521" i="334"/>
  <c r="L533" i="334" s="1"/>
  <c r="M544" i="334"/>
  <c r="O544" i="334" s="1"/>
  <c r="L549" i="334"/>
  <c r="L559" i="334" s="1"/>
  <c r="L651" i="334"/>
  <c r="M566" i="334"/>
  <c r="O566" i="334" s="1"/>
  <c r="M570" i="334"/>
  <c r="O570" i="334" s="1"/>
  <c r="M573" i="334"/>
  <c r="O573" i="334" s="1"/>
  <c r="M592" i="334"/>
  <c r="O592" i="334" s="1"/>
  <c r="K676" i="334"/>
  <c r="I677" i="334"/>
  <c r="I681" i="334" s="1"/>
  <c r="D156" i="334"/>
  <c r="O81" i="334"/>
  <c r="O96" i="334" s="1"/>
  <c r="M96" i="334"/>
  <c r="O83" i="334"/>
  <c r="O98" i="334" s="1"/>
  <c r="M98" i="334"/>
  <c r="O217" i="334"/>
  <c r="M397" i="334"/>
  <c r="H412" i="334"/>
  <c r="M399" i="334"/>
  <c r="H414" i="334"/>
  <c r="H627" i="334"/>
  <c r="M406" i="334"/>
  <c r="H655" i="334"/>
  <c r="M411" i="334"/>
  <c r="H633" i="334"/>
  <c r="M467" i="334"/>
  <c r="H637" i="334"/>
  <c r="M469" i="334"/>
  <c r="M511" i="334"/>
  <c r="H518" i="334"/>
  <c r="J668" i="334"/>
  <c r="N668" i="334"/>
  <c r="N666" i="334"/>
  <c r="M9" i="334"/>
  <c r="M10" i="334"/>
  <c r="O15" i="334"/>
  <c r="O16" i="334"/>
  <c r="O626" i="334" s="1"/>
  <c r="F20" i="334"/>
  <c r="F39" i="334" s="1"/>
  <c r="J20" i="334"/>
  <c r="J39" i="334" s="1"/>
  <c r="N20" i="334"/>
  <c r="N39" i="334" s="1"/>
  <c r="D662" i="334"/>
  <c r="D669" i="334" s="1"/>
  <c r="C663" i="334"/>
  <c r="C670" i="334" s="1"/>
  <c r="C680" i="334" s="1"/>
  <c r="G663" i="334"/>
  <c r="G670" i="334" s="1"/>
  <c r="K663" i="334"/>
  <c r="K670" i="334" s="1"/>
  <c r="K680" i="334" s="1"/>
  <c r="O25" i="334"/>
  <c r="O26" i="334"/>
  <c r="O38" i="334" s="1"/>
  <c r="O29" i="334"/>
  <c r="O42" i="334"/>
  <c r="O43" i="334"/>
  <c r="O48" i="334"/>
  <c r="O55" i="334"/>
  <c r="O56" i="334"/>
  <c r="O644" i="334" s="1"/>
  <c r="H61" i="334"/>
  <c r="H96" i="334"/>
  <c r="M104" i="334"/>
  <c r="O104" i="334" s="1"/>
  <c r="M108" i="334"/>
  <c r="O108" i="334" s="1"/>
  <c r="M113" i="334"/>
  <c r="O113" i="334" s="1"/>
  <c r="H136" i="334"/>
  <c r="F394" i="334"/>
  <c r="K394" i="334"/>
  <c r="M174" i="334"/>
  <c r="O159" i="334"/>
  <c r="M194" i="334"/>
  <c r="O179" i="334"/>
  <c r="O194" i="334" s="1"/>
  <c r="I192" i="334"/>
  <c r="I394" i="334" s="1"/>
  <c r="M213" i="334"/>
  <c r="H239" i="334"/>
  <c r="M246" i="334"/>
  <c r="O246" i="334" s="1"/>
  <c r="M248" i="334"/>
  <c r="O248" i="334" s="1"/>
  <c r="M250" i="334"/>
  <c r="O250" i="334" s="1"/>
  <c r="M253" i="334"/>
  <c r="O253" i="334" s="1"/>
  <c r="M255" i="334"/>
  <c r="O255" i="334" s="1"/>
  <c r="M257" i="334"/>
  <c r="O257" i="334" s="1"/>
  <c r="O283" i="334"/>
  <c r="O300" i="334" s="1"/>
  <c r="M302" i="334"/>
  <c r="H321" i="334"/>
  <c r="O304" i="334"/>
  <c r="O323" i="334" s="1"/>
  <c r="M323" i="334"/>
  <c r="M354" i="334"/>
  <c r="H371" i="334"/>
  <c r="H427" i="334"/>
  <c r="H428" i="334"/>
  <c r="M417" i="334"/>
  <c r="C427" i="334"/>
  <c r="C448" i="334" s="1"/>
  <c r="I666" i="334"/>
  <c r="I668" i="334"/>
  <c r="E20" i="334"/>
  <c r="E39" i="334" s="1"/>
  <c r="H98" i="334"/>
  <c r="O154" i="334"/>
  <c r="M175" i="334"/>
  <c r="O160" i="334"/>
  <c r="O175" i="334" s="1"/>
  <c r="M617" i="334"/>
  <c r="O165" i="334"/>
  <c r="M215" i="334"/>
  <c r="H237" i="334"/>
  <c r="H622" i="334"/>
  <c r="M224" i="334"/>
  <c r="H620" i="334"/>
  <c r="M228" i="334"/>
  <c r="M278" i="334"/>
  <c r="O263" i="334"/>
  <c r="O278" i="334" s="1"/>
  <c r="C606" i="334"/>
  <c r="C661" i="334" s="1"/>
  <c r="G666" i="334"/>
  <c r="K668" i="334"/>
  <c r="H608" i="334"/>
  <c r="H618" i="334"/>
  <c r="H619" i="334"/>
  <c r="C20" i="334"/>
  <c r="C39" i="334" s="1"/>
  <c r="G20" i="334"/>
  <c r="G39" i="334" s="1"/>
  <c r="K20" i="334"/>
  <c r="K39" i="334" s="1"/>
  <c r="E662" i="334"/>
  <c r="E669" i="334" s="1"/>
  <c r="I662" i="334"/>
  <c r="I669" i="334" s="1"/>
  <c r="D663" i="334"/>
  <c r="D670" i="334" s="1"/>
  <c r="D680" i="334" s="1"/>
  <c r="H609" i="334"/>
  <c r="H614" i="334"/>
  <c r="H638" i="334"/>
  <c r="H41" i="334"/>
  <c r="H616" i="334"/>
  <c r="H635" i="334"/>
  <c r="H642" i="334"/>
  <c r="H644" i="334"/>
  <c r="G156" i="334"/>
  <c r="K156" i="334"/>
  <c r="M82" i="334"/>
  <c r="H117" i="334"/>
  <c r="M102" i="334"/>
  <c r="M107" i="334"/>
  <c r="O107" i="334" s="1"/>
  <c r="M112" i="334"/>
  <c r="O112" i="334" s="1"/>
  <c r="H119" i="334"/>
  <c r="M121" i="334"/>
  <c r="M155" i="334"/>
  <c r="O167" i="334"/>
  <c r="O623" i="334" s="1"/>
  <c r="M193" i="334"/>
  <c r="O178" i="334"/>
  <c r="O193" i="334" s="1"/>
  <c r="P192" i="334" s="1"/>
  <c r="H238" i="334"/>
  <c r="M216" i="334"/>
  <c r="H625" i="334"/>
  <c r="M229" i="334"/>
  <c r="H636" i="334"/>
  <c r="M232" i="334"/>
  <c r="H654" i="334"/>
  <c r="M236" i="334"/>
  <c r="L260" i="334"/>
  <c r="D277" i="334"/>
  <c r="D394" i="334" s="1"/>
  <c r="H262" i="334"/>
  <c r="C332" i="334"/>
  <c r="H325" i="334"/>
  <c r="O326" i="334"/>
  <c r="O375" i="334"/>
  <c r="O391" i="334" s="1"/>
  <c r="H393" i="334"/>
  <c r="M377" i="334"/>
  <c r="H391" i="334"/>
  <c r="I20" i="334"/>
  <c r="I36" i="334"/>
  <c r="E156" i="334"/>
  <c r="D606" i="334"/>
  <c r="D661" i="334" s="1"/>
  <c r="H8" i="334"/>
  <c r="L8" i="334"/>
  <c r="L612" i="334"/>
  <c r="L618" i="334"/>
  <c r="L619" i="334"/>
  <c r="D20" i="334"/>
  <c r="D39" i="334" s="1"/>
  <c r="F662" i="334"/>
  <c r="F669" i="334" s="1"/>
  <c r="J662" i="334"/>
  <c r="J669" i="334" s="1"/>
  <c r="E663" i="334"/>
  <c r="E670" i="334" s="1"/>
  <c r="I663" i="334"/>
  <c r="I670" i="334" s="1"/>
  <c r="I680" i="334" s="1"/>
  <c r="H24" i="334"/>
  <c r="L614" i="334"/>
  <c r="L638" i="334"/>
  <c r="L616" i="334"/>
  <c r="L635" i="334"/>
  <c r="H100" i="334"/>
  <c r="M101" i="334"/>
  <c r="L117" i="334"/>
  <c r="M106" i="334"/>
  <c r="O106" i="334" s="1"/>
  <c r="O614" i="334" s="1"/>
  <c r="M111" i="334"/>
  <c r="O111" i="334" s="1"/>
  <c r="M136" i="334"/>
  <c r="O120" i="334"/>
  <c r="O136" i="334" s="1"/>
  <c r="M154" i="334"/>
  <c r="O141" i="334"/>
  <c r="O155" i="334" s="1"/>
  <c r="M177" i="334"/>
  <c r="O197" i="334"/>
  <c r="C258" i="334"/>
  <c r="H241" i="334"/>
  <c r="M242" i="334"/>
  <c r="M245" i="334"/>
  <c r="O245" i="334" s="1"/>
  <c r="O612" i="334" s="1"/>
  <c r="M247" i="334"/>
  <c r="O247" i="334" s="1"/>
  <c r="M249" i="334"/>
  <c r="O249" i="334" s="1"/>
  <c r="M251" i="334"/>
  <c r="O251" i="334" s="1"/>
  <c r="M254" i="334"/>
  <c r="O254" i="334" s="1"/>
  <c r="M256" i="334"/>
  <c r="O256" i="334" s="1"/>
  <c r="M279" i="334"/>
  <c r="O264" i="334"/>
  <c r="O279" i="334" s="1"/>
  <c r="H322" i="334"/>
  <c r="M303" i="334"/>
  <c r="M359" i="334"/>
  <c r="O359" i="334" s="1"/>
  <c r="H372" i="334"/>
  <c r="H139" i="334"/>
  <c r="L155" i="334"/>
  <c r="N394" i="334"/>
  <c r="H174" i="334"/>
  <c r="H196" i="334"/>
  <c r="L213" i="334"/>
  <c r="M243" i="334"/>
  <c r="H281" i="334"/>
  <c r="L300" i="334"/>
  <c r="M327" i="334"/>
  <c r="M329" i="334"/>
  <c r="M333" i="334" s="1"/>
  <c r="M331" i="334"/>
  <c r="O355" i="334"/>
  <c r="O372" i="334" s="1"/>
  <c r="L393" i="334"/>
  <c r="H429" i="334"/>
  <c r="M436" i="334"/>
  <c r="O436" i="334" s="1"/>
  <c r="M438" i="334"/>
  <c r="O438" i="334" s="1"/>
  <c r="M441" i="334"/>
  <c r="O441" i="334" s="1"/>
  <c r="O634" i="334" s="1"/>
  <c r="M443" i="334"/>
  <c r="O443" i="334" s="1"/>
  <c r="H460" i="334"/>
  <c r="H461" i="334"/>
  <c r="M451" i="334"/>
  <c r="F584" i="334"/>
  <c r="H491" i="334"/>
  <c r="M475" i="334"/>
  <c r="M482" i="334"/>
  <c r="H615" i="334"/>
  <c r="H492" i="334"/>
  <c r="M652" i="334"/>
  <c r="O531" i="334"/>
  <c r="O652" i="334" s="1"/>
  <c r="M582" i="334"/>
  <c r="O563" i="334"/>
  <c r="O582" i="334" s="1"/>
  <c r="H617" i="334"/>
  <c r="H623" i="334"/>
  <c r="C192" i="334"/>
  <c r="C394" i="334" s="1"/>
  <c r="H373" i="334"/>
  <c r="H392" i="334"/>
  <c r="M376" i="334"/>
  <c r="H413" i="334"/>
  <c r="M398" i="334"/>
  <c r="H610" i="334"/>
  <c r="M403" i="334"/>
  <c r="O418" i="334"/>
  <c r="O429" i="334" s="1"/>
  <c r="M429" i="334"/>
  <c r="L447" i="334"/>
  <c r="H471" i="334"/>
  <c r="H472" i="334"/>
  <c r="M465" i="334"/>
  <c r="H639" i="334"/>
  <c r="M470" i="334"/>
  <c r="K584" i="334"/>
  <c r="I507" i="334"/>
  <c r="L494" i="334"/>
  <c r="L507" i="334" s="1"/>
  <c r="H519" i="334"/>
  <c r="M512" i="334"/>
  <c r="H645" i="334"/>
  <c r="M517" i="334"/>
  <c r="L617" i="334"/>
  <c r="L623" i="334"/>
  <c r="E448" i="334"/>
  <c r="C445" i="334"/>
  <c r="H431" i="334"/>
  <c r="M435" i="334"/>
  <c r="O435" i="334" s="1"/>
  <c r="M439" i="334"/>
  <c r="O439" i="334" s="1"/>
  <c r="M442" i="334"/>
  <c r="O442" i="334" s="1"/>
  <c r="M444" i="334"/>
  <c r="O444" i="334" s="1"/>
  <c r="O452" i="334"/>
  <c r="O462" i="334" s="1"/>
  <c r="M462" i="334"/>
  <c r="D584" i="334"/>
  <c r="H490" i="334"/>
  <c r="O476" i="334"/>
  <c r="M479" i="334"/>
  <c r="H611" i="334"/>
  <c r="H641" i="334"/>
  <c r="M488" i="334"/>
  <c r="H494" i="334"/>
  <c r="C507" i="334"/>
  <c r="C584" i="334" s="1"/>
  <c r="H336" i="334"/>
  <c r="L416" i="334"/>
  <c r="L427" i="334" s="1"/>
  <c r="L448" i="334" s="1"/>
  <c r="M432" i="334"/>
  <c r="M433" i="334"/>
  <c r="M437" i="334"/>
  <c r="L450" i="334"/>
  <c r="L460" i="334" s="1"/>
  <c r="L464" i="334"/>
  <c r="L471" i="334" s="1"/>
  <c r="L637" i="334"/>
  <c r="L474" i="334"/>
  <c r="L490" i="334" s="1"/>
  <c r="L641" i="334"/>
  <c r="H624" i="334"/>
  <c r="H521" i="334"/>
  <c r="M649" i="334"/>
  <c r="O530" i="334"/>
  <c r="O649" i="334" s="1"/>
  <c r="I546" i="334"/>
  <c r="I584" i="334" s="1"/>
  <c r="L536" i="334"/>
  <c r="L546" i="334" s="1"/>
  <c r="L560" i="334"/>
  <c r="H581" i="334"/>
  <c r="H604" i="334"/>
  <c r="H664" i="334" s="1"/>
  <c r="H671" i="334" s="1"/>
  <c r="H681" i="334" s="1"/>
  <c r="M590" i="334"/>
  <c r="H629" i="334"/>
  <c r="M593" i="334"/>
  <c r="H657" i="334"/>
  <c r="M597" i="334"/>
  <c r="M648" i="334"/>
  <c r="O529" i="334"/>
  <c r="O648" i="334" s="1"/>
  <c r="H536" i="334"/>
  <c r="C546" i="334"/>
  <c r="M552" i="334"/>
  <c r="O552" i="334" s="1"/>
  <c r="M554" i="334"/>
  <c r="O554" i="334" s="1"/>
  <c r="M558" i="334"/>
  <c r="F675" i="334"/>
  <c r="M624" i="334"/>
  <c r="M640" i="334"/>
  <c r="O528" i="334"/>
  <c r="O640" i="334" s="1"/>
  <c r="M583" i="334"/>
  <c r="M589" i="334"/>
  <c r="H603" i="334"/>
  <c r="H630" i="334"/>
  <c r="M594" i="334"/>
  <c r="H656" i="334"/>
  <c r="M596" i="334"/>
  <c r="C675" i="334"/>
  <c r="C674" i="334" s="1"/>
  <c r="G675" i="334"/>
  <c r="G674" i="334" s="1"/>
  <c r="M550" i="334"/>
  <c r="M556" i="334"/>
  <c r="M557" i="334"/>
  <c r="H583" i="334"/>
  <c r="L587" i="334"/>
  <c r="L601" i="334" s="1"/>
  <c r="C601" i="334"/>
  <c r="K681" i="334"/>
  <c r="D675" i="334"/>
  <c r="D674" i="334" s="1"/>
  <c r="N677" i="334"/>
  <c r="N681" i="334" s="1"/>
  <c r="H549" i="334"/>
  <c r="L562" i="334"/>
  <c r="L581" i="334" s="1"/>
  <c r="E675" i="334"/>
  <c r="I675" i="334"/>
  <c r="I674" i="334" s="1"/>
  <c r="E676" i="334"/>
  <c r="J676" i="334"/>
  <c r="J680" i="334" s="1"/>
  <c r="M537" i="334"/>
  <c r="M539" i="334"/>
  <c r="M541" i="334"/>
  <c r="M542" i="334"/>
  <c r="H651" i="334"/>
  <c r="M599" i="334"/>
  <c r="M600" i="334"/>
  <c r="J675" i="334"/>
  <c r="J674" i="334" s="1"/>
  <c r="N675" i="334"/>
  <c r="N674" i="334" s="1"/>
  <c r="F676" i="334"/>
  <c r="K674" i="334" l="1"/>
  <c r="E668" i="334"/>
  <c r="G680" i="334"/>
  <c r="M212" i="334"/>
  <c r="O37" i="334"/>
  <c r="P36" i="334" s="1"/>
  <c r="F666" i="334"/>
  <c r="F672" i="334" s="1"/>
  <c r="M79" i="334"/>
  <c r="O63" i="334"/>
  <c r="O79" i="334" s="1"/>
  <c r="M509" i="334"/>
  <c r="O496" i="334"/>
  <c r="O509" i="334" s="1"/>
  <c r="P507" i="334" s="1"/>
  <c r="O638" i="334"/>
  <c r="M464" i="334"/>
  <c r="O212" i="334"/>
  <c r="P211" i="334" s="1"/>
  <c r="L675" i="334"/>
  <c r="M299" i="334"/>
  <c r="K679" i="334"/>
  <c r="E674" i="334"/>
  <c r="L663" i="334"/>
  <c r="L670" i="334" s="1"/>
  <c r="L680" i="334" s="1"/>
  <c r="K395" i="334"/>
  <c r="H663" i="334"/>
  <c r="H670" i="334" s="1"/>
  <c r="H662" i="334"/>
  <c r="H669" i="334" s="1"/>
  <c r="M644" i="334"/>
  <c r="P77" i="334"/>
  <c r="M158" i="334"/>
  <c r="M562" i="334"/>
  <c r="O522" i="334"/>
  <c r="O534" i="334" s="1"/>
  <c r="M372" i="334"/>
  <c r="O618" i="334"/>
  <c r="M623" i="334"/>
  <c r="G672" i="334"/>
  <c r="O59" i="334"/>
  <c r="N672" i="334"/>
  <c r="L156" i="334"/>
  <c r="P371" i="334"/>
  <c r="O635" i="334"/>
  <c r="O58" i="334"/>
  <c r="O583" i="334"/>
  <c r="P581" i="334" s="1"/>
  <c r="L662" i="334"/>
  <c r="L669" i="334" s="1"/>
  <c r="L679" i="334" s="1"/>
  <c r="F680" i="334"/>
  <c r="H676" i="334"/>
  <c r="H680" i="334" s="1"/>
  <c r="M373" i="334"/>
  <c r="M391" i="334"/>
  <c r="O617" i="334"/>
  <c r="O608" i="334"/>
  <c r="J395" i="334"/>
  <c r="J585" i="334" s="1"/>
  <c r="J605" i="334" s="1"/>
  <c r="O624" i="334"/>
  <c r="L674" i="334"/>
  <c r="M651" i="334"/>
  <c r="O558" i="334"/>
  <c r="O651" i="334" s="1"/>
  <c r="O537" i="334"/>
  <c r="M547" i="334"/>
  <c r="M656" i="334"/>
  <c r="O596" i="334"/>
  <c r="O656" i="334" s="1"/>
  <c r="M629" i="334"/>
  <c r="O593" i="334"/>
  <c r="O629" i="334" s="1"/>
  <c r="M602" i="334"/>
  <c r="H350" i="334"/>
  <c r="M336" i="334"/>
  <c r="O589" i="334"/>
  <c r="M603" i="334"/>
  <c r="H533" i="334"/>
  <c r="M521" i="334"/>
  <c r="O433" i="334"/>
  <c r="O447" i="334" s="1"/>
  <c r="M447" i="334"/>
  <c r="M660" i="334"/>
  <c r="O600" i="334"/>
  <c r="O660" i="334" s="1"/>
  <c r="M643" i="334"/>
  <c r="O541" i="334"/>
  <c r="O643" i="334" s="1"/>
  <c r="M549" i="334"/>
  <c r="H559" i="334"/>
  <c r="M647" i="334"/>
  <c r="O557" i="334"/>
  <c r="O647" i="334" s="1"/>
  <c r="M630" i="334"/>
  <c r="O594" i="334"/>
  <c r="O630" i="334" s="1"/>
  <c r="F674" i="334"/>
  <c r="M657" i="334"/>
  <c r="O597" i="334"/>
  <c r="O657" i="334" s="1"/>
  <c r="M604" i="334"/>
  <c r="M664" i="334" s="1"/>
  <c r="M671" i="334" s="1"/>
  <c r="O590" i="334"/>
  <c r="L584" i="334"/>
  <c r="M446" i="334"/>
  <c r="O432" i="334"/>
  <c r="M519" i="334"/>
  <c r="O512" i="334"/>
  <c r="M615" i="334"/>
  <c r="O482" i="334"/>
  <c r="O615" i="334" s="1"/>
  <c r="O451" i="334"/>
  <c r="O461" i="334" s="1"/>
  <c r="P460" i="334" s="1"/>
  <c r="M461" i="334"/>
  <c r="M621" i="334"/>
  <c r="O329" i="334"/>
  <c r="O621" i="334" s="1"/>
  <c r="O243" i="334"/>
  <c r="O260" i="334" s="1"/>
  <c r="M260" i="334"/>
  <c r="H115" i="334"/>
  <c r="M100" i="334"/>
  <c r="N679" i="334"/>
  <c r="L606" i="334"/>
  <c r="L661" i="334" s="1"/>
  <c r="L20" i="334"/>
  <c r="L39" i="334" s="1"/>
  <c r="L395" i="334" s="1"/>
  <c r="I39" i="334"/>
  <c r="I395" i="334" s="1"/>
  <c r="I585" i="334" s="1"/>
  <c r="I605" i="334" s="1"/>
  <c r="E679" i="334"/>
  <c r="K672" i="334"/>
  <c r="P277" i="334"/>
  <c r="M622" i="334"/>
  <c r="O224" i="334"/>
  <c r="O622" i="334" s="1"/>
  <c r="P153" i="334"/>
  <c r="G679" i="334"/>
  <c r="M608" i="334"/>
  <c r="O417" i="334"/>
  <c r="O428" i="334" s="1"/>
  <c r="P427" i="334" s="1"/>
  <c r="M428" i="334"/>
  <c r="O174" i="334"/>
  <c r="P173" i="334" s="1"/>
  <c r="O616" i="334"/>
  <c r="F395" i="334"/>
  <c r="F585" i="334" s="1"/>
  <c r="F605" i="334" s="1"/>
  <c r="M21" i="334"/>
  <c r="O9" i="334"/>
  <c r="O21" i="334" s="1"/>
  <c r="O511" i="334"/>
  <c r="M518" i="334"/>
  <c r="O399" i="334"/>
  <c r="M414" i="334"/>
  <c r="M616" i="334"/>
  <c r="M581" i="334"/>
  <c r="O562" i="334"/>
  <c r="O581" i="334" s="1"/>
  <c r="M639" i="334"/>
  <c r="O470" i="334"/>
  <c r="O639" i="334" s="1"/>
  <c r="O398" i="334"/>
  <c r="M413" i="334"/>
  <c r="O475" i="334"/>
  <c r="M491" i="334"/>
  <c r="M334" i="334"/>
  <c r="O327" i="334"/>
  <c r="M259" i="334"/>
  <c r="O242" i="334"/>
  <c r="O259" i="334" s="1"/>
  <c r="P258" i="334" s="1"/>
  <c r="O177" i="334"/>
  <c r="O192" i="334" s="1"/>
  <c r="M192" i="334"/>
  <c r="H36" i="334"/>
  <c r="M24" i="334"/>
  <c r="J679" i="334"/>
  <c r="H606" i="334"/>
  <c r="H661" i="334" s="1"/>
  <c r="H20" i="334"/>
  <c r="M8" i="334"/>
  <c r="M638" i="334"/>
  <c r="M612" i="334"/>
  <c r="O377" i="334"/>
  <c r="O393" i="334" s="1"/>
  <c r="M393" i="334"/>
  <c r="O333" i="334"/>
  <c r="M654" i="334"/>
  <c r="O236" i="334"/>
  <c r="O654" i="334" s="1"/>
  <c r="M625" i="334"/>
  <c r="O229" i="334"/>
  <c r="O625" i="334" s="1"/>
  <c r="M137" i="334"/>
  <c r="O121" i="334"/>
  <c r="O137" i="334" s="1"/>
  <c r="P135" i="334" s="1"/>
  <c r="M117" i="334"/>
  <c r="O102" i="334"/>
  <c r="O117" i="334" s="1"/>
  <c r="K585" i="334"/>
  <c r="K605" i="334" s="1"/>
  <c r="E395" i="334"/>
  <c r="E585" i="334" s="1"/>
  <c r="E605" i="334" s="1"/>
  <c r="M371" i="334"/>
  <c r="O354" i="334"/>
  <c r="O371" i="334" s="1"/>
  <c r="O302" i="334"/>
  <c r="O321" i="334" s="1"/>
  <c r="M321" i="334"/>
  <c r="M61" i="334"/>
  <c r="H77" i="334"/>
  <c r="D679" i="334"/>
  <c r="M633" i="334"/>
  <c r="O467" i="334"/>
  <c r="O633" i="334" s="1"/>
  <c r="M627" i="334"/>
  <c r="O406" i="334"/>
  <c r="O627" i="334" s="1"/>
  <c r="M609" i="334"/>
  <c r="M659" i="334"/>
  <c r="M677" i="334" s="1"/>
  <c r="O599" i="334"/>
  <c r="O659" i="334" s="1"/>
  <c r="O677" i="334" s="1"/>
  <c r="M632" i="334"/>
  <c r="O539" i="334"/>
  <c r="O632" i="334" s="1"/>
  <c r="M646" i="334"/>
  <c r="O556" i="334"/>
  <c r="O646" i="334" s="1"/>
  <c r="M536" i="334"/>
  <c r="H546" i="334"/>
  <c r="M560" i="334"/>
  <c r="O550" i="334"/>
  <c r="M611" i="334"/>
  <c r="O479" i="334"/>
  <c r="O611" i="334" s="1"/>
  <c r="M645" i="334"/>
  <c r="O517" i="334"/>
  <c r="O645" i="334" s="1"/>
  <c r="M196" i="334"/>
  <c r="H211" i="334"/>
  <c r="M139" i="334"/>
  <c r="H153" i="334"/>
  <c r="M241" i="334"/>
  <c r="H258" i="334"/>
  <c r="F679" i="334"/>
  <c r="D666" i="334"/>
  <c r="D672" i="334" s="1"/>
  <c r="D668" i="334"/>
  <c r="M614" i="334"/>
  <c r="H277" i="334"/>
  <c r="M262" i="334"/>
  <c r="H135" i="334"/>
  <c r="M119" i="334"/>
  <c r="H57" i="334"/>
  <c r="M41" i="334"/>
  <c r="G395" i="334"/>
  <c r="G585" i="334" s="1"/>
  <c r="G605" i="334" s="1"/>
  <c r="H675" i="334"/>
  <c r="M620" i="334"/>
  <c r="O228" i="334"/>
  <c r="O620" i="334" s="1"/>
  <c r="M635" i="334"/>
  <c r="M634" i="334"/>
  <c r="I672" i="334"/>
  <c r="P57" i="334"/>
  <c r="N395" i="334"/>
  <c r="N585" i="334" s="1"/>
  <c r="N605" i="334" s="1"/>
  <c r="O619" i="334"/>
  <c r="O397" i="334"/>
  <c r="M412" i="334"/>
  <c r="C679" i="334"/>
  <c r="M613" i="334"/>
  <c r="O437" i="334"/>
  <c r="O613" i="334" s="1"/>
  <c r="M494" i="334"/>
  <c r="H507" i="334"/>
  <c r="H584" i="334" s="1"/>
  <c r="M474" i="334"/>
  <c r="O464" i="334"/>
  <c r="M471" i="334"/>
  <c r="M650" i="334"/>
  <c r="O542" i="334"/>
  <c r="O650" i="334" s="1"/>
  <c r="O602" i="334"/>
  <c r="M587" i="334"/>
  <c r="M641" i="334"/>
  <c r="O488" i="334"/>
  <c r="O641" i="334" s="1"/>
  <c r="M492" i="334"/>
  <c r="M431" i="334"/>
  <c r="H445" i="334"/>
  <c r="H448" i="334" s="1"/>
  <c r="M472" i="334"/>
  <c r="O465" i="334"/>
  <c r="O403" i="334"/>
  <c r="O610" i="334" s="1"/>
  <c r="M610" i="334"/>
  <c r="M392" i="334"/>
  <c r="O376" i="334"/>
  <c r="O392" i="334" s="1"/>
  <c r="P391" i="334" s="1"/>
  <c r="M450" i="334"/>
  <c r="M653" i="334"/>
  <c r="O331" i="334"/>
  <c r="O653" i="334" s="1"/>
  <c r="M281" i="334"/>
  <c r="H298" i="334"/>
  <c r="O303" i="334"/>
  <c r="O322" i="334" s="1"/>
  <c r="P321" i="334" s="1"/>
  <c r="M322" i="334"/>
  <c r="M116" i="334"/>
  <c r="O101" i="334"/>
  <c r="O116" i="334" s="1"/>
  <c r="E680" i="334"/>
  <c r="D395" i="334"/>
  <c r="D585" i="334" s="1"/>
  <c r="D605" i="334" s="1"/>
  <c r="E672" i="334"/>
  <c r="M325" i="334"/>
  <c r="H332" i="334"/>
  <c r="M636" i="334"/>
  <c r="O232" i="334"/>
  <c r="O636" i="334" s="1"/>
  <c r="O216" i="334"/>
  <c r="M238" i="334"/>
  <c r="O82" i="334"/>
  <c r="O97" i="334" s="1"/>
  <c r="P96" i="334" s="1"/>
  <c r="M97" i="334"/>
  <c r="I679" i="334"/>
  <c r="C395" i="334"/>
  <c r="C585" i="334" s="1"/>
  <c r="C605" i="334" s="1"/>
  <c r="C666" i="334"/>
  <c r="C672" i="334" s="1"/>
  <c r="C668" i="334"/>
  <c r="O215" i="334"/>
  <c r="M237" i="334"/>
  <c r="M618" i="334"/>
  <c r="M416" i="334"/>
  <c r="O642" i="334"/>
  <c r="O609" i="334"/>
  <c r="M22" i="334"/>
  <c r="O10" i="334"/>
  <c r="O22" i="334" s="1"/>
  <c r="J672" i="334"/>
  <c r="M637" i="334"/>
  <c r="O469" i="334"/>
  <c r="O637" i="334" s="1"/>
  <c r="M655" i="334"/>
  <c r="O411" i="334"/>
  <c r="O655" i="334" s="1"/>
  <c r="M239" i="334"/>
  <c r="M642" i="334"/>
  <c r="M619" i="334"/>
  <c r="H674" i="334" l="1"/>
  <c r="O675" i="334"/>
  <c r="O158" i="334"/>
  <c r="O173" i="334" s="1"/>
  <c r="M173" i="334"/>
  <c r="O237" i="334"/>
  <c r="O238" i="334"/>
  <c r="P115" i="334"/>
  <c r="H39" i="334"/>
  <c r="L585" i="334"/>
  <c r="L605" i="334" s="1"/>
  <c r="O560" i="334"/>
  <c r="M663" i="334"/>
  <c r="M670" i="334" s="1"/>
  <c r="O416" i="334"/>
  <c r="O427" i="334" s="1"/>
  <c r="M427" i="334"/>
  <c r="M298" i="334"/>
  <c r="O281" i="334"/>
  <c r="O298" i="334" s="1"/>
  <c r="O472" i="334"/>
  <c r="O471" i="334"/>
  <c r="O412" i="334"/>
  <c r="H156" i="334"/>
  <c r="O262" i="334"/>
  <c r="O277" i="334" s="1"/>
  <c r="M277" i="334"/>
  <c r="O241" i="334"/>
  <c r="O258" i="334" s="1"/>
  <c r="M258" i="334"/>
  <c r="M211" i="334"/>
  <c r="O196" i="334"/>
  <c r="O211" i="334" s="1"/>
  <c r="M546" i="334"/>
  <c r="O536" i="334"/>
  <c r="O546" i="334" s="1"/>
  <c r="M676" i="334"/>
  <c r="M77" i="334"/>
  <c r="O61" i="334"/>
  <c r="O77" i="334" s="1"/>
  <c r="M606" i="334"/>
  <c r="M661" i="334" s="1"/>
  <c r="O8" i="334"/>
  <c r="M20" i="334"/>
  <c r="M36" i="334"/>
  <c r="O24" i="334"/>
  <c r="O36" i="334" s="1"/>
  <c r="O414" i="334"/>
  <c r="M662" i="334"/>
  <c r="M669" i="334" s="1"/>
  <c r="L668" i="334"/>
  <c r="L666" i="334"/>
  <c r="L672" i="334" s="1"/>
  <c r="O519" i="334"/>
  <c r="O446" i="334"/>
  <c r="P445" i="334" s="1"/>
  <c r="M681" i="334"/>
  <c r="O521" i="334"/>
  <c r="O533" i="334" s="1"/>
  <c r="M533" i="334"/>
  <c r="O336" i="334"/>
  <c r="O350" i="334" s="1"/>
  <c r="M350" i="334"/>
  <c r="O547" i="334"/>
  <c r="O474" i="334"/>
  <c r="O490" i="334" s="1"/>
  <c r="M490" i="334"/>
  <c r="M584" i="334" s="1"/>
  <c r="O119" i="334"/>
  <c r="O135" i="334" s="1"/>
  <c r="M135" i="334"/>
  <c r="O491" i="334"/>
  <c r="O549" i="334"/>
  <c r="O559" i="334" s="1"/>
  <c r="M559" i="334"/>
  <c r="M153" i="334"/>
  <c r="O139" i="334"/>
  <c r="O153" i="334" s="1"/>
  <c r="H668" i="334"/>
  <c r="H666" i="334"/>
  <c r="H672" i="334" s="1"/>
  <c r="O334" i="334"/>
  <c r="O239" i="334"/>
  <c r="O518" i="334"/>
  <c r="M675" i="334"/>
  <c r="M115" i="334"/>
  <c r="O100" i="334"/>
  <c r="O115" i="334" s="1"/>
  <c r="P237" i="334"/>
  <c r="O325" i="334"/>
  <c r="O332" i="334" s="1"/>
  <c r="M332" i="334"/>
  <c r="O450" i="334"/>
  <c r="O460" i="334" s="1"/>
  <c r="M460" i="334"/>
  <c r="O431" i="334"/>
  <c r="O445" i="334" s="1"/>
  <c r="M445" i="334"/>
  <c r="M448" i="334" s="1"/>
  <c r="M601" i="334"/>
  <c r="O587" i="334"/>
  <c r="O601" i="334" s="1"/>
  <c r="M507" i="334"/>
  <c r="O494" i="334"/>
  <c r="O507" i="334" s="1"/>
  <c r="O41" i="334"/>
  <c r="O57" i="334" s="1"/>
  <c r="M57" i="334"/>
  <c r="H394" i="334"/>
  <c r="O676" i="334"/>
  <c r="O674" i="334" s="1"/>
  <c r="P332" i="334"/>
  <c r="O413" i="334"/>
  <c r="P412" i="334" s="1"/>
  <c r="P20" i="334"/>
  <c r="O492" i="334"/>
  <c r="O604" i="334"/>
  <c r="O664" i="334" s="1"/>
  <c r="O671" i="334" s="1"/>
  <c r="O681" i="334" s="1"/>
  <c r="O603" i="334"/>
  <c r="O663" i="334" s="1"/>
  <c r="O670" i="334" s="1"/>
  <c r="H679" i="334"/>
  <c r="M680" i="334" l="1"/>
  <c r="M674" i="334"/>
  <c r="O680" i="334"/>
  <c r="M156" i="334"/>
  <c r="P490" i="334"/>
  <c r="H395" i="334"/>
  <c r="H585" i="334" s="1"/>
  <c r="H605" i="334" s="1"/>
  <c r="O662" i="334"/>
  <c r="P661" i="334" s="1"/>
  <c r="O448" i="334"/>
  <c r="M679" i="334"/>
  <c r="O156" i="334"/>
  <c r="O606" i="334"/>
  <c r="O661" i="334" s="1"/>
  <c r="O20" i="334"/>
  <c r="O39" i="334" s="1"/>
  <c r="M394" i="334"/>
  <c r="P601" i="334"/>
  <c r="M668" i="334"/>
  <c r="M666" i="334"/>
  <c r="M672" i="334" s="1"/>
  <c r="M39" i="334"/>
  <c r="M395" i="334" s="1"/>
  <c r="M585" i="334" s="1"/>
  <c r="M605" i="334" s="1"/>
  <c r="O394" i="334"/>
  <c r="O584" i="334"/>
  <c r="O669" i="334" l="1"/>
  <c r="O679" i="334" s="1"/>
  <c r="O666" i="334"/>
  <c r="O672" i="334" s="1"/>
  <c r="O668" i="334"/>
  <c r="O395" i="334"/>
  <c r="O585" i="334" s="1"/>
  <c r="O605" i="334" s="1"/>
  <c r="B15" i="299" l="1"/>
  <c r="I37" i="299"/>
  <c r="K8" i="321"/>
  <c r="E12" i="321" l="1"/>
  <c r="L5" i="321"/>
  <c r="O23" i="321"/>
  <c r="O20" i="321"/>
  <c r="E16" i="321"/>
  <c r="J9" i="321" l="1"/>
  <c r="K11" i="321"/>
  <c r="J10" i="321"/>
  <c r="J8" i="321"/>
  <c r="I8" i="321"/>
  <c r="H8" i="321"/>
  <c r="G8" i="321"/>
  <c r="F8" i="321"/>
  <c r="E8" i="321"/>
  <c r="E21" i="321" l="1"/>
  <c r="D11" i="321"/>
  <c r="B10" i="321"/>
  <c r="D9" i="321"/>
  <c r="D8" i="321"/>
  <c r="C8" i="321"/>
  <c r="B8" i="321"/>
  <c r="D19" i="261" l="1"/>
  <c r="H19" i="239"/>
  <c r="H22" i="239"/>
  <c r="D22" i="261"/>
  <c r="G22" i="239" l="1"/>
  <c r="H21" i="240" l="1"/>
  <c r="I21" i="240"/>
  <c r="E65" i="317" l="1"/>
  <c r="C65" i="317"/>
  <c r="AG24" i="239"/>
  <c r="AF24" i="239"/>
  <c r="AE24" i="239"/>
  <c r="AC24" i="239"/>
  <c r="AB24" i="239"/>
  <c r="AA24" i="239"/>
  <c r="Y24" i="239"/>
  <c r="X24" i="239"/>
  <c r="AJ24" i="239" s="1"/>
  <c r="W24" i="239"/>
  <c r="V24" i="239"/>
  <c r="R24" i="239"/>
  <c r="M24" i="239"/>
  <c r="L24" i="239"/>
  <c r="K24" i="239"/>
  <c r="N24" i="239" s="1"/>
  <c r="J24" i="239"/>
  <c r="F24" i="239"/>
  <c r="H15" i="240"/>
  <c r="Z24" i="239" l="1"/>
  <c r="AH24" i="239"/>
  <c r="AD24" i="239"/>
  <c r="AI24" i="239"/>
  <c r="AK24" i="239"/>
  <c r="AL24" i="239" l="1"/>
  <c r="H12" i="239"/>
  <c r="G12" i="239"/>
  <c r="G9" i="239"/>
  <c r="D35" i="261"/>
  <c r="D36" i="261"/>
  <c r="J24" i="261"/>
  <c r="I24" i="261"/>
  <c r="H24" i="261"/>
  <c r="E24" i="261"/>
  <c r="D17" i="261"/>
  <c r="D12" i="261"/>
  <c r="D11" i="261"/>
  <c r="D10" i="261"/>
  <c r="D9" i="261"/>
  <c r="C37" i="333"/>
  <c r="K24" i="261" l="1"/>
  <c r="D242" i="318"/>
  <c r="N330" i="317" l="1"/>
  <c r="G252" i="318"/>
  <c r="D252" i="318"/>
  <c r="N327" i="317"/>
  <c r="N326" i="317"/>
  <c r="N325" i="317"/>
  <c r="L87" i="317"/>
  <c r="H87" i="317"/>
  <c r="H84" i="318"/>
  <c r="D84" i="318"/>
  <c r="L89" i="317"/>
  <c r="H89" i="317"/>
  <c r="N410" i="317"/>
  <c r="N408" i="317"/>
  <c r="N418" i="317"/>
  <c r="H242" i="318"/>
  <c r="G290" i="317"/>
  <c r="G285" i="317"/>
  <c r="H285" i="317" s="1"/>
  <c r="G284" i="317"/>
  <c r="H284" i="317" s="1"/>
  <c r="L289" i="317"/>
  <c r="H289" i="317"/>
  <c r="L288" i="317"/>
  <c r="H288" i="317"/>
  <c r="L287" i="317"/>
  <c r="H287" i="317"/>
  <c r="L286" i="317"/>
  <c r="H286" i="317"/>
  <c r="L285" i="317"/>
  <c r="L284" i="317"/>
  <c r="L283" i="317"/>
  <c r="H283" i="317"/>
  <c r="P87" i="317" l="1"/>
  <c r="P89" i="317"/>
  <c r="P289" i="317"/>
  <c r="P285" i="317"/>
  <c r="P283" i="317"/>
  <c r="P288" i="317"/>
  <c r="P286" i="317"/>
  <c r="P287" i="317"/>
  <c r="P284" i="317"/>
  <c r="H234" i="318"/>
  <c r="D234" i="318"/>
  <c r="H241" i="318"/>
  <c r="D241" i="318"/>
  <c r="H240" i="318"/>
  <c r="G239" i="318"/>
  <c r="H251" i="318"/>
  <c r="G251" i="318"/>
  <c r="D251" i="318"/>
  <c r="H250" i="318"/>
  <c r="G250" i="318"/>
  <c r="D250" i="318"/>
  <c r="H249" i="318"/>
  <c r="G249" i="318"/>
  <c r="D249" i="318"/>
  <c r="H248" i="318"/>
  <c r="G248" i="318"/>
  <c r="D248" i="318"/>
  <c r="L69" i="317" l="1"/>
  <c r="H69" i="317"/>
  <c r="P69" i="317" l="1"/>
  <c r="L68" i="317" l="1"/>
  <c r="H68" i="317"/>
  <c r="E17" i="322"/>
  <c r="J18" i="322"/>
  <c r="C27" i="322"/>
  <c r="B27" i="322"/>
  <c r="C20" i="322"/>
  <c r="P68" i="317" l="1"/>
  <c r="B20" i="322" l="1"/>
  <c r="B19" i="322"/>
  <c r="C17" i="322"/>
  <c r="B17" i="322"/>
  <c r="C16" i="322"/>
  <c r="B16" i="322"/>
  <c r="C15" i="322"/>
  <c r="B15" i="322"/>
  <c r="B13" i="322"/>
  <c r="C12" i="322"/>
  <c r="B12" i="322"/>
  <c r="C10" i="322"/>
  <c r="B10" i="322"/>
  <c r="B9" i="322"/>
  <c r="D77" i="315" l="1"/>
  <c r="G87" i="318"/>
  <c r="D87" i="318"/>
  <c r="C93" i="315"/>
  <c r="J116" i="317"/>
  <c r="L23" i="317" l="1"/>
  <c r="H23" i="317"/>
  <c r="G6" i="318"/>
  <c r="D6" i="318"/>
  <c r="G237" i="318"/>
  <c r="D237" i="318"/>
  <c r="P23" i="317" l="1"/>
  <c r="L165" i="317"/>
  <c r="H165" i="317"/>
  <c r="L164" i="317"/>
  <c r="H164" i="317"/>
  <c r="L163" i="317"/>
  <c r="H163" i="317"/>
  <c r="L162" i="317"/>
  <c r="H162" i="317"/>
  <c r="L161" i="317"/>
  <c r="H161" i="317"/>
  <c r="I160" i="317"/>
  <c r="L160" i="317" s="1"/>
  <c r="H160" i="317"/>
  <c r="P165" i="317" l="1"/>
  <c r="P164" i="317"/>
  <c r="P163" i="317"/>
  <c r="P162" i="317"/>
  <c r="P161" i="317"/>
  <c r="P160" i="317"/>
  <c r="L196" i="317"/>
  <c r="E196" i="317"/>
  <c r="H196" i="317" s="1"/>
  <c r="G98" i="318"/>
  <c r="D98" i="318"/>
  <c r="G91" i="318"/>
  <c r="D91" i="318"/>
  <c r="P196" i="317" l="1"/>
  <c r="I124" i="317" l="1"/>
  <c r="L124" i="317" s="1"/>
  <c r="H124" i="317"/>
  <c r="C78" i="315"/>
  <c r="D76" i="315"/>
  <c r="L52" i="317"/>
  <c r="H52" i="317"/>
  <c r="G10" i="318"/>
  <c r="D10" i="318"/>
  <c r="G62" i="318"/>
  <c r="D62" i="318"/>
  <c r="P124" i="317" l="1"/>
  <c r="P52" i="317"/>
  <c r="L100" i="317"/>
  <c r="H100" i="317"/>
  <c r="G86" i="318"/>
  <c r="D86" i="318"/>
  <c r="D101" i="316"/>
  <c r="H101" i="316"/>
  <c r="L99" i="317"/>
  <c r="H99" i="317"/>
  <c r="L131" i="317"/>
  <c r="H131" i="317"/>
  <c r="L130" i="317"/>
  <c r="H130" i="317"/>
  <c r="L128" i="317"/>
  <c r="H128" i="317"/>
  <c r="L127" i="317"/>
  <c r="H127" i="317"/>
  <c r="L126" i="317"/>
  <c r="H126" i="317"/>
  <c r="L132" i="317"/>
  <c r="H132" i="317"/>
  <c r="L129" i="317"/>
  <c r="H129" i="317"/>
  <c r="F83" i="315"/>
  <c r="D237" i="317"/>
  <c r="C237" i="317"/>
  <c r="D191" i="318"/>
  <c r="G191" i="318"/>
  <c r="G190" i="318"/>
  <c r="L122" i="317"/>
  <c r="E122" i="317"/>
  <c r="H122" i="317" s="1"/>
  <c r="D75" i="315"/>
  <c r="L166" i="317"/>
  <c r="H166" i="317"/>
  <c r="C18" i="315"/>
  <c r="G202" i="317"/>
  <c r="N391" i="317"/>
  <c r="G96" i="318"/>
  <c r="D96" i="318"/>
  <c r="H16" i="323"/>
  <c r="I16" i="323" s="1"/>
  <c r="H15" i="323"/>
  <c r="H14" i="323"/>
  <c r="P122" i="317" l="1"/>
  <c r="P166" i="317"/>
  <c r="P99" i="317"/>
  <c r="P130" i="317"/>
  <c r="P129" i="317"/>
  <c r="P100" i="317"/>
  <c r="P127" i="317"/>
  <c r="P131" i="317"/>
  <c r="P132" i="317"/>
  <c r="P126" i="317"/>
  <c r="P128" i="317"/>
  <c r="C49" i="333" l="1"/>
  <c r="E30" i="333"/>
  <c r="C51" i="333" l="1"/>
  <c r="N358" i="317"/>
  <c r="N356" i="317"/>
  <c r="N355" i="317"/>
  <c r="N354" i="317"/>
  <c r="N353" i="317"/>
  <c r="N351" i="317"/>
  <c r="N350" i="317"/>
  <c r="G84" i="318"/>
  <c r="E79" i="317"/>
  <c r="E77" i="317"/>
  <c r="L78" i="317"/>
  <c r="H78" i="317"/>
  <c r="L181" i="317"/>
  <c r="H181" i="317"/>
  <c r="L180" i="317"/>
  <c r="H180" i="317"/>
  <c r="L182" i="317"/>
  <c r="H182" i="317"/>
  <c r="G93" i="318"/>
  <c r="P78" i="317" l="1"/>
  <c r="P181" i="317"/>
  <c r="P180" i="317"/>
  <c r="P182" i="317"/>
  <c r="L16" i="317" l="1"/>
  <c r="H16" i="317"/>
  <c r="N341" i="317"/>
  <c r="P16" i="317" l="1"/>
  <c r="L29" i="317"/>
  <c r="H29" i="317"/>
  <c r="P29" i="317" l="1"/>
  <c r="G34" i="318"/>
  <c r="G88" i="318" l="1"/>
  <c r="G85" i="318" s="1"/>
  <c r="D88" i="318"/>
  <c r="I172" i="317"/>
  <c r="L172" i="317" s="1"/>
  <c r="H172" i="317"/>
  <c r="P172" i="317" l="1"/>
  <c r="G193" i="318" l="1"/>
  <c r="L228" i="317"/>
  <c r="H228" i="317"/>
  <c r="G136" i="318"/>
  <c r="D136" i="318"/>
  <c r="E152" i="318"/>
  <c r="G121" i="318"/>
  <c r="D121" i="318"/>
  <c r="G127" i="318"/>
  <c r="G124" i="318"/>
  <c r="G106" i="318"/>
  <c r="D106" i="318"/>
  <c r="G115" i="318"/>
  <c r="L50" i="317"/>
  <c r="H50" i="317"/>
  <c r="E25" i="318"/>
  <c r="G58" i="318"/>
  <c r="G56" i="318"/>
  <c r="G37" i="318"/>
  <c r="G20" i="318"/>
  <c r="G19" i="318"/>
  <c r="G18" i="318"/>
  <c r="L48" i="317"/>
  <c r="H48" i="317"/>
  <c r="L47" i="317"/>
  <c r="H47" i="317"/>
  <c r="L49" i="317"/>
  <c r="H49" i="317"/>
  <c r="L46" i="317"/>
  <c r="H46" i="317"/>
  <c r="L45" i="317"/>
  <c r="H45" i="317"/>
  <c r="L44" i="317"/>
  <c r="H44" i="317"/>
  <c r="L43" i="317"/>
  <c r="H43" i="317"/>
  <c r="L42" i="317"/>
  <c r="H42" i="317"/>
  <c r="L51" i="317"/>
  <c r="H51" i="317"/>
  <c r="L41" i="317"/>
  <c r="H41" i="317"/>
  <c r="E61" i="318"/>
  <c r="P51" i="317" l="1"/>
  <c r="P228" i="317"/>
  <c r="P50" i="317"/>
  <c r="P48" i="317"/>
  <c r="P42" i="317"/>
  <c r="P44" i="317"/>
  <c r="P47" i="317"/>
  <c r="P46" i="317"/>
  <c r="P43" i="317"/>
  <c r="P45" i="317"/>
  <c r="P49" i="317"/>
  <c r="P41" i="317"/>
  <c r="E258" i="317" l="1"/>
  <c r="H258" i="317" s="1"/>
  <c r="L258" i="317"/>
  <c r="L202" i="317"/>
  <c r="H202" i="317"/>
  <c r="H290" i="317"/>
  <c r="L290" i="317"/>
  <c r="L278" i="317"/>
  <c r="H278" i="317"/>
  <c r="G232" i="318"/>
  <c r="D232" i="318"/>
  <c r="P278" i="317" l="1"/>
  <c r="P258" i="317"/>
  <c r="P202" i="317"/>
  <c r="P290" i="317"/>
  <c r="L256" i="317" l="1"/>
  <c r="H256" i="317"/>
  <c r="G234" i="318"/>
  <c r="G205" i="318"/>
  <c r="G220" i="318"/>
  <c r="P256" i="317" l="1"/>
  <c r="G201" i="317"/>
  <c r="H201" i="317" s="1"/>
  <c r="L201" i="317"/>
  <c r="N388" i="317"/>
  <c r="G99" i="318"/>
  <c r="D99" i="318"/>
  <c r="P201" i="317" l="1"/>
  <c r="G214" i="318"/>
  <c r="H9" i="323" l="1"/>
  <c r="I21" i="323" l="1"/>
  <c r="I18" i="323"/>
  <c r="I5" i="323"/>
  <c r="I6" i="323"/>
  <c r="I7" i="323"/>
  <c r="I8" i="323"/>
  <c r="I9" i="323"/>
  <c r="I4" i="323"/>
  <c r="I20" i="323"/>
  <c r="G14" i="323"/>
  <c r="I14" i="323" s="1"/>
  <c r="H19" i="323"/>
  <c r="H22" i="323" s="1"/>
  <c r="H24" i="323" s="1"/>
  <c r="H10" i="323"/>
  <c r="G17" i="323"/>
  <c r="I17" i="323" s="1"/>
  <c r="G15" i="323"/>
  <c r="I15" i="323" s="1"/>
  <c r="G10" i="323"/>
  <c r="I10" i="323" l="1"/>
  <c r="I19" i="323"/>
  <c r="I22" i="323" s="1"/>
  <c r="I24" i="323" s="1"/>
  <c r="G19" i="323"/>
  <c r="G22" i="323" s="1"/>
  <c r="G24" i="323" s="1"/>
  <c r="L86" i="317"/>
  <c r="H86" i="317"/>
  <c r="L227" i="317"/>
  <c r="H227" i="317"/>
  <c r="P227" i="317" l="1"/>
  <c r="P86" i="317"/>
  <c r="L199" i="317" l="1"/>
  <c r="H199" i="317"/>
  <c r="P199" i="317" l="1"/>
  <c r="L191" i="317"/>
  <c r="H191" i="317"/>
  <c r="J106" i="317"/>
  <c r="I106" i="317"/>
  <c r="P191" i="317" l="1"/>
  <c r="L67" i="317" l="1"/>
  <c r="H67" i="317"/>
  <c r="L226" i="317"/>
  <c r="H226" i="317"/>
  <c r="L225" i="317"/>
  <c r="H225" i="317"/>
  <c r="L22" i="317"/>
  <c r="H22" i="317"/>
  <c r="L21" i="317"/>
  <c r="H21" i="317"/>
  <c r="L269" i="317"/>
  <c r="H269" i="317"/>
  <c r="L224" i="317"/>
  <c r="H224" i="317"/>
  <c r="L232" i="317"/>
  <c r="H232" i="317"/>
  <c r="H230" i="317"/>
  <c r="L230" i="317"/>
  <c r="H231" i="317"/>
  <c r="L231" i="317"/>
  <c r="L222" i="317"/>
  <c r="H222" i="317"/>
  <c r="L190" i="317"/>
  <c r="H190" i="317"/>
  <c r="L189" i="317"/>
  <c r="H189" i="317"/>
  <c r="L158" i="317"/>
  <c r="H158" i="317"/>
  <c r="L157" i="317"/>
  <c r="H157" i="317"/>
  <c r="L156" i="317"/>
  <c r="H156" i="317"/>
  <c r="L155" i="317"/>
  <c r="H155" i="317"/>
  <c r="L159" i="317"/>
  <c r="H159" i="317"/>
  <c r="L154" i="317"/>
  <c r="H154" i="317"/>
  <c r="L153" i="317"/>
  <c r="H153" i="317"/>
  <c r="L39" i="317"/>
  <c r="H39" i="317"/>
  <c r="L107" i="317"/>
  <c r="H107" i="317"/>
  <c r="L105" i="317"/>
  <c r="H105" i="317"/>
  <c r="L104" i="317"/>
  <c r="H104" i="317"/>
  <c r="L106" i="317"/>
  <c r="H106" i="317"/>
  <c r="J110" i="317"/>
  <c r="I109" i="317"/>
  <c r="I115" i="317"/>
  <c r="J114" i="317"/>
  <c r="J95" i="317"/>
  <c r="I174" i="317"/>
  <c r="E174" i="317"/>
  <c r="P67" i="317" l="1"/>
  <c r="P22" i="317"/>
  <c r="P225" i="317"/>
  <c r="P226" i="317"/>
  <c r="P21" i="317"/>
  <c r="P269" i="317"/>
  <c r="P232" i="317"/>
  <c r="P230" i="317"/>
  <c r="P224" i="317"/>
  <c r="P231" i="317"/>
  <c r="P190" i="317"/>
  <c r="P222" i="317"/>
  <c r="P39" i="317"/>
  <c r="P107" i="317"/>
  <c r="P155" i="317"/>
  <c r="P189" i="317"/>
  <c r="P157" i="317"/>
  <c r="P156" i="317"/>
  <c r="P158" i="317"/>
  <c r="P154" i="317"/>
  <c r="P153" i="317"/>
  <c r="P159" i="317"/>
  <c r="P105" i="317"/>
  <c r="P104" i="317"/>
  <c r="P106" i="317"/>
  <c r="G223" i="317" l="1"/>
  <c r="C223" i="317"/>
  <c r="G31" i="317"/>
  <c r="L143" i="317" l="1"/>
  <c r="H143" i="317"/>
  <c r="L144" i="317"/>
  <c r="H144" i="317"/>
  <c r="C57" i="315"/>
  <c r="D57" i="315" s="1"/>
  <c r="P143" i="317" l="1"/>
  <c r="P144" i="317"/>
  <c r="G158" i="318" l="1"/>
  <c r="G159" i="318"/>
  <c r="C4" i="315" l="1"/>
  <c r="L187" i="317" l="1"/>
  <c r="H187" i="317"/>
  <c r="L186" i="317"/>
  <c r="H186" i="317"/>
  <c r="P187" i="317" l="1"/>
  <c r="P186" i="317"/>
  <c r="L305" i="317"/>
  <c r="H305" i="317"/>
  <c r="L302" i="317"/>
  <c r="L303" i="317"/>
  <c r="L304" i="317"/>
  <c r="H302" i="317"/>
  <c r="H303" i="317"/>
  <c r="G247" i="317"/>
  <c r="L262" i="317"/>
  <c r="H262" i="317"/>
  <c r="G218" i="318"/>
  <c r="D218" i="318"/>
  <c r="G229" i="318"/>
  <c r="P397" i="317"/>
  <c r="L34" i="317"/>
  <c r="H34" i="317"/>
  <c r="G60" i="318"/>
  <c r="E60" i="318"/>
  <c r="G68" i="318"/>
  <c r="G242" i="318"/>
  <c r="I148" i="317"/>
  <c r="E148" i="317"/>
  <c r="I65" i="317"/>
  <c r="G59" i="318"/>
  <c r="P305" i="317" l="1"/>
  <c r="P34" i="317"/>
  <c r="P262" i="317"/>
  <c r="L141" i="317"/>
  <c r="H141" i="317"/>
  <c r="G116" i="318"/>
  <c r="E119" i="318"/>
  <c r="P141" i="317" l="1"/>
  <c r="L142" i="317"/>
  <c r="H142" i="317"/>
  <c r="L140" i="317"/>
  <c r="H140" i="317"/>
  <c r="D66" i="315"/>
  <c r="D63" i="316"/>
  <c r="P378" i="317"/>
  <c r="G241" i="318"/>
  <c r="D57" i="316"/>
  <c r="D54" i="316"/>
  <c r="P140" i="317" l="1"/>
  <c r="P142" i="317"/>
  <c r="L95" i="317"/>
  <c r="L96" i="317"/>
  <c r="H96" i="317"/>
  <c r="H95" i="317"/>
  <c r="D58" i="316"/>
  <c r="E58" i="316" s="1"/>
  <c r="C58" i="316"/>
  <c r="E57" i="316"/>
  <c r="D61" i="316"/>
  <c r="C61" i="316"/>
  <c r="E60" i="316"/>
  <c r="P96" i="317" l="1"/>
  <c r="P95" i="317"/>
  <c r="E61" i="316"/>
  <c r="G102" i="318" l="1"/>
  <c r="L139" i="317" l="1"/>
  <c r="H139" i="317"/>
  <c r="L138" i="317"/>
  <c r="H138" i="317"/>
  <c r="P139" i="317" l="1"/>
  <c r="P138" i="317"/>
  <c r="G230" i="318"/>
  <c r="G63" i="318"/>
  <c r="D63" i="318"/>
  <c r="L15" i="317" l="1"/>
  <c r="H15" i="317"/>
  <c r="P15" i="317" l="1"/>
  <c r="G69" i="318" l="1"/>
  <c r="P377" i="317"/>
  <c r="P376" i="317"/>
  <c r="P375" i="317"/>
  <c r="G51" i="318"/>
  <c r="L136" i="317"/>
  <c r="H136" i="317"/>
  <c r="N374" i="317"/>
  <c r="P373" i="317"/>
  <c r="D56" i="315"/>
  <c r="P136" i="317" l="1"/>
  <c r="G104" i="318"/>
  <c r="H304" i="317"/>
  <c r="L301" i="317"/>
  <c r="H301" i="317"/>
  <c r="D99" i="316"/>
  <c r="C98" i="316"/>
  <c r="C99" i="316" s="1"/>
  <c r="E99" i="316" l="1"/>
  <c r="P304" i="317"/>
  <c r="P301" i="317"/>
  <c r="E98" i="316"/>
  <c r="G171" i="318" l="1"/>
  <c r="G132" i="318"/>
  <c r="C96" i="315" l="1"/>
  <c r="B96" i="315"/>
  <c r="D95" i="315"/>
  <c r="L123" i="317" l="1"/>
  <c r="H123" i="317"/>
  <c r="L121" i="317"/>
  <c r="H121" i="317"/>
  <c r="L120" i="317"/>
  <c r="H120" i="317"/>
  <c r="L119" i="317"/>
  <c r="H119" i="317"/>
  <c r="P120" i="317" l="1"/>
  <c r="P123" i="317"/>
  <c r="P119" i="317"/>
  <c r="P121" i="317"/>
  <c r="D94" i="315"/>
  <c r="H243" i="318" l="1"/>
  <c r="L216" i="317"/>
  <c r="H216" i="317"/>
  <c r="P215" i="317"/>
  <c r="P216" i="317" l="1"/>
  <c r="D37" i="316" l="1"/>
  <c r="D39" i="316" l="1"/>
  <c r="C39" i="316"/>
  <c r="E38" i="316"/>
  <c r="L113" i="317"/>
  <c r="H113" i="317"/>
  <c r="L112" i="317"/>
  <c r="H112" i="317"/>
  <c r="L111" i="317"/>
  <c r="H111" i="317"/>
  <c r="L110" i="317"/>
  <c r="H110" i="317"/>
  <c r="L109" i="317"/>
  <c r="H109" i="317"/>
  <c r="L108" i="317"/>
  <c r="H108" i="317"/>
  <c r="D42" i="316"/>
  <c r="E42" i="316" s="1"/>
  <c r="C42" i="316"/>
  <c r="E41" i="316"/>
  <c r="P110" i="317" l="1"/>
  <c r="P112" i="317"/>
  <c r="P113" i="317"/>
  <c r="P111" i="317"/>
  <c r="P108" i="317"/>
  <c r="P109" i="317"/>
  <c r="L234" i="317" l="1"/>
  <c r="H234" i="317"/>
  <c r="L233" i="317"/>
  <c r="P234" i="317" l="1"/>
  <c r="C42" i="315"/>
  <c r="L82" i="317"/>
  <c r="H82" i="317"/>
  <c r="L137" i="317"/>
  <c r="H137" i="317"/>
  <c r="L135" i="317"/>
  <c r="H135" i="317"/>
  <c r="P134" i="317"/>
  <c r="P135" i="317" l="1"/>
  <c r="P82" i="317"/>
  <c r="P137" i="317"/>
  <c r="L81" i="317" l="1"/>
  <c r="H81" i="317"/>
  <c r="P81" i="317" l="1"/>
  <c r="I292" i="317" l="1"/>
  <c r="J292" i="317"/>
  <c r="K292" i="317"/>
  <c r="M292" i="317"/>
  <c r="N292" i="317"/>
  <c r="D292" i="317"/>
  <c r="E292" i="317"/>
  <c r="F292" i="317"/>
  <c r="G292" i="317"/>
  <c r="C292" i="317"/>
  <c r="O10" i="317"/>
  <c r="O292" i="317" s="1"/>
  <c r="L10" i="317"/>
  <c r="H10" i="317"/>
  <c r="P10" i="317" l="1"/>
  <c r="C238" i="318"/>
  <c r="D201" i="318"/>
  <c r="C201" i="318"/>
  <c r="D238" i="318" l="1"/>
  <c r="D205" i="318"/>
  <c r="C205" i="318"/>
  <c r="D192" i="318"/>
  <c r="D64" i="318"/>
  <c r="H26" i="260"/>
  <c r="E11" i="261" l="1"/>
  <c r="E12" i="261"/>
  <c r="E16" i="261"/>
  <c r="M9" i="239" l="1"/>
  <c r="L9" i="239"/>
  <c r="K9" i="239"/>
  <c r="E17" i="321" l="1"/>
  <c r="J21" i="321"/>
  <c r="G222" i="318" l="1"/>
  <c r="L133" i="317"/>
  <c r="H133" i="317"/>
  <c r="P133" i="317" l="1"/>
  <c r="P374" i="317"/>
  <c r="G17" i="321" l="1"/>
  <c r="F17" i="321"/>
  <c r="D17" i="321"/>
  <c r="C17" i="321"/>
  <c r="K17" i="321"/>
  <c r="J17" i="321"/>
  <c r="I17" i="321"/>
  <c r="H17" i="321"/>
  <c r="G21" i="321"/>
  <c r="O13" i="321"/>
  <c r="P23" i="321" s="1"/>
  <c r="K41" i="239" l="1"/>
  <c r="AI41" i="239" s="1"/>
  <c r="L41" i="239"/>
  <c r="AJ41" i="239" s="1"/>
  <c r="M41" i="239"/>
  <c r="J41" i="239"/>
  <c r="F41" i="239"/>
  <c r="AK41" i="239"/>
  <c r="AE41" i="239"/>
  <c r="AH41" i="239" s="1"/>
  <c r="AF41" i="239"/>
  <c r="AG41" i="239"/>
  <c r="AA41" i="239"/>
  <c r="AB41" i="239"/>
  <c r="AC41" i="239"/>
  <c r="Z41" i="239"/>
  <c r="V41" i="239"/>
  <c r="R41" i="239"/>
  <c r="I41" i="261"/>
  <c r="J41" i="261"/>
  <c r="H41" i="261"/>
  <c r="E41" i="261"/>
  <c r="K41" i="261" s="1"/>
  <c r="AD41" i="239" l="1"/>
  <c r="AL41" i="239"/>
  <c r="N41" i="239"/>
  <c r="H252" i="318" l="1"/>
  <c r="L279" i="317" l="1"/>
  <c r="H279" i="317"/>
  <c r="L281" i="317"/>
  <c r="H281" i="317"/>
  <c r="L280" i="317"/>
  <c r="H280" i="317"/>
  <c r="L274" i="317"/>
  <c r="H274" i="317"/>
  <c r="L273" i="317"/>
  <c r="H273" i="317"/>
  <c r="P274" i="317" l="1"/>
  <c r="P279" i="317"/>
  <c r="P281" i="317"/>
  <c r="P280" i="317"/>
  <c r="P273" i="317"/>
  <c r="G207" i="318" l="1"/>
  <c r="G228" i="318" l="1"/>
  <c r="L116" i="317"/>
  <c r="H116" i="317"/>
  <c r="P116" i="317" l="1"/>
  <c r="L200" i="317" l="1"/>
  <c r="H200" i="317"/>
  <c r="G247" i="318"/>
  <c r="P200" i="317" l="1"/>
  <c r="L219" i="317" l="1"/>
  <c r="H219" i="317"/>
  <c r="L218" i="317"/>
  <c r="H218" i="317"/>
  <c r="P217" i="317"/>
  <c r="L299" i="317"/>
  <c r="H299" i="317"/>
  <c r="L300" i="317"/>
  <c r="H300" i="317"/>
  <c r="G97" i="318"/>
  <c r="P299" i="317" l="1"/>
  <c r="P218" i="317"/>
  <c r="P219" i="317"/>
  <c r="P300" i="317"/>
  <c r="L185" i="317" l="1"/>
  <c r="H185" i="317"/>
  <c r="L184" i="317"/>
  <c r="H184" i="317"/>
  <c r="L151" i="317"/>
  <c r="H151" i="317"/>
  <c r="L152" i="317"/>
  <c r="H152" i="317"/>
  <c r="P184" i="317" l="1"/>
  <c r="P185" i="317"/>
  <c r="P152" i="317"/>
  <c r="P151" i="317"/>
  <c r="L148" i="317" l="1"/>
  <c r="H148" i="317"/>
  <c r="L147" i="317"/>
  <c r="H147" i="317"/>
  <c r="L150" i="317"/>
  <c r="H150" i="317"/>
  <c r="L149" i="317"/>
  <c r="H149" i="317"/>
  <c r="L115" i="317"/>
  <c r="H115" i="317"/>
  <c r="L114" i="317"/>
  <c r="H114" i="317"/>
  <c r="H174" i="317"/>
  <c r="P173" i="317"/>
  <c r="L174" i="317"/>
  <c r="L58" i="317"/>
  <c r="H58" i="317"/>
  <c r="L32" i="317"/>
  <c r="H32" i="317"/>
  <c r="P32" i="317" l="1"/>
  <c r="P58" i="317"/>
  <c r="P147" i="317"/>
  <c r="P149" i="317"/>
  <c r="P148" i="317"/>
  <c r="P150" i="317"/>
  <c r="P115" i="317"/>
  <c r="P114" i="317"/>
  <c r="P174" i="317"/>
  <c r="L19" i="317"/>
  <c r="H19" i="317"/>
  <c r="L20" i="317"/>
  <c r="H20" i="317"/>
  <c r="P398" i="317"/>
  <c r="P306" i="317"/>
  <c r="H79" i="317"/>
  <c r="L79" i="317"/>
  <c r="L179" i="317"/>
  <c r="H179" i="317"/>
  <c r="P179" i="317" l="1"/>
  <c r="P19" i="317"/>
  <c r="P20" i="317"/>
  <c r="P79" i="317"/>
  <c r="L66" i="317" l="1"/>
  <c r="H66" i="317"/>
  <c r="G70" i="318"/>
  <c r="P66" i="317" l="1"/>
  <c r="G71" i="318" l="1"/>
  <c r="G72" i="318"/>
  <c r="L229" i="317"/>
  <c r="H229" i="317"/>
  <c r="L195" i="317"/>
  <c r="H195" i="317"/>
  <c r="P195" i="317" l="1"/>
  <c r="P229" i="317"/>
  <c r="L170" i="317" l="1"/>
  <c r="H170" i="317"/>
  <c r="P170" i="317" l="1"/>
  <c r="G50" i="318" l="1"/>
  <c r="L266" i="317"/>
  <c r="H266" i="317"/>
  <c r="G235" i="318"/>
  <c r="G233" i="318"/>
  <c r="G231" i="318"/>
  <c r="L247" i="317"/>
  <c r="H247" i="317"/>
  <c r="L246" i="317"/>
  <c r="H246" i="317"/>
  <c r="L248" i="317"/>
  <c r="H248" i="317"/>
  <c r="G224" i="318"/>
  <c r="G219" i="318"/>
  <c r="G216" i="318"/>
  <c r="G215" i="318"/>
  <c r="G217" i="318"/>
  <c r="G206" i="318"/>
  <c r="G212" i="318"/>
  <c r="G210" i="318"/>
  <c r="G209" i="318"/>
  <c r="G208" i="318"/>
  <c r="G204" i="318"/>
  <c r="G203" i="318"/>
  <c r="G202" i="318"/>
  <c r="L241" i="317"/>
  <c r="H241" i="317"/>
  <c r="G197" i="318"/>
  <c r="G200" i="318"/>
  <c r="G199" i="318"/>
  <c r="G198" i="318"/>
  <c r="G195" i="318"/>
  <c r="G184" i="318"/>
  <c r="G183" i="318"/>
  <c r="G181" i="318"/>
  <c r="G179" i="318"/>
  <c r="G178" i="318"/>
  <c r="G177" i="318"/>
  <c r="G172" i="318"/>
  <c r="G174" i="318"/>
  <c r="G175" i="318"/>
  <c r="G170" i="318"/>
  <c r="P266" i="317" l="1"/>
  <c r="P248" i="317"/>
  <c r="P247" i="317"/>
  <c r="P246" i="317"/>
  <c r="P241" i="317"/>
  <c r="G164" i="318" l="1"/>
  <c r="G165" i="318"/>
  <c r="G163" i="318"/>
  <c r="G162" i="318"/>
  <c r="G161" i="318"/>
  <c r="G156" i="318"/>
  <c r="G155" i="318"/>
  <c r="G154" i="318"/>
  <c r="G153" i="318"/>
  <c r="G151" i="318"/>
  <c r="G150" i="318"/>
  <c r="G149" i="318"/>
  <c r="G148" i="318"/>
  <c r="G147" i="318"/>
  <c r="G146" i="318"/>
  <c r="G144" i="318"/>
  <c r="G143" i="318"/>
  <c r="L223" i="317" l="1"/>
  <c r="H223" i="317"/>
  <c r="G133" i="318"/>
  <c r="G122" i="318"/>
  <c r="L212" i="317"/>
  <c r="H212" i="317"/>
  <c r="L211" i="317"/>
  <c r="H211" i="317"/>
  <c r="L210" i="317"/>
  <c r="H210" i="317"/>
  <c r="L209" i="317"/>
  <c r="H209" i="317"/>
  <c r="L208" i="317"/>
  <c r="H208" i="317"/>
  <c r="P223" i="317" l="1"/>
  <c r="P212" i="317"/>
  <c r="P209" i="317"/>
  <c r="P211" i="317"/>
  <c r="P210" i="317"/>
  <c r="P208" i="317"/>
  <c r="G117" i="318" l="1"/>
  <c r="G110" i="318"/>
  <c r="G109" i="318"/>
  <c r="G112" i="318"/>
  <c r="L74" i="317"/>
  <c r="H74" i="317"/>
  <c r="G78" i="318"/>
  <c r="G73" i="318"/>
  <c r="L57" i="317"/>
  <c r="H57" i="317"/>
  <c r="P74" i="317" l="1"/>
  <c r="P57" i="317"/>
  <c r="G65" i="318" l="1"/>
  <c r="G57" i="318" l="1"/>
  <c r="G48" i="318"/>
  <c r="G46" i="318"/>
  <c r="G47" i="318"/>
  <c r="G44" i="318"/>
  <c r="G39" i="318"/>
  <c r="G38" i="318"/>
  <c r="G35" i="318"/>
  <c r="G32" i="318"/>
  <c r="G43" i="318"/>
  <c r="G29" i="318"/>
  <c r="G33" i="318"/>
  <c r="G28" i="318"/>
  <c r="G26" i="318"/>
  <c r="G27" i="318"/>
  <c r="G42" i="318"/>
  <c r="G41" i="318"/>
  <c r="G21" i="318"/>
  <c r="L40" i="317"/>
  <c r="H40" i="317"/>
  <c r="L38" i="317"/>
  <c r="H38" i="317"/>
  <c r="L37" i="317"/>
  <c r="H37" i="317"/>
  <c r="L36" i="317"/>
  <c r="H36" i="317"/>
  <c r="P40" i="317" l="1"/>
  <c r="P37" i="317"/>
  <c r="P36" i="317"/>
  <c r="P38" i="317"/>
  <c r="G101" i="318" l="1"/>
  <c r="L238" i="317" l="1"/>
  <c r="H238" i="317"/>
  <c r="P238" i="317" l="1"/>
  <c r="G189" i="318" l="1"/>
  <c r="F189" i="318"/>
  <c r="D189" i="318"/>
  <c r="D105" i="318" s="1"/>
  <c r="C189" i="318"/>
  <c r="L237" i="317"/>
  <c r="H237" i="317"/>
  <c r="P237" i="317" l="1"/>
  <c r="L84" i="317" l="1"/>
  <c r="H84" i="317"/>
  <c r="G82" i="318"/>
  <c r="G83" i="318"/>
  <c r="P84" i="317" l="1"/>
  <c r="L255" i="317"/>
  <c r="H255" i="317"/>
  <c r="G227" i="318"/>
  <c r="P400" i="317"/>
  <c r="P255" i="317" l="1"/>
  <c r="G8" i="318"/>
  <c r="L18" i="317" l="1"/>
  <c r="H18" i="317"/>
  <c r="P18" i="317" l="1"/>
  <c r="L61" i="317" l="1"/>
  <c r="H61" i="317"/>
  <c r="L17" i="317"/>
  <c r="H17" i="317"/>
  <c r="P61" i="317" l="1"/>
  <c r="P17" i="317"/>
  <c r="C17" i="323"/>
  <c r="C19" i="323" l="1"/>
  <c r="C22" i="323" s="1"/>
  <c r="C24" i="323" s="1"/>
  <c r="C10" i="323"/>
  <c r="C12" i="323" s="1"/>
  <c r="L263" i="317" l="1"/>
  <c r="H263" i="317"/>
  <c r="P263" i="317" l="1"/>
  <c r="L251" i="317"/>
  <c r="H251" i="317"/>
  <c r="L298" i="317"/>
  <c r="H298" i="317"/>
  <c r="G225" i="318"/>
  <c r="L65" i="317"/>
  <c r="H65" i="317"/>
  <c r="L296" i="317"/>
  <c r="H296" i="317"/>
  <c r="G180" i="318"/>
  <c r="L297" i="317"/>
  <c r="H297" i="317"/>
  <c r="G140" i="318"/>
  <c r="P251" i="317" l="1"/>
  <c r="P298" i="317"/>
  <c r="P297" i="317"/>
  <c r="P296" i="317"/>
  <c r="P65" i="317"/>
  <c r="M436" i="317"/>
  <c r="N436" i="317" l="1"/>
  <c r="L295" i="317"/>
  <c r="H295" i="317"/>
  <c r="L294" i="317"/>
  <c r="H294" i="317"/>
  <c r="P294" i="317" l="1"/>
  <c r="P295" i="317"/>
  <c r="B22" i="322" l="1"/>
  <c r="C86" i="316"/>
  <c r="C78" i="316"/>
  <c r="C73" i="316"/>
  <c r="C34" i="316"/>
  <c r="B49" i="315"/>
  <c r="B18" i="315"/>
  <c r="B8" i="315"/>
  <c r="O9" i="317" l="1"/>
  <c r="L9" i="317"/>
  <c r="H9" i="317"/>
  <c r="P9" i="317" l="1"/>
  <c r="G26" i="322" l="1"/>
  <c r="F32" i="322"/>
  <c r="E32" i="322"/>
  <c r="D32" i="322"/>
  <c r="C32" i="322"/>
  <c r="B32" i="322"/>
  <c r="G31" i="322"/>
  <c r="G32" i="322" s="1"/>
  <c r="F28" i="322"/>
  <c r="E28" i="322"/>
  <c r="D28" i="322"/>
  <c r="C28" i="322"/>
  <c r="B28" i="322"/>
  <c r="G27" i="322"/>
  <c r="G28" i="322" s="1"/>
  <c r="F23" i="322"/>
  <c r="E23" i="322"/>
  <c r="E33" i="322" s="1"/>
  <c r="D23" i="322"/>
  <c r="D33" i="322" s="1"/>
  <c r="C23" i="322"/>
  <c r="B23" i="322"/>
  <c r="G22" i="322"/>
  <c r="G21" i="322"/>
  <c r="G20" i="322"/>
  <c r="G19" i="322"/>
  <c r="G18" i="322"/>
  <c r="G17" i="322"/>
  <c r="G16" i="322"/>
  <c r="G15" i="322"/>
  <c r="G14" i="322"/>
  <c r="G13" i="322"/>
  <c r="G12" i="322"/>
  <c r="G11" i="322"/>
  <c r="G10" i="322"/>
  <c r="G9" i="322"/>
  <c r="F33" i="322" l="1"/>
  <c r="C33" i="322"/>
  <c r="B33" i="322"/>
  <c r="G23" i="322"/>
  <c r="G33" i="322" s="1"/>
  <c r="N16" i="321" l="1"/>
  <c r="R16" i="321" s="1"/>
  <c r="S16" i="321" s="1"/>
  <c r="B25" i="321" l="1"/>
  <c r="L23" i="321"/>
  <c r="K23" i="321"/>
  <c r="H23" i="321"/>
  <c r="D23" i="321"/>
  <c r="C23" i="321"/>
  <c r="N22" i="321"/>
  <c r="Q22" i="321" s="1"/>
  <c r="N21" i="321"/>
  <c r="Q21" i="321" s="1"/>
  <c r="G23" i="321"/>
  <c r="N20" i="321"/>
  <c r="Q20" i="321" s="1"/>
  <c r="N19" i="321"/>
  <c r="Q19" i="321" s="1"/>
  <c r="R19" i="321" s="1"/>
  <c r="N18" i="321"/>
  <c r="Q18" i="321" s="1"/>
  <c r="M23" i="321"/>
  <c r="J23" i="321"/>
  <c r="I23" i="321"/>
  <c r="F23" i="321"/>
  <c r="E23" i="321"/>
  <c r="B23" i="321"/>
  <c r="L13" i="321"/>
  <c r="K13" i="321"/>
  <c r="H13" i="321"/>
  <c r="G13" i="321"/>
  <c r="C13" i="321"/>
  <c r="N12" i="321"/>
  <c r="N11" i="321"/>
  <c r="Q11" i="321" s="1"/>
  <c r="R11" i="321" s="1"/>
  <c r="N10" i="321"/>
  <c r="Q10" i="321" s="1"/>
  <c r="R10" i="321" s="1"/>
  <c r="N9" i="321"/>
  <c r="Q9" i="321" s="1"/>
  <c r="M13" i="321"/>
  <c r="J13" i="321"/>
  <c r="I13" i="321"/>
  <c r="F13" i="321"/>
  <c r="E13" i="321"/>
  <c r="N8" i="321"/>
  <c r="Q8" i="321" s="1"/>
  <c r="N7" i="321"/>
  <c r="Q7" i="321" s="1"/>
  <c r="N6" i="321"/>
  <c r="Q6" i="321" s="1"/>
  <c r="N5" i="321"/>
  <c r="Q5" i="321" s="1"/>
  <c r="R5" i="321" s="1"/>
  <c r="B13" i="321"/>
  <c r="P12" i="321" l="1"/>
  <c r="Q12" i="321"/>
  <c r="C26" i="321"/>
  <c r="K26" i="321"/>
  <c r="H26" i="321"/>
  <c r="L26" i="321"/>
  <c r="M26" i="321"/>
  <c r="J26" i="321"/>
  <c r="I26" i="321"/>
  <c r="F26" i="321"/>
  <c r="E26" i="321"/>
  <c r="B26" i="321"/>
  <c r="B27" i="321" s="1"/>
  <c r="C25" i="321" s="1"/>
  <c r="G26" i="321"/>
  <c r="N13" i="321"/>
  <c r="D13" i="321"/>
  <c r="D26" i="321" s="1"/>
  <c r="N17" i="321"/>
  <c r="N23" i="321" l="1"/>
  <c r="C27" i="321"/>
  <c r="D25" i="321" s="1"/>
  <c r="D27" i="321" s="1"/>
  <c r="E25" i="321" s="1"/>
  <c r="E27" i="321" s="1"/>
  <c r="F25" i="321" s="1"/>
  <c r="F27" i="321" s="1"/>
  <c r="G25" i="321" s="1"/>
  <c r="G27" i="321" s="1"/>
  <c r="H25" i="321" s="1"/>
  <c r="H27" i="321" s="1"/>
  <c r="I25" i="321" s="1"/>
  <c r="I27" i="321" s="1"/>
  <c r="J25" i="321" s="1"/>
  <c r="J27" i="321" s="1"/>
  <c r="K25" i="321" s="1"/>
  <c r="K27" i="321" s="1"/>
  <c r="L25" i="321" s="1"/>
  <c r="L27" i="321" s="1"/>
  <c r="M25" i="321" s="1"/>
  <c r="M27" i="321" s="1"/>
  <c r="G126" i="318" l="1"/>
  <c r="L207" i="317"/>
  <c r="H207" i="317"/>
  <c r="P207" i="317" l="1"/>
  <c r="E33" i="299" l="1"/>
  <c r="E15" i="299"/>
  <c r="G238" i="318" l="1"/>
  <c r="E252" i="318"/>
  <c r="E251" i="318"/>
  <c r="E250" i="318"/>
  <c r="E249" i="318"/>
  <c r="E248" i="318"/>
  <c r="E247" i="318"/>
  <c r="E246" i="318"/>
  <c r="E245" i="318"/>
  <c r="E244" i="318"/>
  <c r="E243" i="318"/>
  <c r="E242" i="318"/>
  <c r="E241" i="318"/>
  <c r="E240" i="318"/>
  <c r="E239" i="318"/>
  <c r="H238" i="318"/>
  <c r="F238" i="318"/>
  <c r="E237" i="318"/>
  <c r="E235" i="318"/>
  <c r="E234" i="318"/>
  <c r="E233" i="318"/>
  <c r="E232" i="318"/>
  <c r="E231" i="318"/>
  <c r="E230" i="318"/>
  <c r="E229" i="318"/>
  <c r="E228" i="318"/>
  <c r="E227" i="318"/>
  <c r="H226" i="318"/>
  <c r="G226" i="318"/>
  <c r="F226" i="318"/>
  <c r="D226" i="318"/>
  <c r="C226" i="318"/>
  <c r="E225" i="318"/>
  <c r="E224" i="318"/>
  <c r="G223" i="318"/>
  <c r="E223" i="318"/>
  <c r="E222" i="318"/>
  <c r="G221" i="318"/>
  <c r="E221" i="318"/>
  <c r="E220" i="318"/>
  <c r="E219" i="318"/>
  <c r="E218" i="318"/>
  <c r="E217" i="318"/>
  <c r="E216" i="318"/>
  <c r="E215" i="318"/>
  <c r="E214" i="318"/>
  <c r="E213" i="318"/>
  <c r="E212" i="318"/>
  <c r="G211" i="318"/>
  <c r="E211" i="318"/>
  <c r="E210" i="318"/>
  <c r="E209" i="318"/>
  <c r="E208" i="318"/>
  <c r="E207" i="318"/>
  <c r="E206" i="318"/>
  <c r="E204" i="318"/>
  <c r="E203" i="318"/>
  <c r="E202" i="318"/>
  <c r="H201" i="318"/>
  <c r="G201" i="318"/>
  <c r="F201" i="318"/>
  <c r="E200" i="318"/>
  <c r="E199" i="318"/>
  <c r="E198" i="318"/>
  <c r="E197" i="318"/>
  <c r="E196" i="318"/>
  <c r="E195" i="318"/>
  <c r="E194" i="318"/>
  <c r="E193" i="318"/>
  <c r="G192" i="318"/>
  <c r="F192" i="318"/>
  <c r="F105" i="318" s="1"/>
  <c r="E192" i="318"/>
  <c r="E191" i="318"/>
  <c r="E190" i="318"/>
  <c r="H189" i="318"/>
  <c r="E189" i="318"/>
  <c r="G188" i="318"/>
  <c r="E188" i="318"/>
  <c r="G187" i="318"/>
  <c r="E187" i="318"/>
  <c r="E186" i="318"/>
  <c r="G185" i="318"/>
  <c r="E185" i="318"/>
  <c r="E184" i="318"/>
  <c r="E183" i="318"/>
  <c r="E182" i="318"/>
  <c r="E181" i="318"/>
  <c r="E180" i="318"/>
  <c r="E179" i="318"/>
  <c r="E178" i="318"/>
  <c r="E177" i="318"/>
  <c r="E176" i="318"/>
  <c r="E175" i="318"/>
  <c r="E174" i="318"/>
  <c r="E173" i="318"/>
  <c r="E172" i="318"/>
  <c r="E171" i="318"/>
  <c r="E170" i="318"/>
  <c r="E168" i="318"/>
  <c r="E167" i="318"/>
  <c r="G166" i="318"/>
  <c r="E166" i="318"/>
  <c r="E165" i="318"/>
  <c r="E164" i="318"/>
  <c r="E163" i="318"/>
  <c r="E162" i="318"/>
  <c r="E161" i="318"/>
  <c r="G160" i="318"/>
  <c r="E160" i="318"/>
  <c r="E159" i="318"/>
  <c r="E158" i="318"/>
  <c r="E157" i="318"/>
  <c r="E156" i="318"/>
  <c r="E155" i="318"/>
  <c r="E154" i="318"/>
  <c r="E153" i="318"/>
  <c r="E151" i="318"/>
  <c r="E150" i="318"/>
  <c r="E149" i="318"/>
  <c r="E148" i="318"/>
  <c r="E147" i="318"/>
  <c r="E146" i="318"/>
  <c r="G145" i="318"/>
  <c r="E145" i="318"/>
  <c r="E144" i="318"/>
  <c r="E143" i="318"/>
  <c r="E142" i="318"/>
  <c r="E140" i="318"/>
  <c r="E139" i="318"/>
  <c r="G138" i="318"/>
  <c r="E138" i="318"/>
  <c r="E136" i="318"/>
  <c r="E135" i="318"/>
  <c r="E134" i="318"/>
  <c r="E133" i="318"/>
  <c r="E132" i="318"/>
  <c r="E131" i="318"/>
  <c r="E130" i="318"/>
  <c r="E129" i="318"/>
  <c r="E128" i="318"/>
  <c r="E127" i="318"/>
  <c r="E126" i="318"/>
  <c r="E125" i="318"/>
  <c r="E124" i="318"/>
  <c r="E123" i="318"/>
  <c r="E122" i="318"/>
  <c r="E121" i="318"/>
  <c r="E120" i="318"/>
  <c r="E118" i="318"/>
  <c r="E117" i="318"/>
  <c r="E116" i="318"/>
  <c r="E115" i="318"/>
  <c r="E114" i="318"/>
  <c r="E113" i="318"/>
  <c r="E112" i="318"/>
  <c r="E111" i="318"/>
  <c r="E110" i="318"/>
  <c r="E109" i="318"/>
  <c r="E108" i="318"/>
  <c r="E107" i="318"/>
  <c r="E106" i="318"/>
  <c r="C105" i="318"/>
  <c r="E104" i="318"/>
  <c r="E103" i="318"/>
  <c r="E102" i="318"/>
  <c r="E101" i="318"/>
  <c r="E100" i="318"/>
  <c r="E99" i="318"/>
  <c r="E98" i="318"/>
  <c r="E97" i="318"/>
  <c r="G95" i="318"/>
  <c r="E96" i="318"/>
  <c r="H95" i="318"/>
  <c r="F95" i="318"/>
  <c r="D95" i="318"/>
  <c r="C95" i="318"/>
  <c r="E94" i="318"/>
  <c r="E93" i="318"/>
  <c r="E92" i="318"/>
  <c r="E91" i="318"/>
  <c r="H90" i="318"/>
  <c r="G90" i="318"/>
  <c r="F90" i="318"/>
  <c r="D90" i="318"/>
  <c r="C90" i="318"/>
  <c r="E89" i="318"/>
  <c r="E88" i="318"/>
  <c r="E87" i="318"/>
  <c r="D102" i="315" s="1"/>
  <c r="E86" i="318"/>
  <c r="H85" i="318"/>
  <c r="F85" i="318"/>
  <c r="C85" i="318"/>
  <c r="G80" i="318"/>
  <c r="E84" i="318"/>
  <c r="E83" i="318"/>
  <c r="E82" i="318"/>
  <c r="E81" i="318"/>
  <c r="H80" i="318"/>
  <c r="F80" i="318"/>
  <c r="D80" i="318"/>
  <c r="C80" i="318"/>
  <c r="G79" i="318"/>
  <c r="E79" i="318"/>
  <c r="E78" i="318"/>
  <c r="E77" i="318"/>
  <c r="G76" i="318"/>
  <c r="E76" i="318"/>
  <c r="G75" i="318"/>
  <c r="E75" i="318"/>
  <c r="F74" i="318"/>
  <c r="D74" i="318"/>
  <c r="C74" i="318"/>
  <c r="E73" i="318"/>
  <c r="E72" i="318"/>
  <c r="E70" i="318"/>
  <c r="E69" i="318"/>
  <c r="E68" i="318"/>
  <c r="E67" i="318"/>
  <c r="E66" i="318"/>
  <c r="E65" i="318"/>
  <c r="H64" i="318"/>
  <c r="H9" i="318" s="1"/>
  <c r="F64" i="318"/>
  <c r="F9" i="318" s="1"/>
  <c r="D9" i="318"/>
  <c r="E63" i="318"/>
  <c r="E62" i="318"/>
  <c r="E59" i="318"/>
  <c r="E58" i="318"/>
  <c r="E57" i="318"/>
  <c r="E56" i="318"/>
  <c r="E55" i="318"/>
  <c r="E54" i="318"/>
  <c r="E53" i="318"/>
  <c r="E52" i="318"/>
  <c r="E51" i="318"/>
  <c r="E50" i="318"/>
  <c r="E49" i="318"/>
  <c r="E48" i="318"/>
  <c r="E47" i="318"/>
  <c r="E46" i="318"/>
  <c r="C45" i="318"/>
  <c r="E45" i="318" s="1"/>
  <c r="E44" i="318"/>
  <c r="E43" i="318"/>
  <c r="E42" i="318"/>
  <c r="E41" i="318"/>
  <c r="E40" i="318"/>
  <c r="E39" i="318"/>
  <c r="E38" i="318"/>
  <c r="E37" i="318"/>
  <c r="E36" i="318"/>
  <c r="E35" i="318"/>
  <c r="E34" i="318"/>
  <c r="E33" i="318"/>
  <c r="E32" i="318"/>
  <c r="E31" i="318"/>
  <c r="E30" i="318"/>
  <c r="E29" i="318"/>
  <c r="E28" i="318"/>
  <c r="E27" i="318"/>
  <c r="E26" i="318"/>
  <c r="E24" i="318"/>
  <c r="E23" i="318"/>
  <c r="E22" i="318"/>
  <c r="E21" i="318"/>
  <c r="E20" i="318"/>
  <c r="E19" i="318"/>
  <c r="E18" i="318"/>
  <c r="E17" i="318"/>
  <c r="E16" i="318"/>
  <c r="E15" i="318"/>
  <c r="E14" i="318"/>
  <c r="E13" i="318"/>
  <c r="E12" i="318"/>
  <c r="E11" i="318"/>
  <c r="E10" i="318"/>
  <c r="E8" i="318"/>
  <c r="E7" i="318"/>
  <c r="E6" i="318"/>
  <c r="H5" i="318"/>
  <c r="H4" i="318" s="1"/>
  <c r="G5" i="318"/>
  <c r="F5" i="318"/>
  <c r="D5" i="318"/>
  <c r="C5" i="318"/>
  <c r="H105" i="318" l="1"/>
  <c r="E201" i="318"/>
  <c r="E71" i="318"/>
  <c r="E105" i="318"/>
  <c r="H236" i="318"/>
  <c r="H253" i="318" s="1"/>
  <c r="E80" i="318"/>
  <c r="E5" i="318"/>
  <c r="E226" i="318"/>
  <c r="E205" i="318"/>
  <c r="G105" i="318"/>
  <c r="G74" i="318"/>
  <c r="D4" i="318"/>
  <c r="E64" i="318"/>
  <c r="E90" i="318"/>
  <c r="F4" i="318"/>
  <c r="F236" i="318" s="1"/>
  <c r="F253" i="318" s="1"/>
  <c r="G64" i="318"/>
  <c r="G9" i="318" s="1"/>
  <c r="E74" i="318"/>
  <c r="E95" i="318"/>
  <c r="D85" i="318"/>
  <c r="E85" i="318" s="1"/>
  <c r="E238" i="318"/>
  <c r="C9" i="318"/>
  <c r="F32" i="261"/>
  <c r="G32" i="261"/>
  <c r="D32" i="261"/>
  <c r="C32" i="261"/>
  <c r="J31" i="261"/>
  <c r="I31" i="261"/>
  <c r="H31" i="261"/>
  <c r="E31" i="261"/>
  <c r="J15" i="261"/>
  <c r="I15" i="261"/>
  <c r="H15" i="261"/>
  <c r="E15" i="261"/>
  <c r="D21" i="240"/>
  <c r="E21" i="240"/>
  <c r="C21" i="240"/>
  <c r="T32" i="239"/>
  <c r="U32" i="239"/>
  <c r="S32" i="239"/>
  <c r="P32" i="239"/>
  <c r="Q32" i="239"/>
  <c r="O32" i="239"/>
  <c r="H32" i="239"/>
  <c r="I32" i="239"/>
  <c r="G32" i="239"/>
  <c r="D32" i="239"/>
  <c r="E32" i="239"/>
  <c r="C32" i="239"/>
  <c r="AG31" i="239"/>
  <c r="AF31" i="239"/>
  <c r="AE31" i="239"/>
  <c r="AC31" i="239"/>
  <c r="AB31" i="239"/>
  <c r="AA31" i="239"/>
  <c r="Y31" i="239"/>
  <c r="X31" i="239"/>
  <c r="W31" i="239"/>
  <c r="V31" i="239"/>
  <c r="R31" i="239"/>
  <c r="M31" i="239"/>
  <c r="L31" i="239"/>
  <c r="K31" i="239"/>
  <c r="J31" i="239"/>
  <c r="F31" i="239"/>
  <c r="AG15" i="239"/>
  <c r="AF15" i="239"/>
  <c r="AE15" i="239"/>
  <c r="AC15" i="239"/>
  <c r="AB15" i="239"/>
  <c r="AA15" i="239"/>
  <c r="M15" i="239"/>
  <c r="AK15" i="239" s="1"/>
  <c r="L15" i="239"/>
  <c r="AJ15" i="239" s="1"/>
  <c r="K15" i="239"/>
  <c r="J15" i="239"/>
  <c r="AH15" i="239" s="1"/>
  <c r="F15" i="239"/>
  <c r="AD15" i="239" s="1"/>
  <c r="K15" i="261" l="1"/>
  <c r="D236" i="318"/>
  <c r="D253" i="318" s="1"/>
  <c r="G4" i="318"/>
  <c r="G236" i="318" s="1"/>
  <c r="G253" i="318" s="1"/>
  <c r="E9" i="318"/>
  <c r="C4" i="318"/>
  <c r="AJ31" i="239"/>
  <c r="K31" i="261"/>
  <c r="AK31" i="239"/>
  <c r="AH31" i="239"/>
  <c r="AD31" i="239"/>
  <c r="N15" i="239"/>
  <c r="AL15" i="239" s="1"/>
  <c r="Z31" i="239"/>
  <c r="N31" i="239"/>
  <c r="AI31" i="239"/>
  <c r="AI15" i="239"/>
  <c r="L198" i="317"/>
  <c r="H198" i="317"/>
  <c r="E4" i="318" l="1"/>
  <c r="C236" i="318"/>
  <c r="AL31" i="239"/>
  <c r="P198" i="317"/>
  <c r="L245" i="317"/>
  <c r="H245" i="317"/>
  <c r="L55" i="317"/>
  <c r="H55" i="317"/>
  <c r="L33" i="317"/>
  <c r="H33" i="317"/>
  <c r="L146" i="317"/>
  <c r="H146" i="317"/>
  <c r="L103" i="317"/>
  <c r="H103" i="317"/>
  <c r="L101" i="317"/>
  <c r="H101" i="317"/>
  <c r="L97" i="317"/>
  <c r="H97" i="317"/>
  <c r="L94" i="317"/>
  <c r="H94" i="317"/>
  <c r="L72" i="317"/>
  <c r="H72" i="317"/>
  <c r="K437" i="317"/>
  <c r="K439" i="317" s="1"/>
  <c r="J437" i="317"/>
  <c r="J439" i="317" s="1"/>
  <c r="G437" i="317"/>
  <c r="G439" i="317" s="1"/>
  <c r="F437" i="317"/>
  <c r="F439" i="317" s="1"/>
  <c r="D437" i="317"/>
  <c r="D439" i="317" s="1"/>
  <c r="C437" i="317"/>
  <c r="C439" i="317" s="1"/>
  <c r="L77" i="317"/>
  <c r="H77" i="317"/>
  <c r="L31" i="317"/>
  <c r="H31" i="317"/>
  <c r="O8" i="317"/>
  <c r="L8" i="317"/>
  <c r="H8" i="317"/>
  <c r="L292" i="317" l="1"/>
  <c r="L437" i="317" s="1"/>
  <c r="L439" i="317" s="1"/>
  <c r="H292" i="317"/>
  <c r="E437" i="317"/>
  <c r="E439" i="317" s="1"/>
  <c r="P245" i="317"/>
  <c r="E236" i="318"/>
  <c r="C253" i="318"/>
  <c r="E253" i="318" s="1"/>
  <c r="P55" i="317"/>
  <c r="P145" i="317"/>
  <c r="P35" i="317"/>
  <c r="P33" i="317"/>
  <c r="P31" i="317"/>
  <c r="P146" i="317"/>
  <c r="I437" i="317"/>
  <c r="I439" i="317" s="1"/>
  <c r="O436" i="317"/>
  <c r="P436" i="317" s="1"/>
  <c r="P97" i="317"/>
  <c r="P101" i="317"/>
  <c r="P103" i="317"/>
  <c r="P94" i="317"/>
  <c r="N437" i="317"/>
  <c r="N439" i="317" s="1"/>
  <c r="P77" i="317"/>
  <c r="M437" i="317"/>
  <c r="M439" i="317" s="1"/>
  <c r="P72" i="317"/>
  <c r="P8" i="317"/>
  <c r="D55" i="316"/>
  <c r="C55" i="316"/>
  <c r="E6" i="316"/>
  <c r="E7" i="316"/>
  <c r="E8" i="316"/>
  <c r="E9" i="316"/>
  <c r="E10" i="316"/>
  <c r="E11" i="316"/>
  <c r="E12" i="316"/>
  <c r="E15" i="316"/>
  <c r="E18" i="316"/>
  <c r="E20" i="316"/>
  <c r="E21" i="316"/>
  <c r="E24" i="316"/>
  <c r="E25" i="316"/>
  <c r="E28" i="316"/>
  <c r="E31" i="316"/>
  <c r="E34" i="316"/>
  <c r="E37" i="316"/>
  <c r="E39" i="316" s="1"/>
  <c r="E43" i="316"/>
  <c r="E44" i="316"/>
  <c r="E47" i="316"/>
  <c r="E50" i="316"/>
  <c r="E53" i="316"/>
  <c r="E54" i="316"/>
  <c r="E63" i="316"/>
  <c r="E66" i="316"/>
  <c r="E69" i="316"/>
  <c r="E70" i="316"/>
  <c r="E73" i="316"/>
  <c r="E74" i="316"/>
  <c r="E77" i="316"/>
  <c r="E78" i="316"/>
  <c r="E81" i="316"/>
  <c r="E84" i="316"/>
  <c r="E86" i="316"/>
  <c r="E89" i="316"/>
  <c r="E92" i="316"/>
  <c r="E95" i="316"/>
  <c r="E101" i="316"/>
  <c r="E5" i="316"/>
  <c r="D102" i="316"/>
  <c r="D96" i="316"/>
  <c r="D93" i="316"/>
  <c r="D90" i="316"/>
  <c r="D82" i="316"/>
  <c r="D79" i="316"/>
  <c r="D75" i="316"/>
  <c r="D71" i="316"/>
  <c r="D67" i="316"/>
  <c r="D64" i="316"/>
  <c r="D51" i="316"/>
  <c r="D48" i="316"/>
  <c r="D45" i="316"/>
  <c r="D35" i="316"/>
  <c r="D32" i="316"/>
  <c r="D29" i="316"/>
  <c r="D26" i="316"/>
  <c r="D22" i="316"/>
  <c r="D19" i="316"/>
  <c r="D16" i="316"/>
  <c r="D13" i="316"/>
  <c r="C102" i="316"/>
  <c r="C96" i="316"/>
  <c r="C93" i="316"/>
  <c r="C90" i="316"/>
  <c r="C82" i="316"/>
  <c r="C79" i="316"/>
  <c r="C75" i="316"/>
  <c r="C71" i="316"/>
  <c r="C67" i="316"/>
  <c r="C64" i="316"/>
  <c r="C51" i="316"/>
  <c r="C48" i="316"/>
  <c r="C45" i="316"/>
  <c r="C35" i="316"/>
  <c r="C32" i="316"/>
  <c r="C29" i="316"/>
  <c r="C26" i="316"/>
  <c r="C22" i="316"/>
  <c r="C19" i="316"/>
  <c r="C16" i="316"/>
  <c r="C13" i="316"/>
  <c r="D6" i="315"/>
  <c r="D8" i="315"/>
  <c r="D10" i="315"/>
  <c r="D13" i="315"/>
  <c r="D14" i="315"/>
  <c r="D15" i="315"/>
  <c r="D16" i="315"/>
  <c r="D17" i="315"/>
  <c r="D18" i="315"/>
  <c r="D21" i="315"/>
  <c r="D22" i="315"/>
  <c r="D23" i="315"/>
  <c r="D26" i="315"/>
  <c r="D27" i="315"/>
  <c r="D28" i="315"/>
  <c r="D30" i="315"/>
  <c r="D31" i="315"/>
  <c r="D32" i="315"/>
  <c r="D35" i="315"/>
  <c r="D36" i="315"/>
  <c r="D37" i="315"/>
  <c r="D38" i="315"/>
  <c r="D39" i="315"/>
  <c r="D40" i="315"/>
  <c r="D41" i="315"/>
  <c r="D42" i="315"/>
  <c r="D43" i="315"/>
  <c r="D44" i="315"/>
  <c r="D45" i="315"/>
  <c r="D46" i="315"/>
  <c r="D47" i="315"/>
  <c r="D48" i="315"/>
  <c r="D49" i="315"/>
  <c r="D50" i="315"/>
  <c r="D51" i="315"/>
  <c r="D52" i="315"/>
  <c r="D53" i="315"/>
  <c r="D54" i="315"/>
  <c r="D55" i="315"/>
  <c r="D58" i="315"/>
  <c r="D63" i="315"/>
  <c r="D64" i="315"/>
  <c r="D65" i="315"/>
  <c r="D67" i="315"/>
  <c r="D68" i="315"/>
  <c r="D69" i="315"/>
  <c r="D70" i="315"/>
  <c r="D71" i="315"/>
  <c r="D72" i="315"/>
  <c r="D73" i="315"/>
  <c r="D74" i="315"/>
  <c r="D78" i="315"/>
  <c r="D82" i="315"/>
  <c r="G82" i="315" s="1"/>
  <c r="D83" i="315"/>
  <c r="G83" i="315" s="1"/>
  <c r="D84" i="315"/>
  <c r="D85" i="315"/>
  <c r="G85" i="315" s="1"/>
  <c r="D86" i="315"/>
  <c r="G86" i="315" s="1"/>
  <c r="D87" i="315"/>
  <c r="G87" i="315" s="1"/>
  <c r="D88" i="315"/>
  <c r="D89" i="315"/>
  <c r="D90" i="315"/>
  <c r="D91" i="315"/>
  <c r="D92" i="315"/>
  <c r="D93" i="315"/>
  <c r="D97" i="315"/>
  <c r="D4" i="315"/>
  <c r="C79" i="315"/>
  <c r="C98" i="315" s="1"/>
  <c r="C34" i="315"/>
  <c r="C24" i="315"/>
  <c r="C20" i="315"/>
  <c r="C12" i="315"/>
  <c r="B79" i="315"/>
  <c r="B98" i="315" s="1"/>
  <c r="B34" i="315"/>
  <c r="B24" i="315"/>
  <c r="B20" i="315"/>
  <c r="B12" i="315"/>
  <c r="B60" i="315" l="1"/>
  <c r="D96" i="315"/>
  <c r="C60" i="315"/>
  <c r="E90" i="316"/>
  <c r="C104" i="316"/>
  <c r="C105" i="316" s="1"/>
  <c r="D104" i="316"/>
  <c r="D105" i="316" s="1"/>
  <c r="P292" i="317"/>
  <c r="P437" i="317" s="1"/>
  <c r="P439" i="317" s="1"/>
  <c r="D20" i="315"/>
  <c r="E64" i="316"/>
  <c r="E13" i="316"/>
  <c r="E93" i="316"/>
  <c r="E26" i="316"/>
  <c r="E19" i="316"/>
  <c r="E82" i="316"/>
  <c r="H437" i="317"/>
  <c r="H439" i="317" s="1"/>
  <c r="D12" i="315"/>
  <c r="E67" i="316"/>
  <c r="E16" i="316"/>
  <c r="E71" i="316"/>
  <c r="E96" i="316"/>
  <c r="E51" i="316"/>
  <c r="D24" i="315"/>
  <c r="E22" i="316"/>
  <c r="E48" i="316"/>
  <c r="E79" i="316"/>
  <c r="D79" i="315"/>
  <c r="D98" i="315" s="1"/>
  <c r="E29" i="316"/>
  <c r="E32" i="316"/>
  <c r="B100" i="315"/>
  <c r="E35" i="316"/>
  <c r="D34" i="315"/>
  <c r="E45" i="316"/>
  <c r="E75" i="316"/>
  <c r="O437" i="317"/>
  <c r="O439" i="317" s="1"/>
  <c r="E102" i="316"/>
  <c r="E55" i="316"/>
  <c r="E104" i="316" l="1"/>
  <c r="E105" i="316"/>
  <c r="G106" i="316" s="1"/>
  <c r="C100" i="315"/>
  <c r="D101" i="315" s="1"/>
  <c r="D60" i="315"/>
  <c r="D100" i="315" s="1"/>
  <c r="F102" i="315" s="1"/>
  <c r="AE19" i="240" l="1"/>
  <c r="F21" i="260" l="1"/>
  <c r="F18" i="260"/>
  <c r="F14" i="260"/>
  <c r="C21" i="260"/>
  <c r="C18" i="260"/>
  <c r="C14" i="260"/>
  <c r="F37" i="261"/>
  <c r="F28" i="261"/>
  <c r="F26" i="261"/>
  <c r="F23" i="261"/>
  <c r="F18" i="261"/>
  <c r="C37" i="261"/>
  <c r="C28" i="261"/>
  <c r="C26" i="261"/>
  <c r="C23" i="261"/>
  <c r="C18" i="261"/>
  <c r="C20" i="261" s="1"/>
  <c r="Q25" i="240"/>
  <c r="P25" i="240"/>
  <c r="O25" i="240"/>
  <c r="Q21" i="240"/>
  <c r="P21" i="240"/>
  <c r="O21" i="240"/>
  <c r="Q18" i="240"/>
  <c r="P18" i="240"/>
  <c r="O18" i="240"/>
  <c r="Q14" i="240"/>
  <c r="P14" i="240"/>
  <c r="O14" i="240"/>
  <c r="Q22" i="240" l="1"/>
  <c r="O22" i="240"/>
  <c r="F20" i="261"/>
  <c r="P22" i="240"/>
  <c r="C33" i="261"/>
  <c r="C38" i="261" s="1"/>
  <c r="F33" i="261"/>
  <c r="F38" i="261" s="1"/>
  <c r="E25" i="240"/>
  <c r="E63" i="239" s="1"/>
  <c r="C25" i="240"/>
  <c r="C63" i="239" s="1"/>
  <c r="AA63" i="239" s="1"/>
  <c r="D25" i="240"/>
  <c r="D63" i="239" s="1"/>
  <c r="E18" i="240"/>
  <c r="D18" i="240"/>
  <c r="C18" i="240"/>
  <c r="E14" i="240"/>
  <c r="D14" i="240"/>
  <c r="C14" i="240"/>
  <c r="Q60" i="239"/>
  <c r="Q62" i="239" s="1"/>
  <c r="P60" i="239"/>
  <c r="P62" i="239" s="1"/>
  <c r="O60" i="239"/>
  <c r="O62" i="239" s="1"/>
  <c r="Q37" i="239"/>
  <c r="P37" i="239"/>
  <c r="O37" i="239"/>
  <c r="Q28" i="239"/>
  <c r="P28" i="239"/>
  <c r="O28" i="239"/>
  <c r="Q26" i="239"/>
  <c r="P26" i="239"/>
  <c r="O26" i="239"/>
  <c r="Q23" i="239"/>
  <c r="P23" i="239"/>
  <c r="O23" i="239"/>
  <c r="Q18" i="239"/>
  <c r="Q20" i="239" s="1"/>
  <c r="P18" i="239"/>
  <c r="P20" i="239" s="1"/>
  <c r="O18" i="239"/>
  <c r="O20" i="239" s="1"/>
  <c r="F61" i="239"/>
  <c r="E60" i="239"/>
  <c r="E62" i="239" s="1"/>
  <c r="F59" i="239"/>
  <c r="D60" i="239"/>
  <c r="D62" i="239" s="1"/>
  <c r="F58" i="239"/>
  <c r="F48" i="239"/>
  <c r="F47" i="239"/>
  <c r="F45" i="239"/>
  <c r="F46" i="239" s="1"/>
  <c r="F43" i="239"/>
  <c r="F42" i="239"/>
  <c r="F40" i="239"/>
  <c r="F39" i="239"/>
  <c r="E37" i="239"/>
  <c r="D37" i="239"/>
  <c r="C37" i="239"/>
  <c r="F36" i="239"/>
  <c r="F35" i="239"/>
  <c r="F34" i="239"/>
  <c r="F30" i="239"/>
  <c r="F32" i="239" s="1"/>
  <c r="F29" i="239"/>
  <c r="E28" i="239"/>
  <c r="D28" i="239"/>
  <c r="C28" i="239"/>
  <c r="F27" i="239"/>
  <c r="F28" i="239" s="1"/>
  <c r="E26" i="239"/>
  <c r="D26" i="239"/>
  <c r="C26" i="239"/>
  <c r="F25" i="239"/>
  <c r="F26" i="239" s="1"/>
  <c r="E23" i="239"/>
  <c r="E50" i="239" s="1"/>
  <c r="D23" i="239"/>
  <c r="D50" i="239" s="1"/>
  <c r="C23" i="239"/>
  <c r="F22" i="239"/>
  <c r="F21" i="239"/>
  <c r="F19" i="239"/>
  <c r="E18" i="239"/>
  <c r="E20" i="239" s="1"/>
  <c r="D18" i="239"/>
  <c r="D20" i="239" s="1"/>
  <c r="C18" i="239"/>
  <c r="C20" i="239" s="1"/>
  <c r="F17" i="239"/>
  <c r="F16" i="239"/>
  <c r="F14" i="239"/>
  <c r="F13" i="239"/>
  <c r="F12" i="239"/>
  <c r="F11" i="239"/>
  <c r="F10" i="239"/>
  <c r="F9" i="239"/>
  <c r="Q38" i="239" l="1"/>
  <c r="C50" i="239"/>
  <c r="F23" i="239"/>
  <c r="F50" i="239" s="1"/>
  <c r="O50" i="239"/>
  <c r="Q33" i="239"/>
  <c r="P50" i="239"/>
  <c r="C22" i="240"/>
  <c r="F37" i="239"/>
  <c r="F38" i="239" s="1"/>
  <c r="C33" i="239"/>
  <c r="C38" i="239" s="1"/>
  <c r="F18" i="239"/>
  <c r="F20" i="239" s="1"/>
  <c r="D33" i="239"/>
  <c r="Q50" i="239"/>
  <c r="O33" i="239"/>
  <c r="O38" i="239" s="1"/>
  <c r="P33" i="239"/>
  <c r="P38" i="239" s="1"/>
  <c r="P49" i="239" s="1"/>
  <c r="F60" i="239"/>
  <c r="F62" i="239" s="1"/>
  <c r="E33" i="239"/>
  <c r="D22" i="240"/>
  <c r="E22" i="240"/>
  <c r="F63" i="239"/>
  <c r="F33" i="239"/>
  <c r="C60" i="239"/>
  <c r="C62" i="239" s="1"/>
  <c r="E36" i="299"/>
  <c r="B36" i="299"/>
  <c r="E30" i="299"/>
  <c r="B30" i="299"/>
  <c r="E19" i="299"/>
  <c r="B19" i="299"/>
  <c r="E12" i="299"/>
  <c r="B12" i="299"/>
  <c r="P51" i="239" l="1"/>
  <c r="E38" i="239"/>
  <c r="E49" i="239" s="1"/>
  <c r="E51" i="239" s="1"/>
  <c r="Q49" i="239"/>
  <c r="Q51" i="239" s="1"/>
  <c r="C49" i="239"/>
  <c r="C51" i="239" s="1"/>
  <c r="O49" i="239"/>
  <c r="O51" i="239" s="1"/>
  <c r="D38" i="239"/>
  <c r="D49" i="239" s="1"/>
  <c r="D51" i="239" s="1"/>
  <c r="F49" i="239"/>
  <c r="F51" i="239" s="1"/>
  <c r="F54" i="239" s="1"/>
  <c r="F57" i="239"/>
  <c r="F30" i="299"/>
  <c r="F19" i="299"/>
  <c r="B44" i="299"/>
  <c r="E41" i="299"/>
  <c r="B41" i="299"/>
  <c r="F12" i="299"/>
  <c r="E44" i="299"/>
  <c r="F36" i="299"/>
  <c r="F38" i="299" l="1"/>
  <c r="F41" i="299"/>
  <c r="F44" i="299"/>
  <c r="F21" i="299"/>
  <c r="F46" i="299" l="1"/>
  <c r="H58" i="261" l="1"/>
  <c r="H59" i="261"/>
  <c r="J59" i="261" l="1"/>
  <c r="J58" i="261"/>
  <c r="I59" i="261"/>
  <c r="I58" i="261"/>
  <c r="E59" i="261"/>
  <c r="K59" i="261" s="1"/>
  <c r="E58" i="261"/>
  <c r="K58" i="261" s="1"/>
  <c r="R34" i="239"/>
  <c r="R35" i="239"/>
  <c r="R36" i="239"/>
  <c r="G25" i="240"/>
  <c r="H25" i="240"/>
  <c r="I25" i="240"/>
  <c r="S25" i="240"/>
  <c r="T25" i="240"/>
  <c r="U25" i="240"/>
  <c r="I63" i="239" l="1"/>
  <c r="R24" i="240"/>
  <c r="V24" i="240"/>
  <c r="W24" i="240"/>
  <c r="X24" i="240"/>
  <c r="Y24" i="240"/>
  <c r="AA24" i="240"/>
  <c r="AB24" i="240"/>
  <c r="AC24" i="240"/>
  <c r="AE24" i="240"/>
  <c r="AF24" i="240"/>
  <c r="AG24" i="240"/>
  <c r="K24" i="240"/>
  <c r="L24" i="240"/>
  <c r="M24" i="240"/>
  <c r="H63" i="239"/>
  <c r="G63" i="239"/>
  <c r="J24" i="240"/>
  <c r="F24" i="240"/>
  <c r="J23" i="260"/>
  <c r="J24" i="260"/>
  <c r="I24" i="260"/>
  <c r="I23" i="260"/>
  <c r="D25" i="260"/>
  <c r="D63" i="261" s="1"/>
  <c r="C25" i="260"/>
  <c r="E24" i="260"/>
  <c r="K24" i="260" s="1"/>
  <c r="C14" i="266" s="1"/>
  <c r="AJ24" i="240" l="1"/>
  <c r="AD24" i="240"/>
  <c r="AK24" i="240"/>
  <c r="Z24" i="240"/>
  <c r="N24" i="240"/>
  <c r="AH24" i="240"/>
  <c r="AI24" i="240"/>
  <c r="AL24" i="240" l="1"/>
  <c r="AE9" i="239" l="1"/>
  <c r="AG63" i="239"/>
  <c r="AF63" i="239"/>
  <c r="AE63" i="239"/>
  <c r="AG61" i="239"/>
  <c r="AF61" i="239"/>
  <c r="AE61" i="239"/>
  <c r="AK60" i="239"/>
  <c r="AG60" i="239"/>
  <c r="AF59" i="239"/>
  <c r="AE59" i="239"/>
  <c r="AF58" i="239"/>
  <c r="AE58" i="239"/>
  <c r="AG48" i="239"/>
  <c r="AF48" i="239"/>
  <c r="AE48" i="239"/>
  <c r="AG47" i="239"/>
  <c r="AF47" i="239"/>
  <c r="AE47" i="239"/>
  <c r="AG45" i="239"/>
  <c r="AG46" i="239" s="1"/>
  <c r="AF45" i="239"/>
  <c r="AF46" i="239" s="1"/>
  <c r="AE45" i="239"/>
  <c r="AE46" i="239" s="1"/>
  <c r="AG43" i="239"/>
  <c r="AF43" i="239"/>
  <c r="AE43" i="239"/>
  <c r="AG42" i="239"/>
  <c r="AF42" i="239"/>
  <c r="AE42" i="239"/>
  <c r="AG40" i="239"/>
  <c r="AF40" i="239"/>
  <c r="AE40" i="239"/>
  <c r="AG39" i="239"/>
  <c r="AF39" i="239"/>
  <c r="AE39" i="239"/>
  <c r="AG36" i="239"/>
  <c r="AF36" i="239"/>
  <c r="AE36" i="239"/>
  <c r="AG35" i="239"/>
  <c r="AF35" i="239"/>
  <c r="AE35" i="239"/>
  <c r="AG34" i="239"/>
  <c r="AF34" i="239"/>
  <c r="AE34" i="239"/>
  <c r="AG30" i="239"/>
  <c r="AG32" i="239" s="1"/>
  <c r="AF30" i="239"/>
  <c r="AF32" i="239" s="1"/>
  <c r="AE30" i="239"/>
  <c r="AE32" i="239" s="1"/>
  <c r="AG29" i="239"/>
  <c r="AF29" i="239"/>
  <c r="AE29" i="239"/>
  <c r="AG27" i="239"/>
  <c r="AG28" i="239" s="1"/>
  <c r="AF27" i="239"/>
  <c r="AF28" i="239" s="1"/>
  <c r="AE27" i="239"/>
  <c r="AE28" i="239" s="1"/>
  <c r="AG25" i="239"/>
  <c r="AG26" i="239" s="1"/>
  <c r="AF25" i="239"/>
  <c r="AF26" i="239" s="1"/>
  <c r="AE25" i="239"/>
  <c r="AE26" i="239" s="1"/>
  <c r="AG22" i="239"/>
  <c r="AF22" i="239"/>
  <c r="AE22" i="239"/>
  <c r="AG21" i="239"/>
  <c r="AF21" i="239"/>
  <c r="AE21" i="239"/>
  <c r="AG19" i="239"/>
  <c r="AF19" i="239"/>
  <c r="AE19" i="239"/>
  <c r="AG17" i="239"/>
  <c r="AF17" i="239"/>
  <c r="AE17" i="239"/>
  <c r="AG16" i="239"/>
  <c r="AF16" i="239"/>
  <c r="AE16" i="239"/>
  <c r="AG14" i="239"/>
  <c r="AF14" i="239"/>
  <c r="AE14" i="239"/>
  <c r="AG13" i="239"/>
  <c r="AF13" i="239"/>
  <c r="AE13" i="239"/>
  <c r="AG12" i="239"/>
  <c r="AF12" i="239"/>
  <c r="AE12" i="239"/>
  <c r="AG11" i="239"/>
  <c r="AF11" i="239"/>
  <c r="AE11" i="239"/>
  <c r="AG10" i="239"/>
  <c r="AF10" i="239"/>
  <c r="AE10" i="239"/>
  <c r="AG9" i="239"/>
  <c r="AF9" i="239"/>
  <c r="Y19" i="239"/>
  <c r="X19" i="239"/>
  <c r="W19" i="239"/>
  <c r="Y21" i="239"/>
  <c r="X21" i="239"/>
  <c r="W21" i="239"/>
  <c r="Y22" i="239"/>
  <c r="X22" i="239"/>
  <c r="W22" i="239"/>
  <c r="Y25" i="239"/>
  <c r="Y26" i="239" s="1"/>
  <c r="X25" i="239"/>
  <c r="W25" i="239"/>
  <c r="Y27" i="239"/>
  <c r="Y28" i="239" s="1"/>
  <c r="X27" i="239"/>
  <c r="W27" i="239"/>
  <c r="W28" i="239" s="1"/>
  <c r="Y30" i="239"/>
  <c r="Y32" i="239" s="1"/>
  <c r="X30" i="239"/>
  <c r="X32" i="239" s="1"/>
  <c r="W30" i="239"/>
  <c r="W32" i="239" s="1"/>
  <c r="Y29" i="239"/>
  <c r="X29" i="239"/>
  <c r="W29" i="239"/>
  <c r="Y36" i="239"/>
  <c r="X36" i="239"/>
  <c r="W36" i="239"/>
  <c r="Y35" i="239"/>
  <c r="X35" i="239"/>
  <c r="W35" i="239"/>
  <c r="Y34" i="239"/>
  <c r="X34" i="239"/>
  <c r="W34" i="239"/>
  <c r="Y45" i="239"/>
  <c r="Y46" i="239" s="1"/>
  <c r="X45" i="239"/>
  <c r="X46" i="239" s="1"/>
  <c r="W45" i="239"/>
  <c r="W46" i="239" s="1"/>
  <c r="Y43" i="239"/>
  <c r="X43" i="239"/>
  <c r="W43" i="239"/>
  <c r="Y42" i="239"/>
  <c r="Y40" i="239"/>
  <c r="X40" i="239"/>
  <c r="W40" i="239"/>
  <c r="Y39" i="239"/>
  <c r="X39" i="239"/>
  <c r="W39" i="239"/>
  <c r="Y48" i="239"/>
  <c r="X48" i="239"/>
  <c r="W48" i="239"/>
  <c r="Y47" i="239"/>
  <c r="X47" i="239"/>
  <c r="W47" i="239"/>
  <c r="Y63" i="239"/>
  <c r="X63" i="239"/>
  <c r="W63" i="239"/>
  <c r="Y61" i="239"/>
  <c r="X61" i="239"/>
  <c r="W61" i="239"/>
  <c r="W59" i="239"/>
  <c r="X59" i="239"/>
  <c r="Y59" i="239"/>
  <c r="Y58" i="239"/>
  <c r="X58" i="239"/>
  <c r="W58" i="239"/>
  <c r="V63" i="239"/>
  <c r="V61" i="239"/>
  <c r="S60" i="239"/>
  <c r="S62" i="239" s="1"/>
  <c r="T60" i="239"/>
  <c r="T62" i="239" s="1"/>
  <c r="U60" i="239"/>
  <c r="U62" i="239" s="1"/>
  <c r="V59" i="239"/>
  <c r="V58" i="239"/>
  <c r="V48" i="239"/>
  <c r="V47" i="239"/>
  <c r="V42" i="239"/>
  <c r="V43" i="239"/>
  <c r="V45" i="239"/>
  <c r="V46" i="239" s="1"/>
  <c r="V40" i="239"/>
  <c r="V39" i="239"/>
  <c r="V34" i="239"/>
  <c r="V35" i="239"/>
  <c r="V36" i="239"/>
  <c r="V30" i="239"/>
  <c r="V32" i="239" s="1"/>
  <c r="V29" i="239"/>
  <c r="V27" i="239"/>
  <c r="V28" i="239" s="1"/>
  <c r="V25" i="239"/>
  <c r="V26" i="239" s="1"/>
  <c r="V22" i="239"/>
  <c r="V21" i="239"/>
  <c r="V19" i="239"/>
  <c r="S37" i="239"/>
  <c r="T37" i="239"/>
  <c r="U37" i="239"/>
  <c r="S28" i="239"/>
  <c r="T28" i="239"/>
  <c r="U28" i="239"/>
  <c r="S26" i="239"/>
  <c r="T26" i="239"/>
  <c r="U26" i="239"/>
  <c r="W26" i="239"/>
  <c r="S23" i="239"/>
  <c r="T23" i="239"/>
  <c r="U23" i="239"/>
  <c r="S18" i="239"/>
  <c r="S20" i="239" s="1"/>
  <c r="T18" i="239"/>
  <c r="T20" i="239" s="1"/>
  <c r="U18" i="239"/>
  <c r="U20" i="239" s="1"/>
  <c r="V18" i="239"/>
  <c r="W18" i="239"/>
  <c r="X18" i="239"/>
  <c r="Y18" i="239"/>
  <c r="Z18" i="239"/>
  <c r="M63" i="239"/>
  <c r="AK63" i="239" s="1"/>
  <c r="L63" i="239"/>
  <c r="K63" i="239"/>
  <c r="M61" i="239"/>
  <c r="L61" i="239"/>
  <c r="K61" i="239"/>
  <c r="M59" i="239"/>
  <c r="L59" i="239"/>
  <c r="K59" i="239"/>
  <c r="M58" i="239"/>
  <c r="L58" i="239"/>
  <c r="K58" i="239"/>
  <c r="M48" i="239"/>
  <c r="L48" i="239"/>
  <c r="K48" i="239"/>
  <c r="M47" i="239"/>
  <c r="L47" i="239"/>
  <c r="K47" i="239"/>
  <c r="M45" i="239"/>
  <c r="M46" i="239" s="1"/>
  <c r="L45" i="239"/>
  <c r="L46" i="239" s="1"/>
  <c r="K45" i="239"/>
  <c r="K46" i="239" s="1"/>
  <c r="M43" i="239"/>
  <c r="L43" i="239"/>
  <c r="K43" i="239"/>
  <c r="M42" i="239"/>
  <c r="L42" i="239"/>
  <c r="K42" i="239"/>
  <c r="M40" i="239"/>
  <c r="L40" i="239"/>
  <c r="K40" i="239"/>
  <c r="M39" i="239"/>
  <c r="L39" i="239"/>
  <c r="K39" i="239"/>
  <c r="M36" i="239"/>
  <c r="L36" i="239"/>
  <c r="K36" i="239"/>
  <c r="M35" i="239"/>
  <c r="L35" i="239"/>
  <c r="K35" i="239"/>
  <c r="M34" i="239"/>
  <c r="L34" i="239"/>
  <c r="K34" i="239"/>
  <c r="M30" i="239"/>
  <c r="M32" i="239" s="1"/>
  <c r="L30" i="239"/>
  <c r="L32" i="239" s="1"/>
  <c r="K30" i="239"/>
  <c r="K32" i="239" s="1"/>
  <c r="M29" i="239"/>
  <c r="L29" i="239"/>
  <c r="K29" i="239"/>
  <c r="M27" i="239"/>
  <c r="L27" i="239"/>
  <c r="K27" i="239"/>
  <c r="M25" i="239"/>
  <c r="L25" i="239"/>
  <c r="K25" i="239"/>
  <c r="AI25" i="239" s="1"/>
  <c r="AI26" i="239" s="1"/>
  <c r="M22" i="239"/>
  <c r="L22" i="239"/>
  <c r="AJ22" i="239" s="1"/>
  <c r="K22" i="239"/>
  <c r="M21" i="239"/>
  <c r="AK21" i="239" s="1"/>
  <c r="L21" i="239"/>
  <c r="K21" i="239"/>
  <c r="M19" i="239"/>
  <c r="L19" i="239"/>
  <c r="K19" i="239"/>
  <c r="K12" i="239"/>
  <c r="L12" i="239"/>
  <c r="AJ12" i="239" s="1"/>
  <c r="M12" i="239"/>
  <c r="AK12" i="239" s="1"/>
  <c r="K13" i="239"/>
  <c r="L13" i="239"/>
  <c r="AJ13" i="239" s="1"/>
  <c r="M13" i="239"/>
  <c r="AK13" i="239" s="1"/>
  <c r="K14" i="239"/>
  <c r="L14" i="239"/>
  <c r="AJ14" i="239" s="1"/>
  <c r="M14" i="239"/>
  <c r="AK14" i="239" s="1"/>
  <c r="K16" i="239"/>
  <c r="L16" i="239"/>
  <c r="AJ16" i="239" s="1"/>
  <c r="M16" i="239"/>
  <c r="AK16" i="239" s="1"/>
  <c r="K17" i="239"/>
  <c r="L17" i="239"/>
  <c r="AJ17" i="239" s="1"/>
  <c r="M17" i="239"/>
  <c r="AK17" i="239" s="1"/>
  <c r="K10" i="239"/>
  <c r="L10" i="239"/>
  <c r="AJ10" i="239" s="1"/>
  <c r="M10" i="239"/>
  <c r="AK10" i="239" s="1"/>
  <c r="K11" i="239"/>
  <c r="AI11" i="239" s="1"/>
  <c r="L11" i="239"/>
  <c r="AJ11" i="239" s="1"/>
  <c r="M11" i="239"/>
  <c r="AK11" i="239" s="1"/>
  <c r="AJ9" i="239"/>
  <c r="AK9" i="239"/>
  <c r="AI9" i="239"/>
  <c r="J63" i="239"/>
  <c r="J61" i="239"/>
  <c r="G60" i="239"/>
  <c r="G62" i="239" s="1"/>
  <c r="H60" i="239"/>
  <c r="H62" i="239" s="1"/>
  <c r="I60" i="239"/>
  <c r="I62" i="239" s="1"/>
  <c r="J59" i="239"/>
  <c r="J58" i="239"/>
  <c r="J48" i="239"/>
  <c r="J47" i="239"/>
  <c r="J42" i="239"/>
  <c r="J43" i="239"/>
  <c r="J45" i="239"/>
  <c r="J46" i="239" s="1"/>
  <c r="J40" i="239"/>
  <c r="J39" i="239"/>
  <c r="J34" i="239"/>
  <c r="J35" i="239"/>
  <c r="J36" i="239"/>
  <c r="J30" i="239"/>
  <c r="J32" i="239" s="1"/>
  <c r="J29" i="239"/>
  <c r="J27" i="239"/>
  <c r="J25" i="239"/>
  <c r="J22" i="239"/>
  <c r="AH22" i="239" s="1"/>
  <c r="J21" i="239"/>
  <c r="J19" i="239"/>
  <c r="J11" i="239"/>
  <c r="J12" i="239"/>
  <c r="AH12" i="239" s="1"/>
  <c r="J13" i="239"/>
  <c r="AH13" i="239" s="1"/>
  <c r="J14" i="239"/>
  <c r="AH14" i="239" s="1"/>
  <c r="J16" i="239"/>
  <c r="AH16" i="239" s="1"/>
  <c r="J17" i="239"/>
  <c r="AH17" i="239" s="1"/>
  <c r="J10" i="239"/>
  <c r="J9" i="239"/>
  <c r="AK22" i="239" l="1"/>
  <c r="U50" i="239"/>
  <c r="AI47" i="239"/>
  <c r="AI45" i="239"/>
  <c r="AI46" i="239" s="1"/>
  <c r="AG62" i="239"/>
  <c r="AH48" i="239"/>
  <c r="AJ21" i="239"/>
  <c r="AJ23" i="239" s="1"/>
  <c r="AJ48" i="239"/>
  <c r="W23" i="239"/>
  <c r="AI59" i="239"/>
  <c r="U33" i="239"/>
  <c r="AI63" i="239"/>
  <c r="T50" i="239"/>
  <c r="W60" i="239"/>
  <c r="W62" i="239" s="1"/>
  <c r="X23" i="239"/>
  <c r="X50" i="239" s="1"/>
  <c r="AI34" i="239"/>
  <c r="AJ63" i="239"/>
  <c r="J60" i="239"/>
  <c r="AJ58" i="239"/>
  <c r="AI22" i="239"/>
  <c r="S50" i="239"/>
  <c r="AH19" i="239"/>
  <c r="AH47" i="239"/>
  <c r="AK45" i="239"/>
  <c r="AK46" i="239" s="1"/>
  <c r="AI48" i="239"/>
  <c r="J62" i="239"/>
  <c r="J57" i="239" s="1"/>
  <c r="Z59" i="239"/>
  <c r="T33" i="239"/>
  <c r="X20" i="239"/>
  <c r="Z25" i="239"/>
  <c r="Z26" i="239" s="1"/>
  <c r="V23" i="239"/>
  <c r="AH59" i="239"/>
  <c r="AF60" i="239"/>
  <c r="AF62" i="239" s="1"/>
  <c r="AH40" i="239"/>
  <c r="V20" i="239"/>
  <c r="V60" i="239"/>
  <c r="V62" i="239" s="1"/>
  <c r="V57" i="239" s="1"/>
  <c r="S33" i="239"/>
  <c r="S38" i="239" s="1"/>
  <c r="AJ40" i="239"/>
  <c r="AK19" i="239"/>
  <c r="AJ45" i="239"/>
  <c r="AJ46" i="239" s="1"/>
  <c r="AK61" i="239"/>
  <c r="AK62" i="239" s="1"/>
  <c r="AK39" i="239"/>
  <c r="Y37" i="239"/>
  <c r="AJ30" i="239"/>
  <c r="AJ32" i="239" s="1"/>
  <c r="AF18" i="239"/>
  <c r="AF20" i="239" s="1"/>
  <c r="AG23" i="239"/>
  <c r="AG50" i="239" s="1"/>
  <c r="AH43" i="239"/>
  <c r="N61" i="239"/>
  <c r="AJ43" i="239"/>
  <c r="W37" i="239"/>
  <c r="AJ29" i="239"/>
  <c r="AE23" i="239"/>
  <c r="AE50" i="239" s="1"/>
  <c r="AJ19" i="239"/>
  <c r="AK43" i="239"/>
  <c r="AJ36" i="239"/>
  <c r="AK29" i="239"/>
  <c r="Z27" i="239"/>
  <c r="Z28" i="239" s="1"/>
  <c r="Z19" i="239"/>
  <c r="Z20" i="239" s="1"/>
  <c r="AJ25" i="239"/>
  <c r="AJ26" i="239" s="1"/>
  <c r="AH63" i="239"/>
  <c r="AK18" i="239"/>
  <c r="N25" i="239"/>
  <c r="N34" i="239"/>
  <c r="AI36" i="239"/>
  <c r="N43" i="239"/>
  <c r="AJ59" i="239"/>
  <c r="AL59" i="239" s="1"/>
  <c r="Z58" i="239"/>
  <c r="Z61" i="239"/>
  <c r="Z63" i="239"/>
  <c r="AK42" i="239"/>
  <c r="AJ35" i="239"/>
  <c r="Z22" i="239"/>
  <c r="Z21" i="239"/>
  <c r="AK25" i="239"/>
  <c r="AK26" i="239" s="1"/>
  <c r="AJ27" i="239"/>
  <c r="AJ28" i="239" s="1"/>
  <c r="AH21" i="239"/>
  <c r="AH45" i="239"/>
  <c r="AH46" i="239" s="1"/>
  <c r="AI21" i="239"/>
  <c r="AI27" i="239"/>
  <c r="AI28" i="239" s="1"/>
  <c r="AJ61" i="239"/>
  <c r="Z48" i="239"/>
  <c r="AK40" i="239"/>
  <c r="Z43" i="239"/>
  <c r="AJ34" i="239"/>
  <c r="AK35" i="239"/>
  <c r="Z29" i="239"/>
  <c r="AK30" i="239"/>
  <c r="AK32" i="239" s="1"/>
  <c r="W20" i="239"/>
  <c r="AG18" i="239"/>
  <c r="AG20" i="239" s="1"/>
  <c r="AK27" i="239"/>
  <c r="AK28" i="239" s="1"/>
  <c r="K60" i="239"/>
  <c r="K62" i="239" s="1"/>
  <c r="AJ47" i="239"/>
  <c r="N47" i="239"/>
  <c r="AI40" i="239"/>
  <c r="AJ39" i="239"/>
  <c r="N30" i="239"/>
  <c r="N32" i="239" s="1"/>
  <c r="N27" i="239"/>
  <c r="N19" i="239"/>
  <c r="AI19" i="239"/>
  <c r="N16" i="239"/>
  <c r="AL16" i="239" s="1"/>
  <c r="AF23" i="239"/>
  <c r="AF50" i="239" s="1"/>
  <c r="AJ18" i="239"/>
  <c r="AK23" i="239"/>
  <c r="AH29" i="239"/>
  <c r="AG33" i="239"/>
  <c r="AH30" i="239"/>
  <c r="AH32" i="239" s="1"/>
  <c r="AF37" i="239"/>
  <c r="AI58" i="239"/>
  <c r="AI61" i="239"/>
  <c r="L60" i="239"/>
  <c r="L62" i="239" s="1"/>
  <c r="N17" i="239"/>
  <c r="AL17" i="239" s="1"/>
  <c r="N12" i="239"/>
  <c r="AL12" i="239" s="1"/>
  <c r="N42" i="239"/>
  <c r="X37" i="239"/>
  <c r="Z47" i="239"/>
  <c r="Z36" i="239"/>
  <c r="AG37" i="239"/>
  <c r="AG38" i="239" s="1"/>
  <c r="AH34" i="239"/>
  <c r="AH36" i="239"/>
  <c r="AI43" i="239"/>
  <c r="AE60" i="239"/>
  <c r="AE62" i="239" s="1"/>
  <c r="N10" i="239"/>
  <c r="N13" i="239"/>
  <c r="AL13" i="239" s="1"/>
  <c r="N29" i="239"/>
  <c r="N36" i="239"/>
  <c r="N40" i="239"/>
  <c r="N58" i="239"/>
  <c r="Z40" i="239"/>
  <c r="Z35" i="239"/>
  <c r="Z30" i="239"/>
  <c r="Z32" i="239" s="1"/>
  <c r="AI10" i="239"/>
  <c r="AL10" i="239" s="1"/>
  <c r="AK34" i="239"/>
  <c r="AI35" i="239"/>
  <c r="AK36" i="239"/>
  <c r="N11" i="239"/>
  <c r="N14" i="239"/>
  <c r="AL14" i="239" s="1"/>
  <c r="N21" i="239"/>
  <c r="N35" i="239"/>
  <c r="N39" i="239"/>
  <c r="N45" i="239"/>
  <c r="N46" i="239" s="1"/>
  <c r="N48" i="239"/>
  <c r="N59" i="239"/>
  <c r="V37" i="239"/>
  <c r="Z39" i="239"/>
  <c r="Z45" i="239"/>
  <c r="Z46" i="239" s="1"/>
  <c r="Z34" i="239"/>
  <c r="AH10" i="239"/>
  <c r="AI12" i="239"/>
  <c r="AI13" i="239"/>
  <c r="AI14" i="239"/>
  <c r="AI16" i="239"/>
  <c r="AI17" i="239"/>
  <c r="AI29" i="239"/>
  <c r="AI30" i="239"/>
  <c r="AI32" i="239" s="1"/>
  <c r="AI39" i="239"/>
  <c r="AK47" i="239"/>
  <c r="AK48" i="239"/>
  <c r="AH58" i="239"/>
  <c r="N63" i="239"/>
  <c r="N22" i="239"/>
  <c r="AH23" i="239"/>
  <c r="AH9" i="239"/>
  <c r="AH11" i="239"/>
  <c r="AH25" i="239"/>
  <c r="AH26" i="239" s="1"/>
  <c r="AH27" i="239"/>
  <c r="AH28" i="239" s="1"/>
  <c r="AE33" i="239"/>
  <c r="AH35" i="239"/>
  <c r="AE37" i="239"/>
  <c r="AH39" i="239"/>
  <c r="AH42" i="239"/>
  <c r="AH61" i="239"/>
  <c r="AF33" i="239"/>
  <c r="AF38" i="239" s="1"/>
  <c r="AE18" i="239"/>
  <c r="AE20" i="239" s="1"/>
  <c r="AL9" i="239"/>
  <c r="AL11" i="239"/>
  <c r="Y20" i="239"/>
  <c r="Y23" i="239"/>
  <c r="Y50" i="239" s="1"/>
  <c r="X26" i="239"/>
  <c r="X28" i="239"/>
  <c r="W50" i="239"/>
  <c r="Y33" i="239"/>
  <c r="W33" i="239"/>
  <c r="W38" i="239" s="1"/>
  <c r="X60" i="239"/>
  <c r="X62" i="239" s="1"/>
  <c r="Y60" i="239"/>
  <c r="Y62" i="239" s="1"/>
  <c r="V50" i="239"/>
  <c r="V33" i="239"/>
  <c r="N9" i="239"/>
  <c r="M60" i="239"/>
  <c r="M62" i="239" s="1"/>
  <c r="T38" i="239" l="1"/>
  <c r="T49" i="239" s="1"/>
  <c r="T51" i="239" s="1"/>
  <c r="V38" i="239"/>
  <c r="U38" i="239"/>
  <c r="U49" i="239" s="1"/>
  <c r="U51" i="239" s="1"/>
  <c r="Y38" i="239"/>
  <c r="Y49" i="239" s="1"/>
  <c r="Y51" i="239" s="1"/>
  <c r="AE38" i="239"/>
  <c r="AE49" i="239" s="1"/>
  <c r="AE51" i="239" s="1"/>
  <c r="AL25" i="239"/>
  <c r="AL26" i="239" s="1"/>
  <c r="AH60" i="239"/>
  <c r="AH62" i="239" s="1"/>
  <c r="AH57" i="239" s="1"/>
  <c r="AL36" i="239"/>
  <c r="AH50" i="239"/>
  <c r="AL21" i="239"/>
  <c r="AL63" i="239"/>
  <c r="AL29" i="239"/>
  <c r="AI23" i="239"/>
  <c r="AI50" i="239" s="1"/>
  <c r="Z23" i="239"/>
  <c r="Z50" i="239" s="1"/>
  <c r="AL22" i="239"/>
  <c r="AJ60" i="239"/>
  <c r="AJ62" i="239" s="1"/>
  <c r="AL43" i="239"/>
  <c r="W49" i="239"/>
  <c r="W51" i="239" s="1"/>
  <c r="AF49" i="239"/>
  <c r="AF51" i="239" s="1"/>
  <c r="AL40" i="239"/>
  <c r="AL61" i="239"/>
  <c r="Z60" i="239"/>
  <c r="Z62" i="239" s="1"/>
  <c r="Z57" i="239" s="1"/>
  <c r="AL34" i="239"/>
  <c r="AL35" i="239"/>
  <c r="AJ50" i="239"/>
  <c r="AK20" i="239"/>
  <c r="V49" i="239"/>
  <c r="V51" i="239" s="1"/>
  <c r="V54" i="239" s="1"/>
  <c r="AG49" i="239"/>
  <c r="AG51" i="239" s="1"/>
  <c r="AI18" i="239"/>
  <c r="AI20" i="239" s="1"/>
  <c r="S49" i="239"/>
  <c r="S51" i="239" s="1"/>
  <c r="AJ33" i="239"/>
  <c r="AL45" i="239"/>
  <c r="AL46" i="239" s="1"/>
  <c r="AJ37" i="239"/>
  <c r="X33" i="239"/>
  <c r="X38" i="239" s="1"/>
  <c r="AL39" i="239"/>
  <c r="AJ20" i="239"/>
  <c r="AL47" i="239"/>
  <c r="AL48" i="239"/>
  <c r="AL19" i="239"/>
  <c r="AL27" i="239"/>
  <c r="AL28" i="239" s="1"/>
  <c r="Z37" i="239"/>
  <c r="AK50" i="239"/>
  <c r="AL30" i="239"/>
  <c r="AL32" i="239" s="1"/>
  <c r="Z33" i="239"/>
  <c r="AI37" i="239"/>
  <c r="AL58" i="239"/>
  <c r="AL60" i="239" s="1"/>
  <c r="AI60" i="239"/>
  <c r="AI62" i="239" s="1"/>
  <c r="AK33" i="239"/>
  <c r="AH33" i="239"/>
  <c r="AH38" i="239" s="1"/>
  <c r="N60" i="239"/>
  <c r="AK37" i="239"/>
  <c r="AK38" i="239" s="1"/>
  <c r="AI33" i="239"/>
  <c r="AL18" i="239"/>
  <c r="AH37" i="239"/>
  <c r="AH18" i="239"/>
  <c r="AH20" i="239" s="1"/>
  <c r="AJ38" i="239" l="1"/>
  <c r="Z38" i="239"/>
  <c r="AI38" i="239"/>
  <c r="AL23" i="239"/>
  <c r="AL50" i="239" s="1"/>
  <c r="AL37" i="239"/>
  <c r="AI49" i="239"/>
  <c r="AI51" i="239" s="1"/>
  <c r="AH49" i="239"/>
  <c r="AH51" i="239" s="1"/>
  <c r="AH54" i="239" s="1"/>
  <c r="Z49" i="239"/>
  <c r="Z51" i="239" s="1"/>
  <c r="Z54" i="239" s="1"/>
  <c r="AJ49" i="239"/>
  <c r="AJ51" i="239" s="1"/>
  <c r="X49" i="239"/>
  <c r="X51" i="239" s="1"/>
  <c r="AK49" i="239"/>
  <c r="AK51" i="239" s="1"/>
  <c r="AL33" i="239"/>
  <c r="AL20" i="239"/>
  <c r="N62" i="239"/>
  <c r="N57" i="239" s="1"/>
  <c r="AL62" i="239"/>
  <c r="AL57" i="239" s="1"/>
  <c r="G37" i="239"/>
  <c r="H37" i="239"/>
  <c r="I37" i="239"/>
  <c r="J37" i="239"/>
  <c r="K37" i="239"/>
  <c r="L37" i="239"/>
  <c r="M37" i="239"/>
  <c r="N37" i="239"/>
  <c r="G28" i="239"/>
  <c r="G33" i="239" s="1"/>
  <c r="H28" i="239"/>
  <c r="H33" i="239" s="1"/>
  <c r="I28" i="239"/>
  <c r="J28" i="239"/>
  <c r="K28" i="239"/>
  <c r="L28" i="239"/>
  <c r="M28" i="239"/>
  <c r="N28" i="239"/>
  <c r="G26" i="239"/>
  <c r="H26" i="239"/>
  <c r="H38" i="239" s="1"/>
  <c r="I26" i="239"/>
  <c r="J26" i="239"/>
  <c r="K26" i="239"/>
  <c r="L26" i="239"/>
  <c r="M26" i="239"/>
  <c r="N26" i="239"/>
  <c r="G23" i="239"/>
  <c r="H23" i="239"/>
  <c r="I23" i="239"/>
  <c r="J23" i="239"/>
  <c r="K23" i="239"/>
  <c r="L23" i="239"/>
  <c r="M23" i="239"/>
  <c r="N23" i="239"/>
  <c r="G18" i="239"/>
  <c r="G20" i="239" s="1"/>
  <c r="H18" i="239"/>
  <c r="H20" i="239" s="1"/>
  <c r="I18" i="239"/>
  <c r="I20" i="239" s="1"/>
  <c r="J18" i="239"/>
  <c r="J20" i="239" s="1"/>
  <c r="K18" i="239"/>
  <c r="K20" i="239" s="1"/>
  <c r="L18" i="239"/>
  <c r="L20" i="239" s="1"/>
  <c r="M18" i="239"/>
  <c r="M20" i="239" s="1"/>
  <c r="N18" i="239"/>
  <c r="N20" i="239" s="1"/>
  <c r="G38" i="239" l="1"/>
  <c r="AL38" i="239"/>
  <c r="AL49" i="239" s="1"/>
  <c r="AL51" i="239" s="1"/>
  <c r="AL54" i="239" s="1"/>
  <c r="G49" i="239"/>
  <c r="H49" i="239"/>
  <c r="H50" i="239"/>
  <c r="M33" i="239"/>
  <c r="I33" i="239"/>
  <c r="I38" i="239" s="1"/>
  <c r="K33" i="239"/>
  <c r="K38" i="239" s="1"/>
  <c r="K50" i="239"/>
  <c r="G50" i="239"/>
  <c r="N50" i="239"/>
  <c r="N33" i="239"/>
  <c r="N38" i="239" s="1"/>
  <c r="J33" i="239"/>
  <c r="J38" i="239" s="1"/>
  <c r="I50" i="239"/>
  <c r="L50" i="239"/>
  <c r="L33" i="239"/>
  <c r="L38" i="239" s="1"/>
  <c r="M50" i="239"/>
  <c r="J50" i="239"/>
  <c r="W9" i="240"/>
  <c r="AH26" i="240"/>
  <c r="AE9" i="240"/>
  <c r="M38" i="239" l="1"/>
  <c r="M49" i="239" s="1"/>
  <c r="M51" i="239" s="1"/>
  <c r="H51" i="239"/>
  <c r="I49" i="239"/>
  <c r="I51" i="239" s="1"/>
  <c r="K49" i="239"/>
  <c r="K51" i="239" s="1"/>
  <c r="J49" i="239"/>
  <c r="J51" i="239" s="1"/>
  <c r="J54" i="239" s="1"/>
  <c r="L49" i="239"/>
  <c r="L51" i="239" s="1"/>
  <c r="N49" i="239"/>
  <c r="N51" i="239" s="1"/>
  <c r="N54" i="239" s="1"/>
  <c r="G51" i="239"/>
  <c r="AG23" i="240"/>
  <c r="AG25" i="240" s="1"/>
  <c r="AF23" i="240"/>
  <c r="AF25" i="240" s="1"/>
  <c r="AE23" i="240"/>
  <c r="AG20" i="240"/>
  <c r="AF20" i="240"/>
  <c r="AE20" i="240"/>
  <c r="AG19" i="240"/>
  <c r="AF19" i="240"/>
  <c r="AG17" i="240"/>
  <c r="AF17" i="240"/>
  <c r="AE17" i="240"/>
  <c r="AG16" i="240"/>
  <c r="AF16" i="240"/>
  <c r="AE16" i="240"/>
  <c r="AG15" i="240"/>
  <c r="AF15" i="240"/>
  <c r="AE15" i="240"/>
  <c r="AG13" i="240"/>
  <c r="AF13" i="240"/>
  <c r="AE13" i="240"/>
  <c r="AG12" i="240"/>
  <c r="AF12" i="240"/>
  <c r="AE12" i="240"/>
  <c r="AG11" i="240"/>
  <c r="AF11" i="240"/>
  <c r="AE11" i="240"/>
  <c r="AG10" i="240"/>
  <c r="AF10" i="240"/>
  <c r="AE10" i="240"/>
  <c r="AG9" i="240"/>
  <c r="AF9" i="240"/>
  <c r="Y23" i="240"/>
  <c r="X23" i="240"/>
  <c r="W23" i="240"/>
  <c r="V23" i="240"/>
  <c r="Y20" i="240"/>
  <c r="X20" i="240"/>
  <c r="W20" i="240"/>
  <c r="Y19" i="240"/>
  <c r="X19" i="240"/>
  <c r="W19" i="240"/>
  <c r="Y17" i="240"/>
  <c r="X17" i="240"/>
  <c r="W17" i="240"/>
  <c r="Y16" i="240"/>
  <c r="X16" i="240"/>
  <c r="W16" i="240"/>
  <c r="Y15" i="240"/>
  <c r="X15" i="240"/>
  <c r="W15" i="240"/>
  <c r="W11" i="240"/>
  <c r="X11" i="240"/>
  <c r="Y11" i="240"/>
  <c r="W12" i="240"/>
  <c r="X12" i="240"/>
  <c r="Y12" i="240"/>
  <c r="W13" i="240"/>
  <c r="X13" i="240"/>
  <c r="Y13" i="240"/>
  <c r="Y10" i="240"/>
  <c r="X10" i="240"/>
  <c r="W10" i="240"/>
  <c r="Y9" i="240"/>
  <c r="X9" i="240"/>
  <c r="V20" i="240"/>
  <c r="V19" i="240"/>
  <c r="V17" i="240"/>
  <c r="V16" i="240"/>
  <c r="V15" i="240"/>
  <c r="V11" i="240"/>
  <c r="V12" i="240"/>
  <c r="V13" i="240"/>
  <c r="V10" i="240"/>
  <c r="V9" i="240"/>
  <c r="Z26" i="240"/>
  <c r="AL26" i="240" s="1"/>
  <c r="S21" i="240"/>
  <c r="T21" i="240"/>
  <c r="U21" i="240"/>
  <c r="S18" i="240"/>
  <c r="T18" i="240"/>
  <c r="U18" i="240"/>
  <c r="S14" i="240"/>
  <c r="T14" i="240"/>
  <c r="U14" i="240"/>
  <c r="M23" i="240"/>
  <c r="L23" i="240"/>
  <c r="K23" i="240"/>
  <c r="J23" i="240"/>
  <c r="M20" i="240"/>
  <c r="L20" i="240"/>
  <c r="K20" i="240"/>
  <c r="M19" i="240"/>
  <c r="L19" i="240"/>
  <c r="K19" i="240"/>
  <c r="M17" i="240"/>
  <c r="L17" i="240"/>
  <c r="K17" i="240"/>
  <c r="M16" i="240"/>
  <c r="L16" i="240"/>
  <c r="K16" i="240"/>
  <c r="M15" i="240"/>
  <c r="L15" i="240"/>
  <c r="K15" i="240"/>
  <c r="K11" i="240"/>
  <c r="L11" i="240"/>
  <c r="M11" i="240"/>
  <c r="K12" i="240"/>
  <c r="L12" i="240"/>
  <c r="M12" i="240"/>
  <c r="K13" i="240"/>
  <c r="L13" i="240"/>
  <c r="M13" i="240"/>
  <c r="L10" i="240"/>
  <c r="M10" i="240"/>
  <c r="M9" i="240"/>
  <c r="L9" i="240"/>
  <c r="K10" i="240"/>
  <c r="K9" i="240"/>
  <c r="AI9" i="240" s="1"/>
  <c r="J20" i="240"/>
  <c r="J19" i="240"/>
  <c r="J16" i="240"/>
  <c r="J17" i="240"/>
  <c r="J15" i="240"/>
  <c r="J11" i="240"/>
  <c r="J12" i="240"/>
  <c r="J13" i="240"/>
  <c r="J10" i="240"/>
  <c r="G21" i="240"/>
  <c r="G18" i="240"/>
  <c r="H18" i="240"/>
  <c r="I18" i="240"/>
  <c r="G14" i="240"/>
  <c r="H14" i="240"/>
  <c r="I14" i="240"/>
  <c r="J9" i="240"/>
  <c r="J21" i="240" l="1"/>
  <c r="X25" i="240"/>
  <c r="V25" i="240"/>
  <c r="X21" i="240"/>
  <c r="W25" i="240"/>
  <c r="Y25" i="240"/>
  <c r="Z20" i="240"/>
  <c r="V21" i="240"/>
  <c r="AI19" i="240"/>
  <c r="U22" i="240"/>
  <c r="J25" i="240"/>
  <c r="AJ17" i="240"/>
  <c r="AJ16" i="240"/>
  <c r="AJ12" i="240"/>
  <c r="AI13" i="240"/>
  <c r="AI11" i="240"/>
  <c r="L25" i="240"/>
  <c r="K21" i="240"/>
  <c r="M21" i="240"/>
  <c r="AH23" i="240"/>
  <c r="I22" i="240"/>
  <c r="AE21" i="240"/>
  <c r="T22" i="240"/>
  <c r="AE18" i="240"/>
  <c r="AK15" i="240"/>
  <c r="Z23" i="240"/>
  <c r="AG18" i="240"/>
  <c r="M25" i="240"/>
  <c r="W21" i="240"/>
  <c r="K25" i="240"/>
  <c r="AG21" i="240"/>
  <c r="AE25" i="240"/>
  <c r="S22" i="240"/>
  <c r="AK16" i="240"/>
  <c r="AJ15" i="240"/>
  <c r="X18" i="240"/>
  <c r="AI16" i="240"/>
  <c r="AI12" i="240"/>
  <c r="W14" i="240"/>
  <c r="N10" i="240"/>
  <c r="AJ23" i="240"/>
  <c r="AI17" i="240"/>
  <c r="N13" i="240"/>
  <c r="AE14" i="240"/>
  <c r="AH13" i="240"/>
  <c r="AJ10" i="240"/>
  <c r="AK11" i="240"/>
  <c r="N11" i="240"/>
  <c r="AJ9" i="240"/>
  <c r="AK10" i="240"/>
  <c r="AK12" i="240"/>
  <c r="AK9" i="240"/>
  <c r="AK13" i="240"/>
  <c r="L21" i="240"/>
  <c r="N12" i="240"/>
  <c r="Z12" i="240"/>
  <c r="W18" i="240"/>
  <c r="Z17" i="240"/>
  <c r="AH16" i="240"/>
  <c r="AK19" i="240"/>
  <c r="AI20" i="240"/>
  <c r="AI23" i="240"/>
  <c r="Z13" i="240"/>
  <c r="Z16" i="240"/>
  <c r="AG14" i="240"/>
  <c r="AF18" i="240"/>
  <c r="AH17" i="240"/>
  <c r="AK17" i="240"/>
  <c r="AF21" i="240"/>
  <c r="AH20" i="240"/>
  <c r="AJ20" i="240"/>
  <c r="AJ13" i="240"/>
  <c r="AK20" i="240"/>
  <c r="AK23" i="240"/>
  <c r="AJ19" i="240"/>
  <c r="N20" i="240"/>
  <c r="N23" i="240"/>
  <c r="Y21" i="240"/>
  <c r="N17" i="240"/>
  <c r="L18" i="240"/>
  <c r="N15" i="240"/>
  <c r="H22" i="240"/>
  <c r="AJ11" i="240"/>
  <c r="AH11" i="240"/>
  <c r="G22" i="240"/>
  <c r="J14" i="240"/>
  <c r="N9" i="240"/>
  <c r="K18" i="240"/>
  <c r="N16" i="240"/>
  <c r="V18" i="240"/>
  <c r="Z15" i="240"/>
  <c r="AI15" i="240"/>
  <c r="Z10" i="240"/>
  <c r="V14" i="240"/>
  <c r="Z11" i="240"/>
  <c r="AF14" i="240"/>
  <c r="AI10" i="240"/>
  <c r="Z9" i="240"/>
  <c r="Y14" i="240"/>
  <c r="AH10" i="240"/>
  <c r="AH12" i="240"/>
  <c r="AH9" i="240"/>
  <c r="AH15" i="240"/>
  <c r="AH19" i="240"/>
  <c r="Z25" i="240"/>
  <c r="Y18" i="240"/>
  <c r="Z19" i="240"/>
  <c r="X14" i="240"/>
  <c r="N19" i="240"/>
  <c r="M18" i="240"/>
  <c r="L14" i="240"/>
  <c r="M14" i="240"/>
  <c r="K14" i="240"/>
  <c r="J18" i="240"/>
  <c r="I47" i="261"/>
  <c r="J42" i="261"/>
  <c r="J43" i="261"/>
  <c r="J45" i="261"/>
  <c r="J46" i="261" s="1"/>
  <c r="J40" i="261"/>
  <c r="I42" i="261"/>
  <c r="I43" i="261"/>
  <c r="I45" i="261"/>
  <c r="I46" i="261" s="1"/>
  <c r="I40" i="261"/>
  <c r="J39" i="261"/>
  <c r="I39" i="261"/>
  <c r="J19" i="261"/>
  <c r="I19" i="261"/>
  <c r="J61" i="261"/>
  <c r="I61" i="261"/>
  <c r="H61" i="261"/>
  <c r="H48" i="261"/>
  <c r="H47" i="261"/>
  <c r="E48" i="261"/>
  <c r="E47" i="261"/>
  <c r="H42" i="261"/>
  <c r="H43" i="261"/>
  <c r="H45" i="261"/>
  <c r="H46" i="261" s="1"/>
  <c r="H40" i="261"/>
  <c r="H39" i="261"/>
  <c r="E42" i="261"/>
  <c r="E43" i="261"/>
  <c r="E45" i="261"/>
  <c r="E46" i="261" s="1"/>
  <c r="E40" i="261"/>
  <c r="E39" i="261"/>
  <c r="H34" i="261"/>
  <c r="H35" i="261"/>
  <c r="H36" i="261"/>
  <c r="E34" i="261"/>
  <c r="E35" i="261"/>
  <c r="E36" i="261"/>
  <c r="E30" i="261"/>
  <c r="E32" i="261" s="1"/>
  <c r="H30" i="261"/>
  <c r="H32" i="261" s="1"/>
  <c r="H29" i="261"/>
  <c r="E29" i="261"/>
  <c r="E27" i="261"/>
  <c r="H27" i="261"/>
  <c r="H28" i="261" s="1"/>
  <c r="H25" i="261"/>
  <c r="H26" i="261" s="1"/>
  <c r="E25" i="261"/>
  <c r="E26" i="261" s="1"/>
  <c r="H22" i="261"/>
  <c r="H21" i="261"/>
  <c r="E22" i="261"/>
  <c r="E21" i="261"/>
  <c r="H19" i="261"/>
  <c r="E19" i="261"/>
  <c r="H11" i="261"/>
  <c r="H12" i="261"/>
  <c r="H13" i="261"/>
  <c r="H14" i="261"/>
  <c r="H16" i="261"/>
  <c r="H17" i="261"/>
  <c r="H10" i="261"/>
  <c r="H9" i="261"/>
  <c r="K11" i="261"/>
  <c r="K12" i="261"/>
  <c r="E13" i="261"/>
  <c r="K13" i="261" s="1"/>
  <c r="E14" i="261"/>
  <c r="K16" i="261"/>
  <c r="E17" i="261"/>
  <c r="E10" i="261"/>
  <c r="E9" i="261"/>
  <c r="H60" i="261"/>
  <c r="G60" i="261"/>
  <c r="G62" i="261" s="1"/>
  <c r="E60" i="261"/>
  <c r="E62" i="261" s="1"/>
  <c r="D60" i="261"/>
  <c r="D62" i="261" s="1"/>
  <c r="D37" i="261"/>
  <c r="G37" i="261"/>
  <c r="D28" i="261"/>
  <c r="G28" i="261"/>
  <c r="D26" i="261"/>
  <c r="G26" i="261"/>
  <c r="D23" i="261"/>
  <c r="F50" i="261"/>
  <c r="G23" i="261"/>
  <c r="D18" i="261"/>
  <c r="D20" i="261" s="1"/>
  <c r="G18" i="261"/>
  <c r="G20" i="261" s="1"/>
  <c r="J48" i="261"/>
  <c r="J47" i="261"/>
  <c r="J36" i="261"/>
  <c r="J35" i="261"/>
  <c r="J34" i="261"/>
  <c r="J30" i="261"/>
  <c r="J32" i="261" s="1"/>
  <c r="J29" i="261"/>
  <c r="J27" i="261"/>
  <c r="J28" i="261" s="1"/>
  <c r="J25" i="261"/>
  <c r="J26" i="261" s="1"/>
  <c r="J22" i="261"/>
  <c r="J21" i="261"/>
  <c r="J17" i="261"/>
  <c r="J16" i="261"/>
  <c r="J14" i="261"/>
  <c r="J13" i="261"/>
  <c r="J12" i="261"/>
  <c r="J11" i="261"/>
  <c r="J10" i="261"/>
  <c r="J9" i="261"/>
  <c r="J25" i="260"/>
  <c r="I25" i="260"/>
  <c r="H20" i="260"/>
  <c r="H19" i="260"/>
  <c r="H16" i="260"/>
  <c r="H17" i="260"/>
  <c r="H15" i="260"/>
  <c r="H11" i="260"/>
  <c r="H12" i="260"/>
  <c r="H13" i="260"/>
  <c r="H10" i="260"/>
  <c r="H9" i="260"/>
  <c r="K26" i="260"/>
  <c r="H25" i="260"/>
  <c r="H63" i="261" s="1"/>
  <c r="E23" i="260"/>
  <c r="E20" i="260"/>
  <c r="E19" i="260"/>
  <c r="E17" i="260"/>
  <c r="E16" i="260"/>
  <c r="E15" i="260"/>
  <c r="E10" i="260"/>
  <c r="E11" i="260"/>
  <c r="E12" i="260"/>
  <c r="E13" i="260"/>
  <c r="E9" i="260"/>
  <c r="G25" i="260"/>
  <c r="G63" i="261" s="1"/>
  <c r="G21" i="260"/>
  <c r="D21" i="260"/>
  <c r="G18" i="260"/>
  <c r="D18" i="260"/>
  <c r="G14" i="260"/>
  <c r="D14" i="260"/>
  <c r="J26" i="260"/>
  <c r="J20" i="260"/>
  <c r="J19" i="260"/>
  <c r="J17" i="260"/>
  <c r="J16" i="260"/>
  <c r="J15" i="260"/>
  <c r="J13" i="260"/>
  <c r="J12" i="260"/>
  <c r="J11" i="260"/>
  <c r="J10" i="260"/>
  <c r="J9" i="260"/>
  <c r="Z21" i="240" l="1"/>
  <c r="K10" i="261"/>
  <c r="K61" i="261"/>
  <c r="H62" i="261"/>
  <c r="H57" i="261" s="1"/>
  <c r="K14" i="261"/>
  <c r="K35" i="261"/>
  <c r="AG22" i="240"/>
  <c r="AH25" i="240"/>
  <c r="AH21" i="240"/>
  <c r="AI25" i="240"/>
  <c r="AL23" i="240"/>
  <c r="AK25" i="240"/>
  <c r="N25" i="240"/>
  <c r="AI21" i="240"/>
  <c r="N21" i="240"/>
  <c r="AH18" i="240"/>
  <c r="AL9" i="240"/>
  <c r="G57" i="261"/>
  <c r="H23" i="261"/>
  <c r="H50" i="261" s="1"/>
  <c r="K22" i="261"/>
  <c r="AJ18" i="240"/>
  <c r="X22" i="240"/>
  <c r="AL12" i="240"/>
  <c r="AL13" i="240"/>
  <c r="AL15" i="240"/>
  <c r="AJ25" i="240"/>
  <c r="AJ21" i="240"/>
  <c r="D33" i="261"/>
  <c r="G33" i="261"/>
  <c r="G38" i="261" s="1"/>
  <c r="AE22" i="240"/>
  <c r="H21" i="260"/>
  <c r="G50" i="261"/>
  <c r="K27" i="261"/>
  <c r="K28" i="261" s="1"/>
  <c r="AK18" i="240"/>
  <c r="AL16" i="240"/>
  <c r="K9" i="260"/>
  <c r="E25" i="260"/>
  <c r="E63" i="261" s="1"/>
  <c r="K16" i="260"/>
  <c r="K12" i="260"/>
  <c r="D57" i="261"/>
  <c r="J60" i="261"/>
  <c r="J62" i="261" s="1"/>
  <c r="K30" i="261"/>
  <c r="K32" i="261" s="1"/>
  <c r="K40" i="261"/>
  <c r="K60" i="261"/>
  <c r="D50" i="261"/>
  <c r="K29" i="261"/>
  <c r="K48" i="261"/>
  <c r="H33" i="261"/>
  <c r="K25" i="261"/>
  <c r="K26" i="261" s="1"/>
  <c r="K34" i="261"/>
  <c r="K47" i="261"/>
  <c r="K45" i="261"/>
  <c r="K46" i="261" s="1"/>
  <c r="K43" i="261"/>
  <c r="K42" i="261"/>
  <c r="K39" i="261"/>
  <c r="K36" i="261"/>
  <c r="E37" i="261"/>
  <c r="E23" i="261"/>
  <c r="E50" i="261" s="1"/>
  <c r="K21" i="261"/>
  <c r="K19" i="261"/>
  <c r="W22" i="240"/>
  <c r="AK14" i="240"/>
  <c r="AL17" i="240"/>
  <c r="Z18" i="240"/>
  <c r="N18" i="240"/>
  <c r="AI18" i="240"/>
  <c r="AL11" i="240"/>
  <c r="AJ14" i="240"/>
  <c r="AL10" i="240"/>
  <c r="AL19" i="240"/>
  <c r="N14" i="240"/>
  <c r="AK21" i="240"/>
  <c r="V22" i="240"/>
  <c r="V55" i="239" s="1"/>
  <c r="V53" i="239" s="1"/>
  <c r="V64" i="239" s="1"/>
  <c r="AF22" i="240"/>
  <c r="AL20" i="240"/>
  <c r="K17" i="261"/>
  <c r="J23" i="261"/>
  <c r="J50" i="261" s="1"/>
  <c r="J33" i="261"/>
  <c r="J37" i="261"/>
  <c r="H18" i="261"/>
  <c r="H20" i="261" s="1"/>
  <c r="H37" i="261"/>
  <c r="H38" i="261" s="1"/>
  <c r="H18" i="260"/>
  <c r="G22" i="260"/>
  <c r="G55" i="261" s="1"/>
  <c r="J18" i="261"/>
  <c r="J20" i="261" s="1"/>
  <c r="L22" i="240"/>
  <c r="J22" i="240"/>
  <c r="J55" i="239" s="1"/>
  <c r="K22" i="240"/>
  <c r="K20" i="260"/>
  <c r="J21" i="260"/>
  <c r="E21" i="260"/>
  <c r="K17" i="260"/>
  <c r="E18" i="260"/>
  <c r="K15" i="260"/>
  <c r="J18" i="260"/>
  <c r="D22" i="260"/>
  <c r="D55" i="261" s="1"/>
  <c r="K13" i="260"/>
  <c r="E14" i="260"/>
  <c r="J63" i="261"/>
  <c r="AI14" i="240"/>
  <c r="Z14" i="240"/>
  <c r="J14" i="260"/>
  <c r="AH14" i="240"/>
  <c r="Y22" i="240"/>
  <c r="M22" i="240"/>
  <c r="E28" i="261"/>
  <c r="E18" i="261"/>
  <c r="E20" i="261" s="1"/>
  <c r="K9" i="261"/>
  <c r="K11" i="260"/>
  <c r="H14" i="260"/>
  <c r="K10" i="260"/>
  <c r="K23" i="260"/>
  <c r="C13" i="266" s="1"/>
  <c r="C15" i="266" s="1"/>
  <c r="K19" i="260"/>
  <c r="J38" i="261" l="1"/>
  <c r="D38" i="261"/>
  <c r="D49" i="261" s="1"/>
  <c r="D51" i="261" s="1"/>
  <c r="D54" i="261" s="1"/>
  <c r="D53" i="261" s="1"/>
  <c r="D64" i="261" s="1"/>
  <c r="K62" i="261"/>
  <c r="C9" i="266"/>
  <c r="H49" i="261"/>
  <c r="H51" i="261" s="1"/>
  <c r="H54" i="261" s="1"/>
  <c r="K23" i="261"/>
  <c r="K50" i="261" s="1"/>
  <c r="AL25" i="240"/>
  <c r="AH22" i="240"/>
  <c r="AH55" i="239" s="1"/>
  <c r="AH53" i="239" s="1"/>
  <c r="AH64" i="239" s="1"/>
  <c r="J49" i="261"/>
  <c r="J51" i="261" s="1"/>
  <c r="J54" i="261" s="1"/>
  <c r="J57" i="261"/>
  <c r="K18" i="261"/>
  <c r="K20" i="261" s="1"/>
  <c r="F49" i="261"/>
  <c r="F51" i="261" s="1"/>
  <c r="F54" i="261" s="1"/>
  <c r="G49" i="261"/>
  <c r="G51" i="261" s="1"/>
  <c r="G54" i="261" s="1"/>
  <c r="G53" i="261" s="1"/>
  <c r="G64" i="261" s="1"/>
  <c r="K33" i="261"/>
  <c r="AJ22" i="240"/>
  <c r="AK22" i="240"/>
  <c r="AL18" i="240"/>
  <c r="N22" i="240"/>
  <c r="AL21" i="240"/>
  <c r="E57" i="261"/>
  <c r="AI22" i="240"/>
  <c r="K25" i="260"/>
  <c r="H22" i="260"/>
  <c r="H55" i="261" s="1"/>
  <c r="E33" i="261"/>
  <c r="E38" i="261" s="1"/>
  <c r="K37" i="261"/>
  <c r="AL14" i="240"/>
  <c r="Z22" i="240"/>
  <c r="Z55" i="239" s="1"/>
  <c r="Z53" i="239" s="1"/>
  <c r="Z64" i="239" s="1"/>
  <c r="K18" i="260"/>
  <c r="J53" i="239"/>
  <c r="J64" i="239" s="1"/>
  <c r="K21" i="260"/>
  <c r="E22" i="260"/>
  <c r="E55" i="261" s="1"/>
  <c r="J55" i="261"/>
  <c r="J22" i="260"/>
  <c r="K14" i="260"/>
  <c r="K38" i="261" l="1"/>
  <c r="K49" i="261"/>
  <c r="K51" i="261" s="1"/>
  <c r="K54" i="261" s="1"/>
  <c r="C7" i="266" s="1"/>
  <c r="E49" i="261"/>
  <c r="E51" i="261" s="1"/>
  <c r="E54" i="261" s="1"/>
  <c r="E53" i="261" s="1"/>
  <c r="E64" i="261" s="1"/>
  <c r="AL22" i="240"/>
  <c r="AL55" i="239" s="1"/>
  <c r="AL53" i="239" s="1"/>
  <c r="AL64" i="239" s="1"/>
  <c r="K55" i="261"/>
  <c r="H53" i="261"/>
  <c r="H64" i="261" s="1"/>
  <c r="K22" i="260"/>
  <c r="C12" i="266" s="1"/>
  <c r="AD26" i="240"/>
  <c r="X42" i="239" l="1"/>
  <c r="AJ42" i="239" s="1"/>
  <c r="W42" i="239"/>
  <c r="Z42" i="239" l="1"/>
  <c r="AI42" i="239"/>
  <c r="AL42" i="239" s="1"/>
  <c r="I9" i="260"/>
  <c r="F25" i="260" l="1"/>
  <c r="F63" i="261" s="1"/>
  <c r="C63" i="261"/>
  <c r="I26" i="260"/>
  <c r="AC61" i="239"/>
  <c r="AA61" i="239"/>
  <c r="R61" i="239"/>
  <c r="I35" i="261"/>
  <c r="I36" i="261"/>
  <c r="F60" i="261"/>
  <c r="F62" i="261" s="1"/>
  <c r="C60" i="261"/>
  <c r="C62" i="261" s="1"/>
  <c r="AC23" i="240"/>
  <c r="AB23" i="240"/>
  <c r="AA23" i="240"/>
  <c r="R23" i="240"/>
  <c r="F23" i="240"/>
  <c r="AA35" i="239"/>
  <c r="AB35" i="239"/>
  <c r="AC35" i="239"/>
  <c r="AA36" i="239"/>
  <c r="AB36" i="239"/>
  <c r="AC36" i="239"/>
  <c r="AC63" i="239"/>
  <c r="AB63" i="239"/>
  <c r="R63" i="239"/>
  <c r="AB61" i="239"/>
  <c r="AC60" i="239"/>
  <c r="AB59" i="239"/>
  <c r="AA59" i="239"/>
  <c r="R59" i="239"/>
  <c r="AB58" i="239"/>
  <c r="AA58" i="239"/>
  <c r="R58" i="239"/>
  <c r="R21" i="239"/>
  <c r="R22" i="239"/>
  <c r="AD22" i="239" s="1"/>
  <c r="I22" i="261"/>
  <c r="AA22" i="239"/>
  <c r="AB22" i="239"/>
  <c r="AC22" i="239"/>
  <c r="R19" i="239"/>
  <c r="AC19" i="239"/>
  <c r="AB19" i="239"/>
  <c r="AA19" i="239"/>
  <c r="R48" i="239"/>
  <c r="R45" i="239"/>
  <c r="R46" i="239" s="1"/>
  <c r="R42" i="239"/>
  <c r="R43" i="239"/>
  <c r="R40" i="239"/>
  <c r="R39" i="239"/>
  <c r="R37" i="239"/>
  <c r="AC43" i="239"/>
  <c r="AB43" i="239"/>
  <c r="AA43" i="239"/>
  <c r="AC42" i="239"/>
  <c r="AB42" i="239"/>
  <c r="AA42" i="239"/>
  <c r="AC40" i="239"/>
  <c r="AB40" i="239"/>
  <c r="AA40" i="239"/>
  <c r="AC39" i="239"/>
  <c r="AB39" i="239"/>
  <c r="AA39" i="239"/>
  <c r="I10" i="260"/>
  <c r="I15" i="260"/>
  <c r="I48" i="261"/>
  <c r="I34" i="261"/>
  <c r="I30" i="261"/>
  <c r="I32" i="261" s="1"/>
  <c r="I29" i="261"/>
  <c r="I27" i="261"/>
  <c r="I28" i="261" s="1"/>
  <c r="I25" i="261"/>
  <c r="I26" i="261" s="1"/>
  <c r="I21" i="261"/>
  <c r="I17" i="261"/>
  <c r="I16" i="261"/>
  <c r="I14" i="261"/>
  <c r="I13" i="261"/>
  <c r="I12" i="261"/>
  <c r="I11" i="261"/>
  <c r="I10" i="261"/>
  <c r="I9" i="261"/>
  <c r="R18" i="239"/>
  <c r="I20" i="260"/>
  <c r="I19" i="260"/>
  <c r="I17" i="260"/>
  <c r="I16" i="260"/>
  <c r="I13" i="260"/>
  <c r="I12" i="260"/>
  <c r="AC30" i="239"/>
  <c r="AC32" i="239" s="1"/>
  <c r="AB30" i="239"/>
  <c r="AB32" i="239" s="1"/>
  <c r="AA30" i="239"/>
  <c r="AA32" i="239" s="1"/>
  <c r="R30" i="239"/>
  <c r="R32" i="239" s="1"/>
  <c r="AA47" i="239"/>
  <c r="R47" i="239"/>
  <c r="AC11" i="240"/>
  <c r="AC10" i="240"/>
  <c r="F9" i="240"/>
  <c r="AA9" i="240"/>
  <c r="AC9" i="240"/>
  <c r="F10" i="240"/>
  <c r="AA10" i="240"/>
  <c r="AB10" i="240"/>
  <c r="F11" i="240"/>
  <c r="R11" i="240"/>
  <c r="AB11" i="240"/>
  <c r="F13" i="240"/>
  <c r="R13" i="240"/>
  <c r="AA13" i="240"/>
  <c r="AB13" i="240"/>
  <c r="AC13" i="240"/>
  <c r="F12" i="240"/>
  <c r="R12" i="240"/>
  <c r="AA12" i="240"/>
  <c r="AB12" i="240"/>
  <c r="AC12" i="240"/>
  <c r="F15" i="240"/>
  <c r="R15" i="240"/>
  <c r="AA15" i="240"/>
  <c r="AB15" i="240"/>
  <c r="AC15" i="240"/>
  <c r="F16" i="240"/>
  <c r="R16" i="240"/>
  <c r="AA16" i="240"/>
  <c r="AB16" i="240"/>
  <c r="AC16" i="240"/>
  <c r="F17" i="240"/>
  <c r="R17" i="240"/>
  <c r="AA17" i="240"/>
  <c r="AB17" i="240"/>
  <c r="AC17" i="240"/>
  <c r="F19" i="240"/>
  <c r="R19" i="240"/>
  <c r="AA19" i="240"/>
  <c r="AB19" i="240"/>
  <c r="AC19" i="240"/>
  <c r="F20" i="240"/>
  <c r="R20" i="240"/>
  <c r="AA20" i="240"/>
  <c r="AB20" i="240"/>
  <c r="AC20" i="240"/>
  <c r="R27" i="239"/>
  <c r="R28" i="239" s="1"/>
  <c r="AA27" i="239"/>
  <c r="AA28" i="239" s="1"/>
  <c r="AB27" i="239"/>
  <c r="AB28" i="239" s="1"/>
  <c r="AC27" i="239"/>
  <c r="AC28" i="239" s="1"/>
  <c r="R25" i="239"/>
  <c r="R26" i="239" s="1"/>
  <c r="AA25" i="239"/>
  <c r="AA26" i="239" s="1"/>
  <c r="AB25" i="239"/>
  <c r="AB26" i="239" s="1"/>
  <c r="AC25" i="239"/>
  <c r="AC26" i="239" s="1"/>
  <c r="AA34" i="239"/>
  <c r="AB34" i="239"/>
  <c r="AC34" i="239"/>
  <c r="AA29" i="239"/>
  <c r="AB29" i="239"/>
  <c r="AC29" i="239"/>
  <c r="AA9" i="239"/>
  <c r="AB9" i="239"/>
  <c r="AC9" i="239"/>
  <c r="AA10" i="239"/>
  <c r="AB10" i="239"/>
  <c r="AC10" i="239"/>
  <c r="AB11" i="239"/>
  <c r="AC11" i="239"/>
  <c r="AD12" i="239"/>
  <c r="AA12" i="239"/>
  <c r="AB12" i="239"/>
  <c r="AC12" i="239"/>
  <c r="AD13" i="239"/>
  <c r="AA13" i="239"/>
  <c r="AB13" i="239"/>
  <c r="AC13" i="239"/>
  <c r="AD14" i="239"/>
  <c r="AA14" i="239"/>
  <c r="AB14" i="239"/>
  <c r="AC14" i="239"/>
  <c r="AD16" i="239"/>
  <c r="AA16" i="239"/>
  <c r="AB16" i="239"/>
  <c r="AC16" i="239"/>
  <c r="AD17" i="239"/>
  <c r="AA17" i="239"/>
  <c r="AB17" i="239"/>
  <c r="AC17" i="239"/>
  <c r="AC47" i="239"/>
  <c r="AA45" i="239"/>
  <c r="AA46" i="239" s="1"/>
  <c r="AB45" i="239"/>
  <c r="AB46" i="239" s="1"/>
  <c r="AC45" i="239"/>
  <c r="AC46" i="239" s="1"/>
  <c r="AA21" i="239"/>
  <c r="AB21" i="239"/>
  <c r="AC21" i="239"/>
  <c r="AA48" i="239"/>
  <c r="AB48" i="239"/>
  <c r="AC48" i="239"/>
  <c r="AB47" i="239"/>
  <c r="AA11" i="239"/>
  <c r="R9" i="240"/>
  <c r="AA11" i="240"/>
  <c r="AB9" i="240"/>
  <c r="R10" i="240"/>
  <c r="I11" i="260"/>
  <c r="AC23" i="239" l="1"/>
  <c r="AC50" i="239" s="1"/>
  <c r="R60" i="239"/>
  <c r="R62" i="239" s="1"/>
  <c r="R57" i="239" s="1"/>
  <c r="R25" i="240"/>
  <c r="AA21" i="240"/>
  <c r="I23" i="261"/>
  <c r="I50" i="261" s="1"/>
  <c r="AC62" i="239"/>
  <c r="I60" i="261"/>
  <c r="I62" i="261" s="1"/>
  <c r="AB25" i="240"/>
  <c r="R33" i="239"/>
  <c r="R38" i="239" s="1"/>
  <c r="R21" i="240"/>
  <c r="AA25" i="240"/>
  <c r="AD19" i="240"/>
  <c r="I21" i="260"/>
  <c r="F25" i="240"/>
  <c r="AC25" i="240"/>
  <c r="F57" i="261"/>
  <c r="F22" i="260"/>
  <c r="F55" i="261" s="1"/>
  <c r="F53" i="261" s="1"/>
  <c r="C57" i="261"/>
  <c r="C50" i="261"/>
  <c r="I33" i="261"/>
  <c r="I18" i="261"/>
  <c r="I20" i="261" s="1"/>
  <c r="R18" i="240"/>
  <c r="AD23" i="240"/>
  <c r="AB60" i="239"/>
  <c r="AB62" i="239" s="1"/>
  <c r="R23" i="239"/>
  <c r="R50" i="239" s="1"/>
  <c r="AD59" i="239"/>
  <c r="AA60" i="239"/>
  <c r="AA62" i="239" s="1"/>
  <c r="AC18" i="239"/>
  <c r="AC20" i="239" s="1"/>
  <c r="K63" i="261"/>
  <c r="K57" i="261" s="1"/>
  <c r="I63" i="261"/>
  <c r="AD29" i="239"/>
  <c r="AD30" i="239"/>
  <c r="AD32" i="239" s="1"/>
  <c r="AD34" i="239"/>
  <c r="AD35" i="239"/>
  <c r="AC18" i="240"/>
  <c r="K53" i="261"/>
  <c r="J53" i="261"/>
  <c r="J64" i="261" s="1"/>
  <c r="F21" i="240"/>
  <c r="AD20" i="240"/>
  <c r="I14" i="260"/>
  <c r="R14" i="240"/>
  <c r="I18" i="260"/>
  <c r="AD27" i="239"/>
  <c r="AD28" i="239" s="1"/>
  <c r="I37" i="261"/>
  <c r="I38" i="261" s="1"/>
  <c r="AD9" i="239"/>
  <c r="AD63" i="239"/>
  <c r="AD48" i="239"/>
  <c r="AD39" i="239"/>
  <c r="R20" i="239"/>
  <c r="AC37" i="239"/>
  <c r="AB23" i="239"/>
  <c r="AB50" i="239" s="1"/>
  <c r="AB33" i="239"/>
  <c r="AD25" i="239"/>
  <c r="AD26" i="239" s="1"/>
  <c r="AB37" i="239"/>
  <c r="AD42" i="239"/>
  <c r="AD36" i="239"/>
  <c r="AD61" i="239"/>
  <c r="AD58" i="239"/>
  <c r="AD47" i="239"/>
  <c r="AD40" i="239"/>
  <c r="AD43" i="239"/>
  <c r="AA23" i="239"/>
  <c r="AA50" i="239" s="1"/>
  <c r="AD19" i="239"/>
  <c r="AB18" i="239"/>
  <c r="AB20" i="239" s="1"/>
  <c r="AA18" i="239"/>
  <c r="AA20" i="239" s="1"/>
  <c r="C22" i="260"/>
  <c r="C55" i="261" s="1"/>
  <c r="AD15" i="240"/>
  <c r="AB18" i="240"/>
  <c r="AD11" i="240"/>
  <c r="AD12" i="240"/>
  <c r="AD10" i="240"/>
  <c r="AB21" i="240"/>
  <c r="AD17" i="240"/>
  <c r="F18" i="240"/>
  <c r="AB14" i="240"/>
  <c r="AA14" i="240"/>
  <c r="AA33" i="239"/>
  <c r="AA38" i="239" s="1"/>
  <c r="AD9" i="240"/>
  <c r="AD11" i="239"/>
  <c r="AC33" i="239"/>
  <c r="AC38" i="239" s="1"/>
  <c r="AA37" i="239"/>
  <c r="AD13" i="240"/>
  <c r="AA18" i="240"/>
  <c r="AD45" i="239"/>
  <c r="AD46" i="239" s="1"/>
  <c r="AD21" i="239"/>
  <c r="AD23" i="239" s="1"/>
  <c r="AD10" i="239"/>
  <c r="AC21" i="240"/>
  <c r="AD16" i="240"/>
  <c r="F14" i="240"/>
  <c r="AC14" i="240"/>
  <c r="AB38" i="239" l="1"/>
  <c r="I55" i="261"/>
  <c r="AD60" i="239"/>
  <c r="AD62" i="239" s="1"/>
  <c r="AD57" i="239" s="1"/>
  <c r="AB49" i="239"/>
  <c r="AB51" i="239" s="1"/>
  <c r="AA49" i="239"/>
  <c r="AA51" i="239" s="1"/>
  <c r="I49" i="261"/>
  <c r="I51" i="261" s="1"/>
  <c r="C49" i="261"/>
  <c r="C51" i="261" s="1"/>
  <c r="C54" i="261" s="1"/>
  <c r="C53" i="261" s="1"/>
  <c r="C64" i="261" s="1"/>
  <c r="R22" i="240"/>
  <c r="R55" i="239" s="1"/>
  <c r="AD25" i="240"/>
  <c r="AD21" i="240"/>
  <c r="F64" i="261"/>
  <c r="I57" i="261"/>
  <c r="K64" i="261"/>
  <c r="C8" i="266"/>
  <c r="C10" i="266" s="1"/>
  <c r="C18" i="266" s="1"/>
  <c r="AD33" i="239"/>
  <c r="AD38" i="239" s="1"/>
  <c r="AC49" i="239"/>
  <c r="AC51" i="239" s="1"/>
  <c r="AD18" i="239"/>
  <c r="AD20" i="239" s="1"/>
  <c r="F22" i="240"/>
  <c r="I22" i="260"/>
  <c r="R49" i="239"/>
  <c r="R51" i="239" s="1"/>
  <c r="R54" i="239" s="1"/>
  <c r="AD37" i="239"/>
  <c r="AB22" i="240"/>
  <c r="AD18" i="240"/>
  <c r="AA22" i="240"/>
  <c r="AC22" i="240"/>
  <c r="AD14" i="240"/>
  <c r="AD50" i="239"/>
  <c r="F55" i="239" l="1"/>
  <c r="F53" i="239" s="1"/>
  <c r="F64" i="239" s="1"/>
  <c r="AD49" i="239"/>
  <c r="AD51" i="239" s="1"/>
  <c r="AD54" i="239" s="1"/>
  <c r="R53" i="239"/>
  <c r="R64" i="239" s="1"/>
  <c r="I54" i="261"/>
  <c r="I53" i="261" s="1"/>
  <c r="I64" i="261" s="1"/>
  <c r="C17" i="266"/>
  <c r="C19" i="266" s="1"/>
  <c r="AD22" i="240"/>
  <c r="AD55" i="239" s="1"/>
  <c r="N55" i="239" l="1"/>
  <c r="N53" i="239" s="1"/>
  <c r="N64" i="239" s="1"/>
  <c r="AD53" i="239"/>
  <c r="AD64" i="239" s="1"/>
  <c r="O17" i="321"/>
  <c r="R17" i="321" s="1"/>
  <c r="S17" i="3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Windows-felhasználó</author>
  </authors>
  <commentList>
    <comment ref="O150" authorId="0" shapeId="0" xr:uid="{515A0D8F-E6E6-4ABA-A29E-7586B3B00D57}">
      <text>
        <r>
          <rPr>
            <b/>
            <sz val="9"/>
            <color indexed="81"/>
            <rFont val="Tahoma"/>
            <family val="2"/>
            <charset val="238"/>
          </rPr>
          <t>Windows-felhasználó: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<sst xmlns="http://schemas.openxmlformats.org/spreadsheetml/2006/main" count="3838" uniqueCount="1522">
  <si>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</si>
  <si>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</si>
  <si>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</si>
  <si>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</si>
  <si>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</si>
  <si>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</si>
  <si>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</si>
  <si>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</si>
  <si>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</si>
  <si>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</si>
  <si>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</si>
  <si>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</si>
  <si>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</si>
  <si>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</si>
  <si>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</si>
  <si>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</si>
  <si>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</si>
  <si>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</si>
  <si>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</si>
  <si>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</si>
  <si>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</si>
  <si>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</si>
  <si>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Székesfehérvár Megyei Jogú Város Önkormányzat</t>
  </si>
  <si>
    <t>Költségvetési szervek összesen</t>
  </si>
  <si>
    <t>Eredeti előirányzat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</si>
  <si>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</si>
  <si>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</si>
  <si>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</si>
  <si>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1, Személyi juttatás</t>
  </si>
  <si>
    <t>2, Munkaadókat terhelő járulékok és szociális hozzájárulási adó</t>
  </si>
  <si>
    <t>3, Dologi kiadás</t>
  </si>
  <si>
    <t>Személyi juttatás</t>
  </si>
  <si>
    <t>Munkaadókat terhelő járulékok és szociális hozzájárulási adó</t>
  </si>
  <si>
    <t>Dologi kiadás</t>
  </si>
  <si>
    <t>g.=b. +…+ f.</t>
  </si>
  <si>
    <t>h.</t>
  </si>
  <si>
    <t>i.</t>
  </si>
  <si>
    <t>j.</t>
  </si>
  <si>
    <t>k.=h. +i.+ j.</t>
  </si>
  <si>
    <t>l.</t>
  </si>
  <si>
    <t>m.</t>
  </si>
  <si>
    <t xml:space="preserve">III. </t>
  </si>
  <si>
    <t>Városfejlesztés</t>
  </si>
  <si>
    <t>Humán Szolgáltatás</t>
  </si>
  <si>
    <t>A.</t>
  </si>
  <si>
    <t>Kiadások összesen (I-VIII.)</t>
  </si>
  <si>
    <t>Céltartalék összesen</t>
  </si>
  <si>
    <t>IX.</t>
  </si>
  <si>
    <t>Tartalékok összesen</t>
  </si>
  <si>
    <t>C.</t>
  </si>
  <si>
    <t>KIADÁSOK MINDÖSSZESEN (I-IX.)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</si>
  <si>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</si>
  <si>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</si>
  <si>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</si>
  <si>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</si>
  <si>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</si>
  <si>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</si>
  <si>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</si>
  <si>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</si>
  <si>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Felhalmozási bevételek</t>
  </si>
  <si>
    <t>Felújítások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</si>
  <si>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</si>
  <si>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</si>
  <si>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</si>
  <si>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</si>
  <si>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</si>
  <si>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</si>
  <si>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Alba Regia Atlétikai Klub</t>
  </si>
  <si>
    <t>NEMZETISÉGI ÖNKORMÁNYZATOK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</si>
  <si>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</si>
  <si>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</si>
  <si>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</si>
  <si>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</si>
  <si>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Székesfehérvári Művészek Társasága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</si>
  <si>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</si>
  <si>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</si>
  <si>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</si>
  <si>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</si>
  <si>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</si>
  <si>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</si>
  <si>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</si>
  <si>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</si>
  <si>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</si>
  <si>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</si>
  <si>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</si>
  <si>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</si>
  <si>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</si>
  <si>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</si>
  <si>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</si>
  <si>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</si>
  <si>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</si>
  <si>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</si>
  <si>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</si>
  <si>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</si>
  <si>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</si>
  <si>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</si>
  <si>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</si>
  <si>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</si>
  <si>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</si>
  <si>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</si>
  <si>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</si>
  <si>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</si>
  <si>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</si>
  <si>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</si>
  <si>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</si>
  <si>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</si>
  <si>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</si>
  <si>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</si>
  <si>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</si>
  <si>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</si>
  <si>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</si>
  <si>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</si>
  <si>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</si>
  <si>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</si>
  <si>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</si>
  <si>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</si>
  <si>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</si>
  <si>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</si>
  <si>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</si>
  <si>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</si>
  <si>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</si>
  <si>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</si>
  <si>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</si>
  <si>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</si>
  <si>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</si>
  <si>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   Székesfehérvári Református Egyházközség támogatása - Olajfa Református Óvoda</t>
  </si>
  <si>
    <t>Tagdíjak, testületek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</si>
  <si>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</si>
  <si>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</si>
  <si>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</si>
  <si>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</si>
  <si>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</si>
  <si>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</si>
  <si>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</si>
  <si>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</si>
  <si>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</si>
  <si>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</si>
  <si>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a.</t>
  </si>
  <si>
    <t>b.</t>
  </si>
  <si>
    <t>c.</t>
  </si>
  <si>
    <t>d.</t>
  </si>
  <si>
    <t>e.</t>
  </si>
  <si>
    <t>f.</t>
  </si>
  <si>
    <t>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</si>
  <si>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</si>
  <si>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</si>
  <si>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</si>
  <si>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</si>
  <si>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</si>
  <si>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</si>
  <si>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</si>
  <si>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</si>
  <si>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</si>
  <si>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</si>
  <si>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</si>
  <si>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</si>
  <si>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</si>
  <si>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</si>
  <si>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</si>
  <si>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</si>
  <si>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</si>
  <si>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</si>
  <si>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</si>
  <si>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</si>
  <si>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</si>
  <si>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</si>
  <si>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</si>
  <si>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</si>
  <si>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</si>
  <si>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</si>
  <si>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</si>
  <si>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</si>
  <si>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</si>
  <si>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>B8</t>
  </si>
  <si>
    <t>Székesfehérvár Vizi Társulat éves tagdíja</t>
  </si>
  <si>
    <t>Tervezési munkák</t>
  </si>
  <si>
    <t>Hatósági és egyéb díjak</t>
  </si>
  <si>
    <t>Belvárosi épületek rekonstrukcióját szolgáló fejlesztési alap (vissza nem térítendő támogatás)</t>
  </si>
  <si>
    <t>5, Egyéb működési célú kiadások</t>
  </si>
  <si>
    <t>3. Előző évi működési célú költségvetési  maradvány igénybevétele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</si>
  <si>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</si>
  <si>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</si>
  <si>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</si>
  <si>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</si>
  <si>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</si>
  <si>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</si>
  <si>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</si>
  <si>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</si>
  <si>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6, Önkormányzatok működési támogatásai összesen (1+2+3+4+5):</t>
  </si>
  <si>
    <t>B111</t>
  </si>
  <si>
    <t>B112</t>
  </si>
  <si>
    <t>B113</t>
  </si>
  <si>
    <t>B114</t>
  </si>
  <si>
    <t>B115</t>
  </si>
  <si>
    <t>B11</t>
  </si>
  <si>
    <t>B21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</si>
  <si>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</si>
  <si>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</si>
  <si>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</si>
  <si>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</si>
  <si>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</si>
  <si>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</si>
  <si>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</si>
  <si>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</si>
  <si>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</si>
  <si>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</si>
  <si>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</si>
  <si>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</si>
  <si>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</si>
  <si>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</si>
  <si>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</si>
  <si>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</si>
  <si>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</si>
  <si>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</si>
  <si>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</si>
  <si>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</si>
  <si>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</si>
  <si>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</si>
  <si>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</si>
  <si>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</si>
  <si>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</si>
  <si>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</si>
  <si>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</si>
  <si>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</si>
  <si>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</si>
  <si>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</si>
  <si>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</si>
  <si>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</si>
  <si>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</si>
  <si>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</si>
  <si>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</si>
  <si>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</si>
  <si>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</si>
  <si>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 xml:space="preserve">              Közbiztonsági problémák társadalmi kezelése</t>
  </si>
  <si>
    <t>Anyakönyvi népesség-nyilvántartási és okmánykibocsátási tevékenység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</si>
  <si>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</si>
  <si>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</si>
  <si>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- Kulturális feladatokhoz kapcsolódó egyéb rendezvények</t>
  </si>
  <si>
    <t>Sportszakosztályi és csarnoküzemeltetési támogatások</t>
  </si>
  <si>
    <t>Egyéb sportcélú támogatások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</si>
  <si>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</si>
  <si>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</si>
  <si>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</si>
  <si>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</si>
  <si>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</si>
  <si>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</si>
  <si>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</si>
  <si>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Székesfehérvári Egyházmegye-Belvárosi templomok turisztikai célú támogatása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</si>
  <si>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</si>
  <si>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</si>
  <si>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</si>
  <si>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</si>
  <si>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</si>
  <si>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</si>
  <si>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>Egyéb felhalmozási célú kiadások</t>
  </si>
  <si>
    <t>Költségvetési kiadások összesen</t>
  </si>
  <si>
    <t>K5</t>
  </si>
  <si>
    <t>Működési célú támogatások államháztartáson belülről</t>
  </si>
  <si>
    <t>Felhalmozási célú támogatások államháztartáson belülről</t>
  </si>
  <si>
    <t>Működési célú átvett pénzeszközök</t>
  </si>
  <si>
    <t>Felhalmozási célú átvett pénzeszközök</t>
  </si>
  <si>
    <t>Maradvány igénybevétele</t>
  </si>
  <si>
    <t>n.=l.+m.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</si>
  <si>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</si>
  <si>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</si>
  <si>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</si>
  <si>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</si>
  <si>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</si>
  <si>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</si>
  <si>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</si>
  <si>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</si>
  <si>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</si>
  <si>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</si>
  <si>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</si>
  <si>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>Közlekedési kiadások</t>
  </si>
  <si>
    <t>~ ebből: HEROSZ Egyesület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</si>
  <si>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</si>
  <si>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</si>
  <si>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</si>
  <si>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</si>
  <si>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</si>
  <si>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</si>
  <si>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</si>
  <si>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</si>
  <si>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</si>
  <si>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</si>
  <si>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</si>
  <si>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</si>
  <si>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</si>
  <si>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</si>
  <si>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</si>
  <si>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</si>
  <si>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</si>
  <si>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</si>
  <si>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</si>
  <si>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</si>
  <si>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</si>
  <si>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</si>
  <si>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</si>
  <si>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</si>
  <si>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</si>
  <si>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</si>
  <si>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</si>
  <si>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</si>
  <si>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Támogatási keretek, alapok</t>
  </si>
  <si>
    <t>2. Irányító szervi támogatás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</si>
  <si>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</si>
  <si>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</si>
  <si>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</si>
  <si>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</si>
  <si>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</si>
  <si>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3, Települési önkormányzatok szociális, gyermekjóléti és gyermekétkeztetési feladatainak támogatása</t>
  </si>
  <si>
    <t>K915</t>
  </si>
  <si>
    <t>K5 (K501-K512)</t>
  </si>
  <si>
    <t>K5 (K513)</t>
  </si>
  <si>
    <t>2, Települési önkormányzatok egyes köznevelési feladatainak támogatása</t>
  </si>
  <si>
    <t>5, Működési célú költségvetési támogatások és kiegészítő támogatások</t>
  </si>
  <si>
    <t xml:space="preserve">VÁROSFEJLESZTÉS 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</si>
  <si>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</si>
  <si>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</si>
  <si>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</si>
  <si>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</si>
  <si>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</si>
  <si>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</si>
  <si>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</si>
  <si>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Fehérvári Programszervező Kft.</t>
  </si>
  <si>
    <t>~ ebből: Székesfehérvári Többcélú Kistérségi Társulás feladatellátásához való működési hozzájárulás</t>
  </si>
  <si>
    <t>Feladat megnevezése</t>
  </si>
  <si>
    <t>Csapadékcsatorna üzemeltetés</t>
  </si>
  <si>
    <t>Belvárosi épületek rekonstrukcióját szolgáló fejlesztési alap (visszatérítendő támogatás)</t>
  </si>
  <si>
    <t>544/2015. (VII.23.) kgy.határozathoz kapcsolódó fejlesztési keret</t>
  </si>
  <si>
    <t>Székesfehérvár-Csala 22 kV-os vezeték kiváltása</t>
  </si>
  <si>
    <t>Autóbusz-hálózat átalakításával összefüggő feladatok</t>
  </si>
  <si>
    <t>Államigazgatási feladat</t>
  </si>
  <si>
    <t>Államigaz-gatási feladat</t>
  </si>
  <si>
    <t>Székesfehérvári Mikrovállalkozások Kamattámogatási Programja</t>
  </si>
  <si>
    <t>Álláshely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</si>
  <si>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</si>
  <si>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</si>
  <si>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</si>
  <si>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</si>
  <si>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Előző évi felhalmozási célú költségvetési maradvány igénybevétele</t>
  </si>
  <si>
    <t>Előző évi működési célú költségvetési maradvány igénybevétele</t>
  </si>
  <si>
    <t>Működési költségvetés összesen</t>
  </si>
  <si>
    <t>Felhalmozási költségvetés összesen</t>
  </si>
  <si>
    <t>Önkormányzat eredeti előirányzata</t>
  </si>
  <si>
    <t xml:space="preserve">Költségvetési és finanszírozási egyenleg működési és felhalmozási cél szerinti bontásban (eFt-ban)  </t>
  </si>
  <si>
    <t>Módosított előirányzat</t>
  </si>
  <si>
    <t>Javasolt módosítás</t>
  </si>
  <si>
    <t>b/2</t>
  </si>
  <si>
    <t>b/3</t>
  </si>
  <si>
    <t>c/2</t>
  </si>
  <si>
    <t>c/3</t>
  </si>
  <si>
    <t>d/2</t>
  </si>
  <si>
    <t>d/3</t>
  </si>
  <si>
    <t>d/1=b/1+c/1</t>
  </si>
  <si>
    <t>d/2=b/2+c/2</t>
  </si>
  <si>
    <t>d/3=b/3+c/3</t>
  </si>
  <si>
    <t>b/1.</t>
  </si>
  <si>
    <t>b/2.</t>
  </si>
  <si>
    <t>b/3.</t>
  </si>
  <si>
    <t>c/1.</t>
  </si>
  <si>
    <t>c/2.</t>
  </si>
  <si>
    <t>c/3.</t>
  </si>
  <si>
    <t>d/1.=b/1.+c/1.</t>
  </si>
  <si>
    <t>d/2.=b/2.+c/2.</t>
  </si>
  <si>
    <t>d/3.=b/3.+c/3.</t>
  </si>
  <si>
    <t>Székesfehérvár Megyei Jogú Város Önkormányzat és Költségvetési szervei</t>
  </si>
  <si>
    <t>Tervezett felújítási munka</t>
  </si>
  <si>
    <t>Összesen:</t>
  </si>
  <si>
    <t>Akadálymentesítéshez, lift kialakításához kapcsolódó munkák</t>
  </si>
  <si>
    <t xml:space="preserve">Polgármesteri Hivatal </t>
  </si>
  <si>
    <t>Polgármesteri Hivatal épületeit érintő felújítások</t>
  </si>
  <si>
    <t>Tartalék keret</t>
  </si>
  <si>
    <t>Vis Maior</t>
  </si>
  <si>
    <t>Mindösszesen:</t>
  </si>
  <si>
    <t>Kríziskezelő Központ</t>
  </si>
  <si>
    <t xml:space="preserve">           Önként vállalt feladat összesen</t>
  </si>
  <si>
    <t>Ebből: Kötelező feladat összesen</t>
  </si>
  <si>
    <t>összesen:</t>
  </si>
  <si>
    <t xml:space="preserve">            Önként vállalt feladat e.i.</t>
  </si>
  <si>
    <t>~ ebből:Kötelező feladate.i.</t>
  </si>
  <si>
    <t>Polgármesteri Hivatal</t>
  </si>
  <si>
    <t>Intézmények összesen:</t>
  </si>
  <si>
    <t>Kulturális ellátás összesen:</t>
  </si>
  <si>
    <t>Ebből: Önként vállalt feladat összesen</t>
  </si>
  <si>
    <t>~ ebből:Önként vállalt feladat e.i.</t>
  </si>
  <si>
    <t>Vörösmarty Színház</t>
  </si>
  <si>
    <t>Alba Regia Szimfonikus Zenekar</t>
  </si>
  <si>
    <t>Szent István Király Múzeum</t>
  </si>
  <si>
    <t>Vörösmarty Mihály Könyvtár</t>
  </si>
  <si>
    <t>Városi Levéltár és Kutatóintézet</t>
  </si>
  <si>
    <t xml:space="preserve">Székesfehérvári Intézményi Központ </t>
  </si>
  <si>
    <t>Szociális ellátás összesen</t>
  </si>
  <si>
    <t>Humán Szolg. összesen</t>
  </si>
  <si>
    <t>Óvodák összesen</t>
  </si>
  <si>
    <t>Ligetsori Óvoda</t>
  </si>
  <si>
    <t>Szivárvány Óvoda</t>
  </si>
  <si>
    <t>Szárazréti Óvoda</t>
  </si>
  <si>
    <t>Napsugár Óvoda</t>
  </si>
  <si>
    <t>Maroshegyi Óvoda</t>
  </si>
  <si>
    <t>Hosszúsétatéri Óvoda</t>
  </si>
  <si>
    <t>Felsővárosi Óvoda</t>
  </si>
  <si>
    <t>Árpád Úti Óvoda</t>
  </si>
  <si>
    <t>Bölcsőde összesen</t>
  </si>
  <si>
    <t>Nyitnikék Bölcsőde</t>
  </si>
  <si>
    <t>Napraforgó Bölcsőde</t>
  </si>
  <si>
    <t>Százszorszép Bölcsőde</t>
  </si>
  <si>
    <t>Eü. Ellátás összesen</t>
  </si>
  <si>
    <t>Frim Jakab Képességfejlesztő Szakosított Otthon</t>
  </si>
  <si>
    <t>Humán Szolgáltató Intézet</t>
  </si>
  <si>
    <t>l.=j.+k.</t>
  </si>
  <si>
    <t>k.=d.+g.+i.</t>
  </si>
  <si>
    <t>j.=c.+e +f.+h.</t>
  </si>
  <si>
    <t>g.</t>
  </si>
  <si>
    <t>(B1-8.)</t>
  </si>
  <si>
    <t>(B1-7.)</t>
  </si>
  <si>
    <t>(B2+B5+B7)</t>
  </si>
  <si>
    <t>(B1+B3+B4+B6)</t>
  </si>
  <si>
    <t>Önkormányzati támogatás</t>
  </si>
  <si>
    <t>Bevételek  összesen</t>
  </si>
  <si>
    <t>Finanszírozási bevételek</t>
  </si>
  <si>
    <t>Költségvetési  bevételek összesen</t>
  </si>
  <si>
    <t xml:space="preserve"> Közhatalmi bevételek</t>
  </si>
  <si>
    <t>KÖLTSÉGVETÉSI SZERVEK</t>
  </si>
  <si>
    <t>cím</t>
  </si>
  <si>
    <t>o.=m.+n.</t>
  </si>
  <si>
    <t>n.</t>
  </si>
  <si>
    <t>m.=h.+l.</t>
  </si>
  <si>
    <t>l.=i.+j.+k.</t>
  </si>
  <si>
    <t>k.</t>
  </si>
  <si>
    <t>h.=c.+d.+e.+f.+g.</t>
  </si>
  <si>
    <t>(K1-9.)</t>
  </si>
  <si>
    <t>(K6-8.)</t>
  </si>
  <si>
    <t>(K1-5.)</t>
  </si>
  <si>
    <t>Kiadások  összesen</t>
  </si>
  <si>
    <t>Finanszírozási kiadások</t>
  </si>
  <si>
    <t>Egyéb működési célú  kiadások</t>
  </si>
  <si>
    <t>Ellátottak pénzbeli juttatásai</t>
  </si>
  <si>
    <t>Munkaadókat terhelő járulékok és szocilis hozzájárulási adó</t>
  </si>
  <si>
    <t xml:space="preserve"> INTÉZMÉNYEK</t>
  </si>
  <si>
    <t>Cím</t>
  </si>
  <si>
    <t>Működési költségvetési bevételek összesen</t>
  </si>
  <si>
    <t>Felhalmozási költségvetési bevételek összesen</t>
  </si>
  <si>
    <t>Rákóczi Utcai Óvoda</t>
  </si>
  <si>
    <t>Tolnai Utcai Óvoda</t>
  </si>
  <si>
    <t xml:space="preserve">           Államigazgatási feladat
           összesen</t>
  </si>
  <si>
    <t xml:space="preserve">            Államigazgatási feladat e.i.</t>
  </si>
  <si>
    <t>Működési költségvetési kiadások összesen</t>
  </si>
  <si>
    <t>Felhalmozási költségvetési kiadások  összesen</t>
  </si>
  <si>
    <t xml:space="preserve">I. </t>
  </si>
  <si>
    <t>Igazgatási tevékenység</t>
  </si>
  <si>
    <t>~ Bevétel miatti növekedés</t>
  </si>
  <si>
    <t>4, Ellátottak pénzbeli juttatásai</t>
  </si>
  <si>
    <t>K914</t>
  </si>
  <si>
    <t>II. Finanszírozási egyenleg (8-9)</t>
  </si>
  <si>
    <t>Egyenleg (I-II.)</t>
  </si>
  <si>
    <t>Szolidaritási hozzájárulás</t>
  </si>
  <si>
    <t>~ ebből: Városrészi közbiztonsági feladatok támogatása</t>
  </si>
  <si>
    <t xml:space="preserve">              Térfigyelő kamerarendszer bővítése (Közbiztonság növelését szolgáló fejlesztések megvalósítása)</t>
  </si>
  <si>
    <t>Víziközmű-fejlesztési Alap</t>
  </si>
  <si>
    <t>~ ebből: Helyi közösségi közlekedés finanszírozási kerete</t>
  </si>
  <si>
    <t xml:space="preserve">              Önálló Főiskolai Közalapítvány támogatása</t>
  </si>
  <si>
    <t xml:space="preserve">              Székesfehérvári Tankerületi Központ- oktatásszakmai munkájának támogatása</t>
  </si>
  <si>
    <t xml:space="preserve">              Székesfehérvári Szakképzési Centrum - oktatásszakmai munkájának támogatása</t>
  </si>
  <si>
    <t xml:space="preserve">              Mozgássérültek Fejér Megyei Egyesülete által fenntartott Viktória Rehabilitációs Központ egészségügyi és szociális ellátásának támogatása</t>
  </si>
  <si>
    <t xml:space="preserve">              Alba Civitan Rehabilitációs Nonprofit Kft. támogatása</t>
  </si>
  <si>
    <t xml:space="preserve">              Székesfehérvár Fejlődéséért Alapítvány támogatása</t>
  </si>
  <si>
    <t xml:space="preserve">              Kégl György Program - Fejér Megyei Szent György Egyetemi Oktató Kórház működési és fejlesztési támogatása</t>
  </si>
  <si>
    <t xml:space="preserve">              Kégl György Program - Egészségügyi feladatok</t>
  </si>
  <si>
    <t xml:space="preserve">           Bory-Vár Alapítvány támogatása</t>
  </si>
  <si>
    <t xml:space="preserve">           Kákics Kulturális Egyesület</t>
  </si>
  <si>
    <t>~ ebből: Fehérvár FC Kft.</t>
  </si>
  <si>
    <t xml:space="preserve">             Alba Volán Sportclub Öttusa Szakosztály</t>
  </si>
  <si>
    <t xml:space="preserve">             Fehérvár Enthroners Sportegyesület</t>
  </si>
  <si>
    <t xml:space="preserve">             Fehérvár Frizbi Sportegyesület</t>
  </si>
  <si>
    <t>TÁMOGATÁSI ALAPOK (KERETEK, ALAPOK)</t>
  </si>
  <si>
    <t>Közösségi terek tervezése, létrehozása</t>
  </si>
  <si>
    <t>Székesfehérvár szennyvíztisztító telep biogáz vonalának fejlesztése</t>
  </si>
  <si>
    <t>Palotavárosi tavak sport és rekreációs célú hasznosítása</t>
  </si>
  <si>
    <t>Budai u. 56/a ingatlan felújítása (Csemete Gyermekcentrum Bölcsőde)</t>
  </si>
  <si>
    <t>Integrált Területi Program (ITP) felújításai</t>
  </si>
  <si>
    <t>Integrált Területi Program (ITP) felújításai összesen:</t>
  </si>
  <si>
    <t>Államháztartáson belüli megelőlegezések visszafizetése</t>
  </si>
  <si>
    <t xml:space="preserve">IV. </t>
  </si>
  <si>
    <t>Vagyongazdálkodás</t>
  </si>
  <si>
    <t xml:space="preserve">II. </t>
  </si>
  <si>
    <t>Hatósági tevékenység</t>
  </si>
  <si>
    <t>Mindösszesen</t>
  </si>
  <si>
    <t>Parkolóház kialakítására (282/2017.(IV.7.) kgy.hat.alapján)</t>
  </si>
  <si>
    <t>Kötlező feladat</t>
  </si>
  <si>
    <t>Önként vállat feladat</t>
  </si>
  <si>
    <t>Önként  vállalt feladat</t>
  </si>
  <si>
    <t xml:space="preserve"> 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</si>
  <si>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</si>
  <si>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</si>
  <si>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</si>
  <si>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</si>
  <si>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</si>
  <si>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</si>
  <si>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</si>
  <si>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</si>
  <si>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</si>
  <si>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</si>
  <si>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</si>
  <si>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</si>
  <si>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</si>
  <si>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</si>
  <si>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Működési célú pénzeszköz átvétel</t>
  </si>
  <si>
    <t>Felhalmozási célú pénzeszköz átvétel</t>
  </si>
  <si>
    <t>Bevétel összesen*</t>
  </si>
  <si>
    <t>Kiadások</t>
  </si>
  <si>
    <t>Költségvetési szervek  kiadásai</t>
  </si>
  <si>
    <t>Igazgatási és egyéb központosított kiadások</t>
  </si>
  <si>
    <t>Fejlesztési kiadások, Viziközmű-fejlesztési Alap</t>
  </si>
  <si>
    <t>Tartalék</t>
  </si>
  <si>
    <t>Államháztartáson belüli megelőlegezések</t>
  </si>
  <si>
    <t>Kiadás összesen*</t>
  </si>
  <si>
    <t>* Megjegyzés: Tartalmazza a finanszírozási célú bevételeket és kiadásokat, kivéve az irányító szervi támogatást a duplikáció elkerülése okán.</t>
  </si>
  <si>
    <t>Felújítási kiadások</t>
  </si>
  <si>
    <t>Az Önkormányzat költségvetési kiadásai feladatonkénti bontásban
(eFt-ban)</t>
  </si>
  <si>
    <t>x</t>
  </si>
  <si>
    <t xml:space="preserve">             Vadmadárkórház Természetvédelmi Alapítvány a Vadon Élő Madarak Megmentéséért</t>
  </si>
  <si>
    <t xml:space="preserve">              Fejér Megyei Rendőr-Főkapitányság - Székesfehérvári Rendőrkapitányság működésére</t>
  </si>
  <si>
    <t>Közműellátási feladatok</t>
  </si>
  <si>
    <t xml:space="preserve">              "Aranyeső" Alapítvány az egészséges emberért támogatása - Hétpettyes Óvoda</t>
  </si>
  <si>
    <t xml:space="preserve">              "Lánczos Kornél-Szekfű Gyula" Ösztöndíj Közalapítvány támogatása</t>
  </si>
  <si>
    <t xml:space="preserve">              Tóth István és Tóth Terézia Ösztöndíj Közalapítvány támogatása</t>
  </si>
  <si>
    <t xml:space="preserve">              Színes Diploma átadó ünnepség megrendezésére - Pedagógusok Szakszervezete Fejér Megyei Szervezete</t>
  </si>
  <si>
    <t xml:space="preserve">              "Alba Regia" tanulmányi ösztöndíj</t>
  </si>
  <si>
    <t xml:space="preserve">              Fehérvári Pályakezdő Orvosok Egyesülete támogatása</t>
  </si>
  <si>
    <t xml:space="preserve">              Segítő Fehérvár program</t>
  </si>
  <si>
    <t xml:space="preserve">           Városi rendezvények</t>
  </si>
  <si>
    <t xml:space="preserve">           "Szín-Tér"/Színjátszó-Versmondó/ Egyesület </t>
  </si>
  <si>
    <t xml:space="preserve">         Könyvkiadás</t>
  </si>
  <si>
    <t xml:space="preserve">         Kulturális célú kiadások év közben jelentkező többletfeladatok</t>
  </si>
  <si>
    <t xml:space="preserve">         Jazz Fesztivál megrendezése- M.A.P.! Workshop Kft.</t>
  </si>
  <si>
    <t xml:space="preserve">         Székelyföldi Verstábor - Fortis Hungarorum Kulturális Egyesület</t>
  </si>
  <si>
    <t xml:space="preserve">         Magyar Zsidó Kulturális Egyesület</t>
  </si>
  <si>
    <t xml:space="preserve">         Bálok támogatása </t>
  </si>
  <si>
    <t xml:space="preserve">             Fehérvár AV 19 Sport Club Jégkorong Szakosztály</t>
  </si>
  <si>
    <t>~ ebből: Fehérvár AV 19 Sport Club  - Ingatlan üzemeltetésével, fejlesztésével összefüggő költségekhez</t>
  </si>
  <si>
    <t xml:space="preserve">             Track&amp;Race - Sportügynökség Korlátolt Felelősségű Társaság - "Gyulai István Memorial-Atlétikai Magyar Nagydíj" </t>
  </si>
  <si>
    <t xml:space="preserve">             Alba Regia Atlétikai Klub - Országos atlétikai versenyek megrendezésére</t>
  </si>
  <si>
    <t xml:space="preserve">             Felsővárosi Fésüs Röplabda Akadémia Fehérvár</t>
  </si>
  <si>
    <t xml:space="preserve">            "Fehérvár Kiskút Teniszklub" Sportegyesület </t>
  </si>
  <si>
    <t>Alba Geotrade Zrt. EKN. Vezetés, bemérések</t>
  </si>
  <si>
    <t>Tervfelülvizsgálatok, közműegyeztetések</t>
  </si>
  <si>
    <t>Székesfehérvári Stadionrekonstrukciós program megvalósítására, figyelemmel a 1285/2015.(IV.30.) Korm. Határozatra, valamint a megvalósítás ütemezésére</t>
  </si>
  <si>
    <t>Városmester üzemeltetés, fejlesztés</t>
  </si>
  <si>
    <t>Bory-vár épületdiagnosztikai és tartószerkezeti vizsgálat</t>
  </si>
  <si>
    <t>Gárdonyi Géza Művelődési Ház és Könyvtár felújítására irányuló beruházás előkészítése (1841/2017.(XI.10.) Kormány határozat alapján)</t>
  </si>
  <si>
    <t>Fekete Sas Szálló rekonstrukciójához és fejlesztéséhez szükséges előkészítő és tervezési feladatok</t>
  </si>
  <si>
    <t>Velencei Gyermek- és Ifjúsági Tábor fejlesztése</t>
  </si>
  <si>
    <t>A belváros élhetőségének javítását szolgáló Zichy-liget projekt tervezése</t>
  </si>
  <si>
    <t>ITP keretében megvalósuló fejlesztések</t>
  </si>
  <si>
    <t>Óvodai udvarok megújítása</t>
  </si>
  <si>
    <t>Innovatív Szociális Szolgáltató Központ kialakítása Székesfehérváron</t>
  </si>
  <si>
    <t>Épület felújítása és eszközbeszerzés a TOP 6.6.1-16 kódszámú pályázati felhívás keretében</t>
  </si>
  <si>
    <t>Felnőtt háziorvosi rendelő felújítása</t>
  </si>
  <si>
    <t>Gyermekorvosi rendelő és védőnői tanácsadó átalakítása, bővítése, felújítása a TOP 6.2.1-16 kódszámú pályázati felhívás keretében</t>
  </si>
  <si>
    <t>Záró Pénzkészlet (Nyitó pénzkészlet + Bevétel-Kiadás különbözete)</t>
  </si>
  <si>
    <t>32.</t>
  </si>
  <si>
    <t>33.</t>
  </si>
  <si>
    <t>Székesfehérvári Balett Színház</t>
  </si>
  <si>
    <t>~ Főösszeget nem érintő saját hatáskörű átcsoportosítás</t>
  </si>
  <si>
    <t>Nemzeti Szabadidős-Egészség Sportpark Program önkormányzati saját erő (194/2018.(III.19.) kgy.hat.alapján)</t>
  </si>
  <si>
    <t xml:space="preserve">         Államalapító Szent István Érdemrend és Díj Alapítvány</t>
  </si>
  <si>
    <t xml:space="preserve">             Rászoruló gyermekek intézményen kívüli szünidei étkeztetésének támogatása</t>
  </si>
  <si>
    <t>Siklósi Gyula Várostörténeti Kutatóközpont</t>
  </si>
  <si>
    <t xml:space="preserve">              Kábítószerügyi Egyeztető Fórum</t>
  </si>
  <si>
    <t xml:space="preserve">              Vadásztölténygyári Vasas Ifjúsági és Sport Egyesület- Futballfesztivál megrendezésének támogatása</t>
  </si>
  <si>
    <t xml:space="preserve">              Maroshegyi Ifjúsági Egyesület</t>
  </si>
  <si>
    <t xml:space="preserve">              Egészség és Kultúra Egyesület - Fehérvár Feszt megrendezésének támogatása </t>
  </si>
  <si>
    <t xml:space="preserve">              Egészség és Kultúra Egyesület - Skate Park és szurkolói klub működtetése</t>
  </si>
  <si>
    <t xml:space="preserve">              Székesfehérvári Városszépítő- és Védő Egyesület - Székesfehérvár Hosszútemető műemlék jellegű sírjainak karbantartására, felújítására</t>
  </si>
  <si>
    <t xml:space="preserve">              Ifjúsági feladatok és a Székesfehérvári Diáktanács működése</t>
  </si>
  <si>
    <t xml:space="preserve">              Székesfehérvári Szerb Nemzetiségi Önkormányzat- Szerb templom karbantartásához, felújításához, nyitvatartásához</t>
  </si>
  <si>
    <t xml:space="preserve">              Székesfehérvári Születési Támogatási Program - települési támogatás</t>
  </si>
  <si>
    <t xml:space="preserve">              Székesfehérvári Szociális Alapítvány</t>
  </si>
  <si>
    <t xml:space="preserve">              Székesfehérvári Érzékenyítő Program</t>
  </si>
  <si>
    <t xml:space="preserve">              Gaja Környezetvédő Egyesület működési támogatása</t>
  </si>
  <si>
    <t xml:space="preserve">              Önkormányzati közalapítványok támogatása (379/2016. (V.27.) kgy. hat. alapján)</t>
  </si>
  <si>
    <t xml:space="preserve">              Katonai Emlékpark Közhasznú Nonprofit Kft.- A Katonai Emlékpark kiemelt- elsősorban pedagógiai-programjainak támogatása</t>
  </si>
  <si>
    <t xml:space="preserve">              1956-os Magyar Szabadságharcosok Világszövetsége Egyesület</t>
  </si>
  <si>
    <t xml:space="preserve">              Honvédség és Társadalom Baráti Kör Székesfehérvári Szervezete</t>
  </si>
  <si>
    <t xml:space="preserve">              Dévai Szent Ferenc Alapítvány- Szent Imre Iskolaház működéséhez támogatás</t>
  </si>
  <si>
    <t xml:space="preserve">              Fehérvári Civil Központ üzemeltetése</t>
  </si>
  <si>
    <t xml:space="preserve">              Civil Centrum Közhasznú Alapítvány - Esélykör működtetése</t>
  </si>
  <si>
    <t xml:space="preserve">              Magyar Vöröskereszt Fejér Megyei Szervezete</t>
  </si>
  <si>
    <t xml:space="preserve">              Tarsoly Ifjúságért Egyesület</t>
  </si>
  <si>
    <t xml:space="preserve">              Nagycsaládosok Országos Egyesülete - székesfehérvári csoport támogatása</t>
  </si>
  <si>
    <t xml:space="preserve">              Vasútmodell kiállítás üzemeltetésének támogatása</t>
  </si>
  <si>
    <t xml:space="preserve">              Prosperis Alba Kutatóközpont Nonprofit Kft.</t>
  </si>
  <si>
    <t xml:space="preserve">              Székesfehérvári Zsidó Hitközség</t>
  </si>
  <si>
    <t xml:space="preserve">              Állatotthonok működési támogatása - ASKA Alapítvány</t>
  </si>
  <si>
    <t xml:space="preserve">              Állatotthonok működési támogatása - FEMA Állatmentő és Állatvédelmi Egyesület</t>
  </si>
  <si>
    <t xml:space="preserve">              Smart Grant Alapítvány</t>
  </si>
  <si>
    <t xml:space="preserve">              Informatikai fejlesztés</t>
  </si>
  <si>
    <t>~ ebből: Ingatlangazdálkodási Alap</t>
  </si>
  <si>
    <t xml:space="preserve">             Helyi közösségi közlekedés viteldíjához kapcsolódó intézkedések kerete</t>
  </si>
  <si>
    <t xml:space="preserve">              Székesfehérvári felsőoktatási intézmények támogatása</t>
  </si>
  <si>
    <t xml:space="preserve">              Digitális kompetencia fejlesztése - okos osztályterem pilot program keretében (Székesfehérvár Fejlődéséért Alapítvány)</t>
  </si>
  <si>
    <t xml:space="preserve">              Digitális kompetencia fejlesztése - digitális felnőttképzési pilot program keretében (Székesfehérvár Fejlődéséért Alapítvány)</t>
  </si>
  <si>
    <t xml:space="preserve">           Babamúzeum jogdíja</t>
  </si>
  <si>
    <t xml:space="preserve">           Réber Hagyaték</t>
  </si>
  <si>
    <t xml:space="preserve">           Vasutas Országos Közművelődési és Szabadidő Egyesület Vörösmarty Mihály Művelődési Ház és Könyvtár</t>
  </si>
  <si>
    <t xml:space="preserve">          Quartettissimo Fesztivál- Károlyi József Alapítvány</t>
  </si>
  <si>
    <t xml:space="preserve">          Fehérvári Zenei Napok- FEZEN Művészeti és Jószolgálati Alapítvány</t>
  </si>
  <si>
    <t xml:space="preserve">         Nemzeti és állami ünnepeink</t>
  </si>
  <si>
    <t xml:space="preserve">         Városrészi rendezvények</t>
  </si>
  <si>
    <t xml:space="preserve">         Emléktábla elhelyezéséhez támogatás</t>
  </si>
  <si>
    <t xml:space="preserve">         Trianon Centenárium</t>
  </si>
  <si>
    <t>~ ebből: Magyar Labdarúgó Szövetség Fejér Megyei Igazgatósága - "Alba Liga" kispályás labdarúgó bajnokság támogatása</t>
  </si>
  <si>
    <t xml:space="preserve">             MÁV Előre Sport Club </t>
  </si>
  <si>
    <t xml:space="preserve">             Év közben jelentkező sportcélú kiadások</t>
  </si>
  <si>
    <t xml:space="preserve">             Free Spirit Tánc-Sport Egyesület</t>
  </si>
  <si>
    <t xml:space="preserve">             Fehérvári Vizilabda Sportegyesület- uszoda fejlesztéssel kapcsolatos tervek elkészítéséhez támogatás (230/2018.(IV.20.) kgy.hat.alapján)</t>
  </si>
  <si>
    <t>Kulturális Alap</t>
  </si>
  <si>
    <t>Egészségügyi Alap</t>
  </si>
  <si>
    <t>Sport Alap</t>
  </si>
  <si>
    <t>Ifjúsági Alap</t>
  </si>
  <si>
    <t>Nemzetiségi Alap</t>
  </si>
  <si>
    <t xml:space="preserve">             Jubileumi jutalom, jogszabályból fakadó személyi jellegű többlet kifizetések kerete</t>
  </si>
  <si>
    <t xml:space="preserve">             Intézményi kafetéria juttatás fedezetére</t>
  </si>
  <si>
    <t xml:space="preserve">             Költségvetési szervek működési költségeinek  tartalék kerete, valamint az új illetve átszervezéssel érintett intézmények megalakulásával és átszervezésével kapcsolatos eseti költségeinek fedezetére</t>
  </si>
  <si>
    <t xml:space="preserve">             Óvodai és iskolai szociális segítő tevékenység támogatása</t>
  </si>
  <si>
    <t xml:space="preserve">      </t>
  </si>
  <si>
    <t xml:space="preserve">             Járásszékhely múzeumok szakmai támogatása</t>
  </si>
  <si>
    <t xml:space="preserve">             Katonai Főváros Program kerete</t>
  </si>
  <si>
    <t>Javasolt módosítás     (2)</t>
  </si>
  <si>
    <t>Költségvetési szerveknek lebontás
(6)</t>
  </si>
  <si>
    <t>Csóri karsztakna védelembe helyezése előkészítő feladatok</t>
  </si>
  <si>
    <t>Székesfehérvár, Juharfa utca 7899/68 helyrajzi számú ingatlanon álló épület és kerítés felújítási munkái</t>
  </si>
  <si>
    <t>Önerős fejlesztések összesen</t>
  </si>
  <si>
    <t>MVP, egyedi projektek</t>
  </si>
  <si>
    <t>MVP, egyedi projektek összesen:</t>
  </si>
  <si>
    <t>Támogatásból megvalósuló fejlesztések összesen</t>
  </si>
  <si>
    <t>Alagsori szint talajvíz elleni szigeteléséhez és felújításához kapcsolódó tervezési feladat</t>
  </si>
  <si>
    <t xml:space="preserve">Napraforgó Bölcsőde </t>
  </si>
  <si>
    <t>Udvari babakocsi és kerékpár tároló kialakítása,
megsüllyedt és balesteveszélyes térkő burkolat helyreállítása</t>
  </si>
  <si>
    <t>Tetőhéjazat csere</t>
  </si>
  <si>
    <t>Felsővárosi Óvoda Ybl Miklós Tagóvoda</t>
  </si>
  <si>
    <t>Udvari szervízjárda és emeleti felnőtt vizesblokk felújítása</t>
  </si>
  <si>
    <t>Hosszúsétatéri Óvoda Tóvárosi Tagóvoda</t>
  </si>
  <si>
    <t>3db vizesblokk felújítása, ereszcsatorna és bölcsőde álmennyezet lapok cseréje/pótlása</t>
  </si>
  <si>
    <t>Fűtési rendszer felújítása</t>
  </si>
  <si>
    <t>Tolnai utcai Óvoda</t>
  </si>
  <si>
    <t>Vörösmarty Mihály Általános Iskola</t>
  </si>
  <si>
    <t>Tornacsarnok nyílászáróinak és sportpadlójának cseréje</t>
  </si>
  <si>
    <t>Oromfal felújítás</t>
  </si>
  <si>
    <t>Konyha épületrész belső felújítási munkái tervdokumentáció alapján</t>
  </si>
  <si>
    <t>Háziorvosi és fogorvosi rendelő felújítása, fejlesztése</t>
  </si>
  <si>
    <t>Informatikai kiadások</t>
  </si>
  <si>
    <t>kötelező</t>
  </si>
  <si>
    <t>önként</t>
  </si>
  <si>
    <t xml:space="preserve">         Alba Regia Teátrum Alapítvány a Vörösmarty Színházért</t>
  </si>
  <si>
    <t xml:space="preserve">     </t>
  </si>
  <si>
    <t>köt</t>
  </si>
  <si>
    <t xml:space="preserve">Pályázat előkészítésére és önerő keret </t>
  </si>
  <si>
    <t>Belvárosi Brunszvik T. Óvoda</t>
  </si>
  <si>
    <t>Gyöngyvirág Óvoda-Székesfehérvár-Kindergarten Maiglöckchen</t>
  </si>
  <si>
    <t>Rákóczi Úti Óvoda</t>
  </si>
  <si>
    <t>Tolnai Úti Óvoda</t>
  </si>
  <si>
    <t>~ ebből: Önként vállalt feladat e.i.</t>
  </si>
  <si>
    <t xml:space="preserve">           Összesen</t>
  </si>
  <si>
    <t xml:space="preserve">           Kötelező feladat összesen</t>
  </si>
  <si>
    <t xml:space="preserve">           Államigazgatási feladat összesen</t>
  </si>
  <si>
    <t xml:space="preserve">            Kötelező feladat összesen</t>
  </si>
  <si>
    <t>összes módosítás:</t>
  </si>
  <si>
    <t>Ell.</t>
  </si>
  <si>
    <t>~ Főösszeget nem érintő átcsoportosítás</t>
  </si>
  <si>
    <t xml:space="preserve">             Szociális ágazati összevont pótlék</t>
  </si>
  <si>
    <t xml:space="preserve">             Szociális ágazatban egészségügyi végzettséghez kötött munkakörben foglalkoztatottak egészségügyi kiegészítő pótléka</t>
  </si>
  <si>
    <t xml:space="preserve">            Költségvetési szerveknél foglalkoztatottak bérkompenzációja</t>
  </si>
  <si>
    <t xml:space="preserve">              Helyi közösségfejlesztés Székesfehérváron</t>
  </si>
  <si>
    <t xml:space="preserve">              Állatotthonok működési támogatása - HEROSZ Fehérvári Állatotthona</t>
  </si>
  <si>
    <t xml:space="preserve">              Magyarországi Zsidó Hitközségek Szövetsége</t>
  </si>
  <si>
    <t xml:space="preserve">              Magyar Máltai Szeretetszolgálat Egyesület</t>
  </si>
  <si>
    <t xml:space="preserve">              Ausztráliai tűzvész által okozott károk enyhítését célzó adományozásra</t>
  </si>
  <si>
    <t xml:space="preserve">              Év közben jelentkező, társadalmi kapcsolatokkal összefüggő kiadások</t>
  </si>
  <si>
    <t xml:space="preserve">              Magyar Szórvány Napja</t>
  </si>
  <si>
    <t>~ ebből:Települési támogatás</t>
  </si>
  <si>
    <t>Felújítási kiadások (költségvetési szerveket érintő felújítási, fejlesztési kiadások)</t>
  </si>
  <si>
    <t xml:space="preserve">             MOL Aréna Sóstó üzemeltetési feladatainak ellátására (Székesfehérvári Városfejlesztési Kft)</t>
  </si>
  <si>
    <t xml:space="preserve">              Alba Volán Zrt. 504/2012.(VIII.17.) kgy.hat. .I. 1. b. pontja alapján történő finanszírozására (jelenleg: Volánbusz Zrt.)</t>
  </si>
  <si>
    <t xml:space="preserve">              Ciszterci Szent István Gimnázium-2020. évi jubileumi programok</t>
  </si>
  <si>
    <t xml:space="preserve">              HPV 9 komponensű oltóanyag beszerzése a székesfehérvári lakóhellyel rendelkező 2020. évben 12. életévüket betöltő fiú gyermekek részére Humán Szolgáltató Intézeten keresztül</t>
  </si>
  <si>
    <t xml:space="preserve">              Házi gyermekorvosok és iskolaorvosok szolgálatának működtetése</t>
  </si>
  <si>
    <t xml:space="preserve">              Autizmussal élő fiatal felnőttek nappali ellátásának megszervezése</t>
  </si>
  <si>
    <t xml:space="preserve">              Kégl György Program: oltástámogatási program</t>
  </si>
  <si>
    <t xml:space="preserve">              Egészségügyi célú kiadások, év közben jelentkező többletfeladatok</t>
  </si>
  <si>
    <t xml:space="preserve">         Országos Diákparlament</t>
  </si>
  <si>
    <t xml:space="preserve">         Burján Zsigmond- "Szégyen" munkacímű filmalkotás felhasználási jogának megvásárlása</t>
  </si>
  <si>
    <t xml:space="preserve">         Kossuth udvari órajáték bővítése adventi időszakban</t>
  </si>
  <si>
    <t xml:space="preserve">         Kültéri természetfotó kiállítás Városház téren</t>
  </si>
  <si>
    <t xml:space="preserve">         XVI. Alba Regia Nemzetközi Gyermekkórus Fesztivál</t>
  </si>
  <si>
    <t xml:space="preserve">         Székesfehérvári Egyházmegye- Szent II. János Pál pápa szobor állítása</t>
  </si>
  <si>
    <t xml:space="preserve">         Székely Vásár</t>
  </si>
  <si>
    <t xml:space="preserve">         "Királyi utakon Horvátországban" című film elkészítéséhez támogatás</t>
  </si>
  <si>
    <t xml:space="preserve">            Alba Volán Sporclub -  Öttusa Európa Bajnokság</t>
  </si>
  <si>
    <t xml:space="preserve">             Fehérvár Sakk Sportegyesület</t>
  </si>
  <si>
    <t xml:space="preserve">            Bridge Club Székesfehérvár</t>
  </si>
  <si>
    <t xml:space="preserve">             Giro d'Italia székesfehérvári szakaszához kapcsolódó költségek</t>
  </si>
  <si>
    <t xml:space="preserve">             Alba Triatlon és Szabadidő Sprtegyesület - triatlon és futóverseny szervezése</t>
  </si>
  <si>
    <t>Fejlesztési kiadások 2020. évi feladatonkénti megbontása
(eFt-ban)</t>
  </si>
  <si>
    <t>Saára Gyula program - Útépítések, felújítások</t>
  </si>
  <si>
    <t>Saára Gyula progam - Útfelújítás viziközmű fejlesztési alaphoz kapcsolódó feladatai</t>
  </si>
  <si>
    <t>Saára Gyula program - Közlekedésbiztonság</t>
  </si>
  <si>
    <t>Saára Gyula program - Csapadékvíz elvezetése, árvíz-belvíz védekezés</t>
  </si>
  <si>
    <t>Saára Gyula és Ybl Miklós program végrehajtásához kapcsolódó feladatok</t>
  </si>
  <si>
    <t>Korlátozási kártalanítás, idegen ingatlanokon lévő viziközművek szolgalmi rendezése</t>
  </si>
  <si>
    <t>Saára Gyula program - Közösségi közlekedés fejlesztése</t>
  </si>
  <si>
    <t>Városüzemeltetéssel kapcsolatos feladatok</t>
  </si>
  <si>
    <t>Térinformatika</t>
  </si>
  <si>
    <t>Szemünk Fénye Program</t>
  </si>
  <si>
    <t>Csapadékelvezetés, Szennyvízelvezetés</t>
  </si>
  <si>
    <t>Székesfehérvár Város és Térsége Szennyvízcsatorna Hálózat Bővítési Önkormányzati Társulás 2020. évi önkormányzati önrésze</t>
  </si>
  <si>
    <t>Egyéb fejlesztések</t>
  </si>
  <si>
    <t>Arany János utca 10. szám alatti ingatlan felújításával kapcsolatos tervezési feladatok</t>
  </si>
  <si>
    <t>Jókai utca 2. épület fal sótlanítás és falszárítás dokumentáció</t>
  </si>
  <si>
    <t>Prohászka Ottokár út 32/a. épület bontási terve</t>
  </si>
  <si>
    <t>Székesfehérvár, Városház tér 1. szám alatti épület tartószerkezeti véleményezése, épületenergetika, elektromos felújítás költségbecslése</t>
  </si>
  <si>
    <t>Székesfehérvár 428 hrsz-ú ingatlanon álló épület építészeti, műszaki felmérése, hasznosítási elemzések</t>
  </si>
  <si>
    <t>Felsővárosi Tájház kialakítása – Kertalja utca II. ütem</t>
  </si>
  <si>
    <t>Székesfehérvár, Mura utca 2. ingatlanon elhelyezsére kerülő raktárkonténer telepítésének költsége és bérleti díja (654/2018.(X.12.) kgy.hat.alapján</t>
  </si>
  <si>
    <t>Elektromos gépjárművek beszerzése</t>
  </si>
  <si>
    <t>Királyi Bazilika köveinek elszállítása</t>
  </si>
  <si>
    <t xml:space="preserve">Országos Futópálya-építési Program (9196 hrsz.alatti Halesz ligetben) - 424/2019. (VI.21.) kgy.határozat alapján </t>
  </si>
  <si>
    <t>Kültéri kézilabdapálya építésére pályázati önrész biztosítása</t>
  </si>
  <si>
    <t>Kégl és Távirda utca felújítása</t>
  </si>
  <si>
    <t>Székesfehérvári Sóstó Természetvédelmi Terület és Vidámparki Csónakázótó rehabilitációjára, figyelemmel a 1285/2015.(IV.30.) Korm. határozatra, valamint a megvalósítás ütemezésére</t>
  </si>
  <si>
    <t>Multifunkcionális csarnok megvalósítása (teljes körű tervezés, előkészítés)</t>
  </si>
  <si>
    <t>Szent István Király Múzeum épületének rekonstrukciója előkészítése 1793/2017.(XI.8) Korm.hat.</t>
  </si>
  <si>
    <t>Szent István Király Múzeum épületének rekonstrukciója előkészítése - önerő kerete</t>
  </si>
  <si>
    <t>„Az ország bölcsője” kiemelt székesfehérvári alprogram első szakaszának megvalósításáról és a második szakasz egyes fejlesztési elemeinek bemutatásáról szóló 1469/2017. (VII.25.) Kormányhatározat értelmében</t>
  </si>
  <si>
    <t>Szent István Király Múzeum épületének rekonstrukciója megvalósítása 1006/2020.(I.29.) Korm.határozat értelmében</t>
  </si>
  <si>
    <t>Székesfehérvár Középiskolai Campus</t>
  </si>
  <si>
    <t>Berényi út felújítása II.ütem</t>
  </si>
  <si>
    <t>Déli összekötőút megépítése</t>
  </si>
  <si>
    <t>Déli összekötőút megépítése -  támogatói előleg visszautalása</t>
  </si>
  <si>
    <t>Zöld Város Fehérvár Tüdeje II.ütem</t>
  </si>
  <si>
    <t>Berényi II. ütem vízrendezése</t>
  </si>
  <si>
    <t>Távirda-Kégl Gy. utcai csapadékcsatorna rekonstrukciója</t>
  </si>
  <si>
    <t xml:space="preserve">Székesfehérvár területén fenntartható városi közlekedés fejlesztés </t>
  </si>
  <si>
    <t xml:space="preserve">Bartók Béla tér fejlesztése </t>
  </si>
  <si>
    <t>Költségvetési szerveket érintő felújítási, fejlesztési kiadások 2020. évben
(eFt-ban)</t>
  </si>
  <si>
    <t>Ybl Miklós-program: Intézményfelújítások, fejlesztések</t>
  </si>
  <si>
    <t>Kossuth Zsuzsanna Szociális Intézmény</t>
  </si>
  <si>
    <t>Kossuth Zsuzsanna Szociális Intézmény (korábbi ESZI székhelyintézmény) tetőtér beépítési munkáival készülő férőhely bővítés feladataira</t>
  </si>
  <si>
    <t>Kossuth Zsuzsanna Szociális Intézmény ((korábbi ESZI székhelyintézmény) villamos hálózat rekonstrukciója kiviteli terv alapján (tervezés és kivitelezés)</t>
  </si>
  <si>
    <t>Feketehegy-Szárazréti Idősek Otthona (korábbi III. számú Idősek Otthona, telephelyintézmény) lépcsőházi acél üvegportál cseréje műanyag szerkezetre, hőtükrös fóliázással</t>
  </si>
  <si>
    <t>Kossuth Zsuzsanna Szociális Intézmény (korábbi ESZI székhelyintézmény) villamoshálózat korszerűsítéséhez és a fűtési rendszer átalakításához, valamint az ingatlanon található 2. számú épület tetőtérbeépítésével kapcsolatos tervezési feladatok</t>
  </si>
  <si>
    <t>Feketehegy-Szárazréti Idősek Otthona (korábbi III. számú Idősek Otthona, telephelyintézmény)  tűzvédelmi átalakítás</t>
  </si>
  <si>
    <t>Hosszúsétatéri Idősek Otthona (korábbi II. számú Idősek Otthona, telephelyintézmény) homlokzati javítás</t>
  </si>
  <si>
    <t xml:space="preserve">Kríziskezelő Központ </t>
  </si>
  <si>
    <t>Kikindai utca 8. szám alatt lévő 1. számú és 3. számú lakás vizesblokkok felújítása, kazáncsere</t>
  </si>
  <si>
    <t>Medencetér felújítása</t>
  </si>
  <si>
    <t>TÁVHŐ szolgáltatáshoz új hőközpont építése</t>
  </si>
  <si>
    <t>Villamoshálózat korszerüsítése</t>
  </si>
  <si>
    <t xml:space="preserve">Székesfehérvári Tankerületi Központ </t>
  </si>
  <si>
    <t>Mészöly Géza utca 5. szám alatti rendelő</t>
  </si>
  <si>
    <t>Csók István Képtár homlokzatának helyreállítása, árkádsor alatti világítás kiépítése lépcső helyreállítással</t>
  </si>
  <si>
    <t>Városház tér 1-2. épület, Várkörút 1/a. épület karbantartás</t>
  </si>
  <si>
    <t>Tác Gorsium-épület körüli csapadékvíz elvezetési probléma megoldása</t>
  </si>
  <si>
    <t xml:space="preserve">Székesfehérvár, Bőrgyár u. 2. szám alatti ingatlan </t>
  </si>
  <si>
    <t>Tetőszerkezet cseréje</t>
  </si>
  <si>
    <t>Batthyány utca 12. szám alatti rendelő</t>
  </si>
  <si>
    <t>Ybl lakótelepi rendelő</t>
  </si>
  <si>
    <t>Szekfű Gyula utca 9. szám alatti rendelő</t>
  </si>
  <si>
    <t>2020. évi bevételei eFt-ban</t>
  </si>
  <si>
    <t>2020. évi kiadásai eFt-ban</t>
  </si>
  <si>
    <t>összevont 2020. évi bevételeiről eFt-ban</t>
  </si>
  <si>
    <t>összevont 2020. évi kiadásairól eFt-ban</t>
  </si>
  <si>
    <t>összevont 2020. évi bevételi és kiadási  egyenlege eFt-ban</t>
  </si>
  <si>
    <t xml:space="preserve">              Fejér Megyei Katasztrófavédelmi Igazgatóság - Polgári Védelmi Kirendeltségének 2020. évi támogatására</t>
  </si>
  <si>
    <t xml:space="preserve">             Felsővárosi Fésüs Röplabda Akadémia Fehérvár (234/2019. (IV.26.) kgy. határozat alapján</t>
  </si>
  <si>
    <t xml:space="preserve">             Kistelepülési könyvtári és közművelődési kiegészítő támogatás (Vörösmarty Mihály Könyvtár)</t>
  </si>
  <si>
    <t>Önkormányzat 2020. évi költségvetési kiadásai (eFt-ban)</t>
  </si>
  <si>
    <t>2020. évre áthúzódó
(4)</t>
  </si>
  <si>
    <t>2020. évi előirányzat     (5)</t>
  </si>
  <si>
    <t>Költségvetési szerveket érintő felújítási, fejlesztési kiadások</t>
  </si>
  <si>
    <t xml:space="preserve">   Nemzetközi kapcsolatok</t>
  </si>
  <si>
    <t>önk</t>
  </si>
  <si>
    <t xml:space="preserve">   Év közben jelentkező sportcélú kiadások</t>
  </si>
  <si>
    <t xml:space="preserve">              Alba Regia Szimfonikus Zenekar</t>
  </si>
  <si>
    <t>16, Irányító szervi támogatás folyósítása</t>
  </si>
  <si>
    <t>17, Finanszírozási kiadások összesen:</t>
  </si>
  <si>
    <t>15, Államháztartáson belüli megelőlegezések visszafizetése</t>
  </si>
  <si>
    <t>Mesevilág.Bölcsőde</t>
  </si>
  <si>
    <t>Szeder Bölcsőde</t>
  </si>
  <si>
    <t>Tündérkert Bölcsőde</t>
  </si>
  <si>
    <t>Alba Bástya  Család- és Gyermekjóléti Központ</t>
  </si>
  <si>
    <t>Székesfehérvári Közösségi és Kulturális Központ</t>
  </si>
  <si>
    <t>Költségvetési szervek 2020. évi kiadási előirányzata (eFt-ban)</t>
  </si>
  <si>
    <t>Mesevilág Bölcsőde</t>
  </si>
  <si>
    <t>Alba Bástya Család- és Gyermekjóléti Központ</t>
  </si>
  <si>
    <t>Nyitó pénzkészlet (maradvány nélkül)</t>
  </si>
  <si>
    <t>Bevétel-Kiadás különbözet havi bontásban (maradvány igénybevételével)</t>
  </si>
  <si>
    <t>7. Finanszírozási bevételek összesen (5+6):</t>
  </si>
  <si>
    <t>8. Finanszírozási kiadások összesen:</t>
  </si>
  <si>
    <t>II. Finanszírozási bevételek összesen (1+2)</t>
  </si>
  <si>
    <t>2, Irányító szervi támogatás folyósítása</t>
  </si>
  <si>
    <t>IV. Finanszírozási kiadások összesen (1+2)</t>
  </si>
  <si>
    <t>1, Államháztartáson belüli megelőlegezések visszafizetése</t>
  </si>
  <si>
    <t>Székesfehérvári közösségi közlekedési stratégia elkészítése, a közösségi közlekedéssel kapcsolatos feladatok</t>
  </si>
  <si>
    <t>2020. év</t>
  </si>
  <si>
    <t>2021. év</t>
  </si>
  <si>
    <t>2022. év</t>
  </si>
  <si>
    <t>2023. év</t>
  </si>
  <si>
    <t>További évek összesen</t>
  </si>
  <si>
    <t>g.=b.+…+f.</t>
  </si>
  <si>
    <t>I. Európai uniós és hazai forrásból megvalósuló projektekkel kapcsolatos kiadások</t>
  </si>
  <si>
    <t>Székesfehérvári Sóstó Természetvédelmi Terület és Vidámparki Csónakázótó rehabilitációjára, figyelemmel a 1285/2015.(IV.30.) Korm. Határozatra, valamint a megvalósítás ütemezésére</t>
  </si>
  <si>
    <t xml:space="preserve">Szekfű Gyula utcai rendelőépület fejlesztése </t>
  </si>
  <si>
    <t>Segítő Fehérvár program</t>
  </si>
  <si>
    <t>Helyi közösségfejlesztés Székesfehérváron</t>
  </si>
  <si>
    <t>Székesfehérvári Középiskolai Campus kialakítása</t>
  </si>
  <si>
    <t>Bartók Béla tér fejlesztése</t>
  </si>
  <si>
    <t>Zöld Város - Fehérvár Tüdeje II. ütem</t>
  </si>
  <si>
    <t>Szent István Király Múzeum épületének rekonstrukciója megvalósítása 1006/2020.(I.29) Korm.határozat alapján</t>
  </si>
  <si>
    <t>I. Európai uniós és hazai forrásból megvalósuló projektekkel kapcsolatos kiadások összesen</t>
  </si>
  <si>
    <t>II. Egyéb beruházási, felhalmozási kiadások</t>
  </si>
  <si>
    <t>Alba Geotrade Zrt. – központi közműnyilvántartás és alaptérkép vezetése</t>
  </si>
  <si>
    <t>II. Egyéb beruházási, felhalmozási kiadások összesen</t>
  </si>
  <si>
    <t>III. Helyi közösségi közlekedéssel kapcsolatos kiadások</t>
  </si>
  <si>
    <t>Alba Volán Zrt. - 2006. január 1. napjától 2012. december 31. napjáig terjedő időszak veszteségének kiegyenlése (jelenleg Volánbusz Zrt.)</t>
  </si>
  <si>
    <t>III. Helyi közösségi közlekedéssel kapcsolatos kiadások összesen</t>
  </si>
  <si>
    <t>Sportcsarnok, egyéb létesítmények, felszíni parkolók, zöldfelület építésének önkormányzati önrésze (233/2019.(IV.26.) kgy.hat.alapján)</t>
  </si>
  <si>
    <t>Sportcsarnok, egyéb létesítmények, felszíni parkolók, zöldfelület építésének önkormányzati önrésze 233/2019.(IV.26.) kgy.hat.alapján)</t>
  </si>
  <si>
    <t>Új Módosított előirányzat</t>
  </si>
  <si>
    <t>Önkormányzat I. módosított előirányzata</t>
  </si>
  <si>
    <t>Módosított előirányzat
(1)</t>
  </si>
  <si>
    <t>Új Módosított előírányzat
(3)=(1)+(2)</t>
  </si>
  <si>
    <t xml:space="preserve">   Kulturális célú kiadások év közben jelentkező többletfeladatok</t>
  </si>
  <si>
    <t xml:space="preserve">   Országos Diákparlament</t>
  </si>
  <si>
    <t>~ Főösszeget nem érintő saját hatásksörű átcsoportosítás</t>
  </si>
  <si>
    <t>Személyügyi  kiadások</t>
  </si>
  <si>
    <t xml:space="preserve">   Nemzetiségi önkormányzatok</t>
  </si>
  <si>
    <t>Nemzetiségi önkormányzatok</t>
  </si>
  <si>
    <t>Ssz.</t>
  </si>
  <si>
    <t>2020. évi terv (eFt-ban)</t>
  </si>
  <si>
    <t>2019. évi alap maradványa</t>
  </si>
  <si>
    <t>Kamatbevétel 2020.</t>
  </si>
  <si>
    <t>Bírságok 2020.</t>
  </si>
  <si>
    <t>Talajterhelési díj 2020.</t>
  </si>
  <si>
    <t>Önkormányzati egyéb bevételből biztosított forrás</t>
  </si>
  <si>
    <t>2020. évi összes bevétel:</t>
  </si>
  <si>
    <t>Környezetvédelmi Nevelési Alap - szemléletformálást segítő előadások, pályázatok, pedagógiai továbbképzések támogatása</t>
  </si>
  <si>
    <t>1000 fa ültetése projekt</t>
  </si>
  <si>
    <t>Székesfehérvár zöldfelületi elemeinek növelése</t>
  </si>
  <si>
    <t>Környezetvédelmi program kidolgozása</t>
  </si>
  <si>
    <t>Környezetvédelmi feladatok összesen:</t>
  </si>
  <si>
    <t>Bankköltség, forgalmi jutalék</t>
  </si>
  <si>
    <t>Fel nem osztott keret</t>
  </si>
  <si>
    <t>Kiadások összesen:</t>
  </si>
  <si>
    <t>Előirányzat módosítás</t>
  </si>
  <si>
    <t xml:space="preserve">   Központi támogatások és szerződéses kötelmek elszámolási kerete</t>
  </si>
  <si>
    <t xml:space="preserve">   Humán  járvány megelőzése, következményeink elhárítása </t>
  </si>
  <si>
    <t xml:space="preserve">   Sport Alap (Utánpótlás nevelés támogatása)</t>
  </si>
  <si>
    <t>ÖNKÉNT</t>
  </si>
  <si>
    <t xml:space="preserve">   Sportcélok és feladatok</t>
  </si>
  <si>
    <t>~Várható bevételkiesés miatti rendezés</t>
  </si>
  <si>
    <t xml:space="preserve">   Megbízási díjak</t>
  </si>
  <si>
    <t xml:space="preserve">   Kéményseprő ipari közszolgáltatás helyi önkormányat általi ellátásának támogatása</t>
  </si>
  <si>
    <t xml:space="preserve">   Kültéri kézilabdapálya építésére pályázati önrész biztosítása</t>
  </si>
  <si>
    <t xml:space="preserve">   Informatikai fejlesztés</t>
  </si>
  <si>
    <t xml:space="preserve">   Székesfehérvári Szakképzési Centrum - oktatásszakmai munkájának támogatása</t>
  </si>
  <si>
    <t xml:space="preserve">   Szent István Múzeum muzeális emlékeinek  elhelyezésére szolgáló ingatlannal kapcsolatos üzemeltetési költségek</t>
  </si>
  <si>
    <t xml:space="preserve">   Székesfehérvár Városfejlesztési Nonprofit Kft. Ingatlangazdálkodási kiadások lakás és nem lakás célú felújítási kerettel</t>
  </si>
  <si>
    <t>~Bevétel miatti növekedés</t>
  </si>
  <si>
    <t>~ Várható bevételkiesés miatti rendezés</t>
  </si>
  <si>
    <t xml:space="preserve">   Ausztráliaia tűzvész által okozott károk enyhítését célzó adomány</t>
  </si>
  <si>
    <t xml:space="preserve">   Határon túli magyar kapcsolatok</t>
  </si>
  <si>
    <t>kötel</t>
  </si>
  <si>
    <t xml:space="preserve">   Székesfehérvár szennyvíztisztító telep biogáz vonalának fejlesztése</t>
  </si>
  <si>
    <t xml:space="preserve">   Mozgássérültek Fejér Megyei Egyesülete által fenntartott Viktória Rehabilitációs Központ egészségügyi és szociális ellátásának támogatása</t>
  </si>
  <si>
    <t>Pályázat célja</t>
  </si>
  <si>
    <t>Székesfehérvári gyermekek táboroztatásának és programjainak támogatása</t>
  </si>
  <si>
    <t>Székesfehérváron megvalósuló szociális és esélyegyenlőségi programok támogatása</t>
  </si>
  <si>
    <t>Székesfehérvári civil szervezetek működési költségeinek támogatása</t>
  </si>
  <si>
    <t>Társadalmi Felelősségvállalási Alap felosztása (eFt-ban)</t>
  </si>
  <si>
    <t>Állami hozzájárulás jogcíme</t>
  </si>
  <si>
    <t>2020. évi költségvetési törvény melléklete</t>
  </si>
  <si>
    <t>Támogatás mértéke (Ft)</t>
  </si>
  <si>
    <t>Jogosultság alapja (fő)</t>
  </si>
  <si>
    <t>Állami hozzájárulás összege (eFt)</t>
  </si>
  <si>
    <t>2. sz. melléklet I.2.</t>
  </si>
  <si>
    <t>Nem közművel összegyűjtött háztartási szennyvíz ártalmatlanítása</t>
  </si>
  <si>
    <t>180 m3</t>
  </si>
  <si>
    <t>2. sz. melléklet II.1.</t>
  </si>
  <si>
    <t>Óvodapedagógusok és az óvodapedagógusok nevelőmunkáját közvetlenül segítők bértámogatása</t>
  </si>
  <si>
    <t>2. sz. melléklet II.2.</t>
  </si>
  <si>
    <t>Óvodaműködtetési támogatás</t>
  </si>
  <si>
    <t>2. sz. melléklet II.4.</t>
  </si>
  <si>
    <t>Kiegészítő támogatás az óvodapedagógusok és pedagógus szakképzettséggel rendelkező segítők minősítéséből adódó többletkiadásokhoz</t>
  </si>
  <si>
    <t>2. sz. melléklet II.5.</t>
  </si>
  <si>
    <t>Nemzetiségi pótlék</t>
  </si>
  <si>
    <t>2. sz. melléklet III.2.a)</t>
  </si>
  <si>
    <t>Család - és gyermekjóléti szolgálat</t>
  </si>
  <si>
    <t>2. sz. melléklet III.2.b)</t>
  </si>
  <si>
    <t>Család- és gyermekjóléti központ</t>
  </si>
  <si>
    <t>2. sz. melléklet III.2.c)</t>
  </si>
  <si>
    <t>Szociális étkeztetés</t>
  </si>
  <si>
    <t>2. sz. melléklet III.2.da)</t>
  </si>
  <si>
    <t>Házi segítségnyújtás-szociális segítség</t>
  </si>
  <si>
    <t>2. sz. melléklet III.2.db)</t>
  </si>
  <si>
    <t>Házi segítségnyújtás-személyi gondozás</t>
  </si>
  <si>
    <t>2. sz. melléklet III.2.f)</t>
  </si>
  <si>
    <t>Időskorúak nappali intézményi ellátása</t>
  </si>
  <si>
    <t>2. sz. melléklet III.2.g)</t>
  </si>
  <si>
    <t>Fogyatékos és demens személyek nappali intézményi ellátása</t>
  </si>
  <si>
    <t>2. sz. melléklet III.2.i)</t>
  </si>
  <si>
    <t>Hajléktalanok nappali intézményi ellátása</t>
  </si>
  <si>
    <t>2. sz. melléklet III.2.k)</t>
  </si>
  <si>
    <t>Hajléktalanok átmeneti intézményei</t>
  </si>
  <si>
    <t>2. sz. melléklet III.2.n)</t>
  </si>
  <si>
    <t>Óvodai és iskolai szociális segítő tevékenység támogatása</t>
  </si>
  <si>
    <t>2. sz. melléklet III.4.a)</t>
  </si>
  <si>
    <t>A települési önkormányzatok által biztosított egyes szociális szakosított ellátások, valamint a gyermekek átmeneti gondosásával kapcsolatos feladatok támogatása- A finanszírozás szempontjából elismert szakmai dolgozók bértámogatása</t>
  </si>
  <si>
    <t>2. sz. melléklet III.4.b)</t>
  </si>
  <si>
    <t>A települési önkormányzatok által biztosított egyes szociális szakosított ellátások, valamint a gyermekek átmeneti gondosásával kapcsolatos feladatok támogatása- Intézményüzemeltetési támogatás</t>
  </si>
  <si>
    <t>2. sz. melléklet III.5.aa)</t>
  </si>
  <si>
    <t>Intézményi gyermekétkeztetés támogatása - Az intézményi gyermekétkeztetés kapcsán az étkeztetési feladatot ellátók után járó bértámogatás</t>
  </si>
  <si>
    <t>2. sz. melléklet III.5.ab)</t>
  </si>
  <si>
    <t>Intézményi gyermekétkeztetés támogatása - Az intézményi gyermekétkeztetés üzemeltetési támogatása</t>
  </si>
  <si>
    <t>2. sz. melléklet III.5.b)</t>
  </si>
  <si>
    <t>A rászoruló gyermekek szünidei étkeztetésének támogatása</t>
  </si>
  <si>
    <t>2. sz. melléklet III.3.a)</t>
  </si>
  <si>
    <t>Bölcsőde, mini bölcsőde támogatása - A finanszírozás szempontjából elismert szakmai dolgozók bértámogatása</t>
  </si>
  <si>
    <t>2. sz. melléklet III.3.b)</t>
  </si>
  <si>
    <t>Bölcsődei üzemeltetési támogatás</t>
  </si>
  <si>
    <t xml:space="preserve">2. sz. melléklet IV.1.a) </t>
  </si>
  <si>
    <t>Megyeszékhely megyei jogú városok közművelődési feladatainak támogatása</t>
  </si>
  <si>
    <t>2. sz. melléklet IV.1.e)</t>
  </si>
  <si>
    <t>2. sz. melléklet összesen:</t>
  </si>
  <si>
    <t xml:space="preserve">3. sz. melléklet I.13.a) </t>
  </si>
  <si>
    <t>Települési önkormányzatok kulturális feladatainak kiegészítő támogatása -Megyei hatókörű városi múzeumok feladatainak támogatása</t>
  </si>
  <si>
    <t xml:space="preserve">3. sz. melléklet I.13.b) </t>
  </si>
  <si>
    <t>Települési önkormányzatok kulturális feladatainak kiegészítő támogatása - Megyei hatókörű városi könyvtárak feladatainak támogatása</t>
  </si>
  <si>
    <t xml:space="preserve">3. sz. melléklet I.13.g) </t>
  </si>
  <si>
    <t>Települési önkormányzatok kulturális feladatainak kiegészítő támogatása - Zeneművészeti szervezetek támogatása</t>
  </si>
  <si>
    <t>3. sz. melléklet I.13.e)</t>
  </si>
  <si>
    <t>Települési önkormányzatok kulturális feladatainak kiegészítő támogatása - Színházművészeti szervezetek támogatása</t>
  </si>
  <si>
    <t>3. sz. melléklet I.13.d)</t>
  </si>
  <si>
    <t>Települési önkormányzatok kulturális feladatainak kiegészítő támogatása - érdekeltségnövelő támogatás</t>
  </si>
  <si>
    <t>Székesfehérvár Mancz János Bölcsőde kialakítása</t>
  </si>
  <si>
    <t xml:space="preserve">   Saára Gyula program - Útépítések, felújítások</t>
  </si>
  <si>
    <t>~ Intézményhez lebontva</t>
  </si>
  <si>
    <t xml:space="preserve">   Intézményi kafetéria juttatás fedezetére</t>
  </si>
  <si>
    <t xml:space="preserve">   Jubileumi jutalom, jogszabályból fakadó személyi jellegű többlet kifizetések kerete</t>
  </si>
  <si>
    <t xml:space="preserve">   Kistelepülési könyvtári és közművelődési kiegészítő támogatás (Vörösmarty Mihály Könyvtár)</t>
  </si>
  <si>
    <t xml:space="preserve">   Szociális ágazati összevont pótlék</t>
  </si>
  <si>
    <t xml:space="preserve">   Szociális ágazatban egészségügyi végzettséghez kötött munkakörben foglalkoztatottak egészségügyi kiegészítő pótléka</t>
  </si>
  <si>
    <t xml:space="preserve">   Költségvetési szerveknél foglalkoztatottak bérkompenzációja</t>
  </si>
  <si>
    <t>~Intézményhez lebontva</t>
  </si>
  <si>
    <t xml:space="preserve">   Fehérvári Programszervező Kft. </t>
  </si>
  <si>
    <t>Módosított  előirányzat</t>
  </si>
  <si>
    <t xml:space="preserve"> Módosított előirányzat</t>
  </si>
  <si>
    <t>Módosíott előirányzat</t>
  </si>
  <si>
    <t>~ Kistelepülési könyvtári és közművelődési kiegészítő támogatás (központi)</t>
  </si>
  <si>
    <t>~ Főösszeget érintő saját hatáskörű átcsoportosítás</t>
  </si>
  <si>
    <t>~ Személyügyi kiadások rendezése</t>
  </si>
  <si>
    <t>~ Személyügyi kiadások rendezése (Polgármesteri Hivatal)</t>
  </si>
  <si>
    <t>~ Képviselői Alapok</t>
  </si>
  <si>
    <t>álláshely</t>
  </si>
  <si>
    <t>2020. január 1.</t>
  </si>
  <si>
    <t>2020. június 15.</t>
  </si>
  <si>
    <t>2020. július 1.</t>
  </si>
  <si>
    <t>2020. szeptember 1.</t>
  </si>
  <si>
    <t xml:space="preserve"> Eü. ellátás összesen</t>
  </si>
  <si>
    <t>Nyítnikék Bölcsőde</t>
  </si>
  <si>
    <t>Belvárosi Brunszvik Teréz Óvoda</t>
  </si>
  <si>
    <t>Gyöngyvirág Óvoda-Székesfehérvár</t>
  </si>
  <si>
    <t xml:space="preserve">Humán Szolgáltató összesen </t>
  </si>
  <si>
    <t>Székesfehérvári Intézményi Központ</t>
  </si>
  <si>
    <t>Kulturális ellátás összesen</t>
  </si>
  <si>
    <t>Költségvetési szervek összesen:</t>
  </si>
  <si>
    <t>Több éves kihatással járó jelentősebb döntések</t>
  </si>
  <si>
    <t>(eFt-ban)</t>
  </si>
  <si>
    <t>4m ktgv.szervek oszlop (Ny.Ildi száma)</t>
  </si>
  <si>
    <t>Különbözet alapján</t>
  </si>
  <si>
    <t>11m</t>
  </si>
  <si>
    <t>11m.</t>
  </si>
  <si>
    <t xml:space="preserve">                  - ebből: osztalékbevétel</t>
  </si>
  <si>
    <t>11.m.</t>
  </si>
  <si>
    <t xml:space="preserve">            Önkormányzati feladatellátás és bevételkiesés fedezetére szolgáló keret</t>
  </si>
  <si>
    <t>Önerő keret (Székesfehérvár Megyei Jogú Város Önkormányzat Közgyűlése hatáskörében eljáró Székesfehérvár Megyei Jogú Város Polgármesterének 168/2020. (VI.02.) számú határozata alapján)</t>
  </si>
  <si>
    <t xml:space="preserve">   Önkormányzati feladatellátás és bevételkiesés fedezetére szolgáló keret (Fehérvári Programszervező Kft. )</t>
  </si>
  <si>
    <t>III. módosítás</t>
  </si>
  <si>
    <t>Önkormányzat II. módosított előirányzata</t>
  </si>
  <si>
    <t xml:space="preserve">              V. Adventi Jótékonysági Futás és a IX. Székesfehérvári Jótékonysági Estély (764/2019.(XI.7.) kgy.hat.alapján)</t>
  </si>
  <si>
    <t xml:space="preserve">   Belvárosi épületek rekonstrukcióját szolgáló fejlesztési alap (vissza nem térítendő támogatás)</t>
  </si>
  <si>
    <t>Csapadékvíz levezető cső csere</t>
  </si>
  <si>
    <t xml:space="preserve">     Hosszúsétatéri Óvoda - Villamoshálózat korszerüsítése</t>
  </si>
  <si>
    <t xml:space="preserve">    Ligetsori Óvoda - Csapadékvíz levezető cső csere</t>
  </si>
  <si>
    <t>Udvarfelújítási munkák</t>
  </si>
  <si>
    <t>Feketehegy-Szárazréti Idősek Otthona (korábbi III. számú Idősek Otthona, telephelyintézmény) villamos és gépészeti rendszerének felújításával kapcsolatos tervezési és kivitelezési feladatok, valamint a Maroshegyi Gondozási Központ (korábbi IV. számú Gondozási Központ, telephelyintézmény) bővítésével kapcsolatos tervezési feladatok</t>
  </si>
  <si>
    <t xml:space="preserve">    Feketehegy-Szárazréti Idősek Otthona (korábbi III. számú Idősek Otthona, telephelyintézmény) villamos és gépészeti rendszerének felújításával kapcsolatos tervezési és kivitelezési feladatok, valamint a Maroshegyi Gondozási Központ (korábbi IV. számú Gondozási Központ, telephelyintézmény) bővítésével kapcsolatos tervezési feladatok</t>
  </si>
  <si>
    <t>Humán járvány megelőzése, következményeink elhárítása</t>
  </si>
  <si>
    <t xml:space="preserve">    Mártírok útja csapadékcsatorna felújítása II. szakasz</t>
  </si>
  <si>
    <t>törölni</t>
  </si>
  <si>
    <t>Új bölcsöde létrehozása Székesfehérvár Maroshegy városrészben</t>
  </si>
  <si>
    <t>TOP 6.2.1-19 kódszámú pályázati felhívás keretében</t>
  </si>
  <si>
    <t xml:space="preserve">   V. Adventi Jótékonysági Futás és a IX. Székesfehérvári Jótékonysági Estély (764/2019.(XI.7.) kgy.hat.alapján)</t>
  </si>
  <si>
    <t xml:space="preserve">   Autizmussal élő fiatal felnőttek nappali ellátásának megszervezése</t>
  </si>
  <si>
    <t xml:space="preserve">    Hosszúsétatéri Óvoda -Udvarfelújítási munkák</t>
  </si>
  <si>
    <t xml:space="preserve">   Környezetvédelmi kiadások (Klímastratégia létrehozása és szemléletformálás Székesfehérváron)</t>
  </si>
  <si>
    <t>Székesfehérvár, Balatoni út felújítása 2020</t>
  </si>
  <si>
    <t xml:space="preserve">   Önkormányzati feladatellátás és bevételkiesés fedezetére szolgáló keret (Székesfehérvár, Balatoni út felújítása 2020)</t>
  </si>
  <si>
    <t xml:space="preserve">   Önkormányzati feladatellátás és bevételkiesés fedezetére szolgáló keret (Kültéri kézilabdapálya építésére pályázati önrész biztosítása)</t>
  </si>
  <si>
    <t xml:space="preserve">   Székesfehérvár, Balatoni út felújítása 2020</t>
  </si>
  <si>
    <t xml:space="preserve">   Új bölcsöde létrehozása Székesfehérvár Maroshegy városrészben - TOP 6.2.1-19 kódszámú pályázati felhívás keretében</t>
  </si>
  <si>
    <t xml:space="preserve">   Saára Gyula program - Közlekedésbiztonság</t>
  </si>
  <si>
    <t xml:space="preserve">   Önkormányzati feladatellátás és bevételkiesés fedezetére szolgáló keret (Prosperis Alba Kutatóközpont Nonprofit Kft. - Székesfehérvár Megyei Jogú Város Önkormányzat Közgyűlése hatáskörében eljáró Székesfehérvár Megyei Jogú Város Polgármesterének 229/2020. (VI.17.) számú határozata alapján)</t>
  </si>
  <si>
    <t xml:space="preserve">   Prosperis Alba Kutatóközpont Nonprofit Kft. (Székesfehérvár Megyei Jogú Város Önkormányzat Közgyűlése hatáskörében eljáró Székesfehérvár Megyei Jogú Város Polgármesterének 229/2020. (VI.17.) számú határozata alapján)</t>
  </si>
  <si>
    <t xml:space="preserve">   HÉT HATÁR Határon Átnyúló Önkormányzati Szövetség a Kárpát-medencében Egyesület</t>
  </si>
  <si>
    <t xml:space="preserve">   Tagdíjak (HÉT HATÁR Határon Átnyúló Önkormányzati Szövetség a Kárpát-medencében Egyesület)</t>
  </si>
  <si>
    <t xml:space="preserve">   Szivárvány Óvoda - TÁVHŐ szolgáltatáshoz új hőközpont építése</t>
  </si>
  <si>
    <t xml:space="preserve">   Önkormányzati feladatellátás és bevételkiesés fedezetére szolgáló keret (V. Adventi Jótékonysági Futás és a IX. Székesfehérvári Jótékonysági Estély (764/2019.(XI.7.) kgy.hat.alapján))</t>
  </si>
  <si>
    <t xml:space="preserve">   Ifjúsági Alap</t>
  </si>
  <si>
    <t xml:space="preserve">   Folyékony hulladék elszállítása</t>
  </si>
  <si>
    <t xml:space="preserve">   Közműellátási feladatok</t>
  </si>
  <si>
    <t>Arany János Óvoda, Általános Iskola, Szakiskola, Készségfejlesztő Iskola és Egységes Gyógypedagógiai Módszertani Intézménye - Felújítási munkálatokkal kapcsolatos feladatok</t>
  </si>
  <si>
    <t>Zentai Úti Általános Iskola</t>
  </si>
  <si>
    <t>Hétvezér Általános Iskola</t>
  </si>
  <si>
    <t>Arany János Óvoda, Általános Iskola, Szakiskola, Készségfejlesztő Iskola és Egységes Gyógypedagógiai Módszertani Intézménye - Udvar, gyermek vizesblokk (243/2020.(VII.15.) kgy.határozat alapján)</t>
  </si>
  <si>
    <t>Udvar (243/2020.(VII.15.) kgy.határozat alapján)</t>
  </si>
  <si>
    <t>kell a határozatszám? (KÉPES)</t>
  </si>
  <si>
    <t xml:space="preserve">   Zentai Úti Általános Iskola - Udvar (243/2020.(VII.15.) kgy.határozat alapján)</t>
  </si>
  <si>
    <t xml:space="preserve">   Arany János Óvoda, Általános Iskola, Szakiskola, Készségfejlesztő Iskola és Egységes Gyógypedagógiai Módszertani Intézménye - Udvar, gyermek vizesblokk (243/2020.(VII.15.) kgy.határozat alapján)</t>
  </si>
  <si>
    <t xml:space="preserve">   Zentai Úti Általános Iskola - udvar (243/2020.(VII.15.) kgy.határozat alapján)</t>
  </si>
  <si>
    <t xml:space="preserve">   Hétvezér Általános Iskola - udvar (243/2020.(VII.15.) kgy.határozat alapján)</t>
  </si>
  <si>
    <t xml:space="preserve">   Fehérvár Médiacentrum Kft. Üzletrészének megvásárlása</t>
  </si>
  <si>
    <t xml:space="preserve">   Költségvetési szervek működési költségeinek  tartalék kerete, valamint az új illetve átszervezéssel érintett intézmények megalakulásával és átszervezésével kapcsolatos eseti költségeinek fedezetére (Fehérvár Médiacentrum Kft. Üzletrészének megvásárlása)</t>
  </si>
  <si>
    <t xml:space="preserve">   Vörösmarty Mihály Általános Iskola-Tornacsarnok nyílászáróinak és sportpadlójának cseréje</t>
  </si>
  <si>
    <t xml:space="preserve">   Pályázat előkészítésére és önerő keret </t>
  </si>
  <si>
    <t>Multifunkcionális csarnok - utak, záportározó engedélyes, kiviteli tervek és felhasználási jogok ajándékozása kapcsán felmerült ÁFA megfizetése</t>
  </si>
  <si>
    <t xml:space="preserve">   Multifunkcionális csarnok - utak, záportározó engedélyes, kiviteli tervek és felhasználási jogok ajándékozása kapcsán felmerült ÁFA megfizetése</t>
  </si>
  <si>
    <t xml:space="preserve">              Kodolányi János Gimnázium - Felújítási és karbantartási munkálatok támogatása</t>
  </si>
  <si>
    <t xml:space="preserve">   Kodolányi János Gimnázium - Felújítási és karbantartási munkálatok támogatása</t>
  </si>
  <si>
    <t xml:space="preserve">   Óvodai udvarok megújítása</t>
  </si>
  <si>
    <t xml:space="preserve">   Ausztráliai tűzvész által okozott károk enyhítését célzó adományozásra</t>
  </si>
  <si>
    <t xml:space="preserve">              Fehérvár Médiacentrum Kft.</t>
  </si>
  <si>
    <t xml:space="preserve">  Fehérvár Médiacentrum Kft.</t>
  </si>
  <si>
    <t xml:space="preserve">   Költségvetési szervek működési költségeinek  tartalék kerete, valamint az új illetve átszervezéssel érintett intézmények megalakulásával és átszervezésével kapcsolatos eseti költségeinek fedezetére (Fehérvár Médiacentrum Kft.)</t>
  </si>
  <si>
    <t xml:space="preserve">   Útszabályozások, járdaépítések</t>
  </si>
  <si>
    <t xml:space="preserve">   Ingatlanvásárlások kerete</t>
  </si>
  <si>
    <t xml:space="preserve">   Lakás-, vagyongazdálkodási kiadások (Útszabályozások, járdaépítések)</t>
  </si>
  <si>
    <t xml:space="preserve">   Lakás-, vagyongazdálkodási kiadások (Ingatlanvásárlások kerete)</t>
  </si>
  <si>
    <t xml:space="preserve">   Önkormányzati feladatellátás és bevételkiesés fedezetére szolgáló keret (Vörösmarty Mihály Általános Iskola-Tornacsarnok nyílászáróinak és sportpadlójának cseréje)</t>
  </si>
  <si>
    <t xml:space="preserve">   Önkormányzati feladatellátás és bevételkiesés fedezetére szolgáló keret (Székesfehérvár szennyvíztisztító telep biogáz vonalának fejlesztése)</t>
  </si>
  <si>
    <t xml:space="preserve">   Önkormányzati feladatellátás és bevételkiesés fedezetére szolgáló keret (Pályázat előkészítésére és önerő keret)</t>
  </si>
  <si>
    <t xml:space="preserve">   Önkormányzati feladatellátás és bevételkiesés fedezetére szolgáló keret (Multifunkcionális csarnok - utak, záportározó engedélyes, kiviteli tervek és felhasználási jogok ajándékozása kapcsán felmerült ÁFA megfizetése)</t>
  </si>
  <si>
    <t xml:space="preserve">   Önkormányzati feladatellátás és bevételkiesés fedezetére szolgáló keret (Szent István Király Múzeum épületének rekonstrukciója megvalósítása 1006/2020.(I.29.) Korm.határozat értelmében)</t>
  </si>
  <si>
    <t xml:space="preserve">   Önkormányzati feladatellátás és bevételkiesés fedezetére szolgáló keret (Innovatív Szociális Szolgáltató Központ kialakítása Székesfehérváron)</t>
  </si>
  <si>
    <t xml:space="preserve">   Innovatív Szociális Szolgáltató Központ kialakítása Székesfehérváron</t>
  </si>
  <si>
    <t xml:space="preserve">   Önkormányzati feladatellátás és bevételkiesés fedezetére szolgáló keret (Saára Gyula program - Útépítések, felújítások)</t>
  </si>
  <si>
    <t xml:space="preserve">   Diáksport és szabadidős tevékenység (Sportcélok és feladatok)</t>
  </si>
  <si>
    <t>saját hatáskörű folyamatban</t>
  </si>
  <si>
    <t xml:space="preserve">   Önkormányzati feladatellátás és bevételkiesés fedezetére szolgáló keret (Fejlesztési kiadások - Saára Gyula program - Csapadékvíz elvezetése, árvíz-belvíz védekezés)</t>
  </si>
  <si>
    <t xml:space="preserve">   Saára Gyula program - Csapadékvíz elvezetése, árvíz-belvíz védekezés</t>
  </si>
  <si>
    <t>Zöldbusz Mintaprojekt (422/2020.(X.16.) kgy.határozat alapján)</t>
  </si>
  <si>
    <t xml:space="preserve">   Zöldbusz Mintaprojekt (422/2020.(X.16.) kgy.határozat alapján)</t>
  </si>
  <si>
    <t xml:space="preserve">   Reprezentációs kiadások Alpolgármester</t>
  </si>
  <si>
    <t xml:space="preserve">   Civil nap megrendezési költségei</t>
  </si>
  <si>
    <t xml:space="preserve">   Protokoll költség</t>
  </si>
  <si>
    <t xml:space="preserve">   Ifjúsági feladatok és a Székesfehérvári Diáktanács működése</t>
  </si>
  <si>
    <t xml:space="preserve">   Székesfehérvár Mancz János Bölcsőde kialakítása - Önerő keret (Székesfehérvár Megyei Jogú Város Önkormányzat Közgyűlése hatáskörében eljáró Székesfehérvár Megyei Jogú Város Polgármesterének 168/2020. (VI.02.) számú határozata alapján)</t>
  </si>
  <si>
    <t xml:space="preserve">   Vis Maior</t>
  </si>
  <si>
    <t xml:space="preserve">   Szekfű Gyula utca 9. szám alatti rendelő - Háziorvosi és fogorvosi rendelő felújítása, fejlesztése</t>
  </si>
  <si>
    <t xml:space="preserve">   Polgármesteri Hivatal - Városház tér 1-2. épület, Várkörút 1/a. épület karbantartás</t>
  </si>
  <si>
    <t xml:space="preserve">   Vörösmarty Mihály Könyvtár - Csók István Képtár homlokzatának helyreállítása, árkádsor alatti világítás kiépítése lépcső helyreállítással</t>
  </si>
  <si>
    <t>Mártírok útja csapadékcsatorna felújítása II. szakasz</t>
  </si>
  <si>
    <t xml:space="preserve">   Helyi közösségfejlesztés Székesfehérváron</t>
  </si>
  <si>
    <t xml:space="preserve">   Palotavárosi tavak sport és rekreációs célú hasznosítása</t>
  </si>
  <si>
    <t xml:space="preserve">   Multifunkcionális csarnok megvalósítása (teljes körű tervezés, előkészítés)</t>
  </si>
  <si>
    <t xml:space="preserve">   Szent István Király Múzeum épületének rekonstrukciója előkészítése - önerő kerete</t>
  </si>
  <si>
    <t xml:space="preserve">   Csapadékcsatorna üzemeltetés</t>
  </si>
  <si>
    <t xml:space="preserve">   Korlátozási kártalanítás, idegen ingatlanokon lévő viziközművek szolgalmi rendezése</t>
  </si>
  <si>
    <t xml:space="preserve">   Déli összekötőút megépítése</t>
  </si>
  <si>
    <t xml:space="preserve">   Fehérvári Programszervező Kft. (Székesfehérvár Megyei Jogú Város Önkormányzat Közgyűlése 419/2020. (X.16.) számú határozata alapján)</t>
  </si>
  <si>
    <t xml:space="preserve">   Székesfehérvári Turisztikai Közhasznú Nonprofit Kft. - működéshez (Székesfehérvár Megyei Jogú Város Önkormányzat Közgyűlése 
426/2020. (X.16.) számú határozata alapján)</t>
  </si>
  <si>
    <t xml:space="preserve">   Városi rendezvények</t>
  </si>
  <si>
    <t xml:space="preserve">   Székesfehérvári felsőoktatási intézmények támogatása</t>
  </si>
  <si>
    <t xml:space="preserve">   Nemzeti és állami ünnepeink</t>
  </si>
  <si>
    <t xml:space="preserve"> Ifjúsági Alap</t>
  </si>
  <si>
    <t>Környezetvédemi Alap</t>
  </si>
  <si>
    <t xml:space="preserve">   Környezetvédemi Alap</t>
  </si>
  <si>
    <t xml:space="preserve">   Társadalmi Felelősségvállalási Alap</t>
  </si>
  <si>
    <t xml:space="preserve">    Jogszabályok, jogszabályváltozásokhoz kapcsolódó finanszírozási keret</t>
  </si>
  <si>
    <t xml:space="preserve">   Köztéri alkotások lektorátusi díja</t>
  </si>
  <si>
    <t xml:space="preserve">   Képviselők és egyéb önkormányzati tanácsadó, testületi tagok juttatásai (helyi bérlet is)</t>
  </si>
  <si>
    <t>új sor / VG-nek átadás ?</t>
  </si>
  <si>
    <t xml:space="preserve">   Székesfehérvári Városfejlesztési Közhasznú Nonprofit Kft.- Ingatlangazdálkodási kiadások lakás és nem lakás célú felújítási kerettel</t>
  </si>
  <si>
    <t xml:space="preserve">   Településrendezést, településkép védelmet, építészeti értékvédelmet és örökségvédelmet megalapozó dokumentumok, tanulmánytervek, pályázati tervek, tervezési, kutatási szerződések, meghívásos tervpályázatok lebonyolítása, szakmai konferencia</t>
  </si>
  <si>
    <t xml:space="preserve">   Humán  járvány megelőzése, következményeink elhárítása (Kossuth Zsuzsanna Szociális Intézmény)</t>
  </si>
  <si>
    <t xml:space="preserve">   Önkormányzati feladatellátás és bevételkiesés fedezetére szolgáló keret (Osztalékbevétel)</t>
  </si>
  <si>
    <t xml:space="preserve">   Önkormányzati feladatellátás és bevételkiesés fedezetére szolgáló keret (Idegenforgalmi adóhoz kapcsolódó kiegészítő támogatás)</t>
  </si>
  <si>
    <t>Javasolt módosítás
(eFt-ban)</t>
  </si>
  <si>
    <t>Módosított előirányzat
(eFt-ban)</t>
  </si>
  <si>
    <t>Bírság visszafiz.miatti ei csökk.- nem az alapot illető bevétel volt</t>
  </si>
  <si>
    <t>Telj.: 181 eFt</t>
  </si>
  <si>
    <t>Bírság visszafiz. miatti ei csökk.- nem az alapot illető bevétel volt</t>
  </si>
  <si>
    <t>VAGY</t>
  </si>
  <si>
    <t>EuroVelo</t>
  </si>
  <si>
    <t>Levél (Gy.Orsi): átvezetni az Önk.főszlájára</t>
  </si>
  <si>
    <t xml:space="preserve">   Önkormányzati feladatellátás és bevételkiesés fedezetére szolgáló keret (Közlekedési kiadások - Helyi közösségi közlekedés finanszírozási kerete)</t>
  </si>
  <si>
    <t xml:space="preserve">   Közlekedési kiadások - Helyi közösségi közlekedés finanszírozási kerete</t>
  </si>
  <si>
    <t xml:space="preserve">   Önkormányzati feladatellátás és bevételkiesés fedezetére szolgáló keret (Egyéb sportcélú támogatások - Fehérvári Vizilabda Sportegyesület- uszoda fejlesztéssel kapcsolatos tervek elkészítéséhez támogatás (230/2018.(IV.20.) kgy.hat.alapján))</t>
  </si>
  <si>
    <t xml:space="preserve">   Fehérvári Vizilabda Sportegyesület- uszoda fejlesztéssel kapcsolatos tervek elkészítéséhez támogatás (230/2018.(IV.20.) kgy.hat.alapján)</t>
  </si>
  <si>
    <t xml:space="preserve">   Képviselői Alap</t>
  </si>
  <si>
    <t>köt Reni K3?</t>
  </si>
  <si>
    <t>teljesítés:4.235 eft</t>
  </si>
  <si>
    <t>~ Bevétel miatti változás</t>
  </si>
  <si>
    <t>pm úr rendelkezése alapján</t>
  </si>
  <si>
    <r>
      <t xml:space="preserve">1000 fa ültetése projekt
</t>
    </r>
    <r>
      <rPr>
        <i/>
        <sz val="12"/>
        <color rgb="FFFF0000"/>
        <rFont val="Times New Roman"/>
        <family val="1"/>
        <charset val="238"/>
      </rPr>
      <t>Módosítás: Természeti értékek megőrzése és fenntartása Székesfehérvár Városgondnoksága Kft. és az Önkormányzat közötti megállapodásban rögzítettek alapján közterületen álló fák pótlására (Üzleti terv módosítás)</t>
    </r>
  </si>
  <si>
    <t xml:space="preserve">              Székesfehérvári Baptista Gyülekezet</t>
  </si>
  <si>
    <t xml:space="preserve">   Társadalmi kapcsolatok kiadásai (Székesfehérvári Baptista Gyülekezet)</t>
  </si>
  <si>
    <t xml:space="preserve">   Székesfehérvári Baptista Gyülekezet</t>
  </si>
  <si>
    <t xml:space="preserve">              Székesfehérvári Városi Polgárőrség</t>
  </si>
  <si>
    <t xml:space="preserve">              Alba Regia Polgárőr Egyesület</t>
  </si>
  <si>
    <t xml:space="preserve">    Társadalmi kapcsolatok kiadásai (Széna Egyesület a Családokért)</t>
  </si>
  <si>
    <t xml:space="preserve">    Társadalmi kapcsolatok kiadásai (Szegényeket Támogató Alapítvány)</t>
  </si>
  <si>
    <t xml:space="preserve">    Társadalmi kapcsolatok kiadásai (Ifjúság A Jövő Családjaiért Kulturális Közhasznú Egyesület)</t>
  </si>
  <si>
    <t xml:space="preserve">    Társadalmi kapcsolatok kiadásai (Székesfehérvári Szociális Alapítvány)</t>
  </si>
  <si>
    <t xml:space="preserve">    Társadalmi kapcsolatok kiadásai (Smart Grant Alapítvány)</t>
  </si>
  <si>
    <t xml:space="preserve">    Társadalmi kapcsolatok kiadásai (Magyar Máltai Szeretetszolgálat Egyesület)</t>
  </si>
  <si>
    <t xml:space="preserve">    Társadalmi kapcsolatok kiadásai (Székesfehérvári Városi Polgárőrség)</t>
  </si>
  <si>
    <t xml:space="preserve">    Társadalmi kapcsolatok kiadásai (Alba Regia Polgárőr Egyesület)</t>
  </si>
  <si>
    <t xml:space="preserve">   Széna Egyesület a Családokért</t>
  </si>
  <si>
    <t xml:space="preserve">   Szegényeket Támogató Alapítvány</t>
  </si>
  <si>
    <t xml:space="preserve">   Székesfehérvári Szociális Alapítvány</t>
  </si>
  <si>
    <t xml:space="preserve">   Smart Grant Alapítvány</t>
  </si>
  <si>
    <t xml:space="preserve">   Magyar Máltai Szeretetszolgálat Egyesület</t>
  </si>
  <si>
    <t xml:space="preserve">   Székesfehérvári Városi Polgárőrség</t>
  </si>
  <si>
    <t xml:space="preserve">   Alba Regia Polgárőr Egyesület</t>
  </si>
  <si>
    <t xml:space="preserve">   Ifjúság A Jövő Családjaiért Kulturális Közhasznú Egyesület</t>
  </si>
  <si>
    <t xml:space="preserve">              Önkormányzati városrészi tájékoztatás feladatai</t>
  </si>
  <si>
    <t xml:space="preserve">   Városmarketing és kommunikáció máshová nem sorolt kiadásai</t>
  </si>
  <si>
    <t xml:space="preserve">   Önkormányzati városrészi tájékoztatás feladatai</t>
  </si>
  <si>
    <t xml:space="preserve">    Székesfehérvári Tankerületi Központ- oktatásszakmai munkájának támogatása</t>
  </si>
  <si>
    <t xml:space="preserve">   Közoktatási feladatok (Székesfehérvári Tankerületi Központ- oktatásszakmai munkájának támogatása)</t>
  </si>
  <si>
    <t xml:space="preserve">   Szociális intézményi és egészségügyi feladatok (Mozgássérültek Fejér Megyei Egyesülete által fenntartott Viktória Rehabilitációs Központ egészségügyi és szociális ellátásának támogatása)</t>
  </si>
  <si>
    <t xml:space="preserve">   Szociális intézményi és egészségügyi feladatok (Kégl György Program - Fejér Megyei Szent György Egyetemi Oktató Kórház működési és fejlesztési támogatása)</t>
  </si>
  <si>
    <t xml:space="preserve">    Kégl György Program - Fejér Megyei Szent György Egyetemi Oktató Kórház működési és fejlesztési támogatása</t>
  </si>
  <si>
    <t xml:space="preserve">           KÖFÉM Oktatási és Közművelődési Központ Nonprofit Közhasznú Kft. - működési támogatás</t>
  </si>
  <si>
    <t xml:space="preserve">   KÖFÉM Oktatási és Közművelődési Központ Nonprofit Közhasznú Kft. - működési támogatás</t>
  </si>
  <si>
    <t xml:space="preserve">   Közművelődési kiadások (KÖFÉM Oktatási és Közművelődési Központ Nonprofit Közhasznú Kft. - működési támogatás)</t>
  </si>
  <si>
    <t xml:space="preserve">    Önkormányzati feladatellátás és bevételkiesés fedezetére szolgáló keret (Fehérvár FC Kft.)</t>
  </si>
  <si>
    <t xml:space="preserve">   Fehérvár FC Kft.</t>
  </si>
  <si>
    <t>Kis Budai - Prohászka O. úti ivóvízvezeték rekonstrukció- bevételkiesés miatti önrész</t>
  </si>
  <si>
    <t xml:space="preserve">   Önkormányzati feladatellátás és bevételkiesés fedezetére szolgáló keret (Fejlesztési kiadások -Kis Budai - Prohászka O. úti ivóvízvezeték rekonstrukció -  VFA bevételkiesés miatti önrész)</t>
  </si>
  <si>
    <t xml:space="preserve">   Kis Budai - Prohászka O. úti ivóvízvezeték rekonstrukció - VFA bevételkiesés miatti önrész</t>
  </si>
  <si>
    <t>~Bevétel miatti rendezés</t>
  </si>
  <si>
    <t xml:space="preserve">    Önkormányzati feladatellátás és bevételkiesés fedezetére szolgáló keret (Székesfehérvár Városgondnoksága Kft.)</t>
  </si>
  <si>
    <t xml:space="preserve">    Önkormányzati feladatellátás és bevételkiesés fedezetére szolgáló keret</t>
  </si>
  <si>
    <t xml:space="preserve">   Önkormányzati feladatellátás és bevételkiesés fedezetére szolgáló keret (Székesfehérvári Turisztikai Köhasznú Nonprofit Kft. - működéshez)</t>
  </si>
  <si>
    <t xml:space="preserve">   Önkormányzati feladatellátás és bevételkiesés fedezetére szolgáló keret (Utcai szociális munka támoatása)</t>
  </si>
  <si>
    <t>~ Bevétel miatti rendezés</t>
  </si>
  <si>
    <t xml:space="preserve">   Önkormányzati feladatellátás és bevételkiesés fedezetére szolgáló keret (Termőföld bérbeadásából származó jövedelem utáni SZJA)</t>
  </si>
  <si>
    <t xml:space="preserve">   Önkormányzati feladatellátás és bevételkiesés fedezetére szolgáló keret (Iparűzési adó)</t>
  </si>
  <si>
    <t xml:space="preserve">   Önkormányzati feladatellátás és bevételkiesés fedezetére szolgáló keret (Idegenforgalmi adó)</t>
  </si>
  <si>
    <t xml:space="preserve">   Önkormányzati feladatellátás és bevételkiesés fedezetére szolgáló keret (Távolléti közigazgatási helyszíni bírság)</t>
  </si>
  <si>
    <t xml:space="preserve">   Önkormányzati feladatellátás és bevételkiesés fedezetére szolgáló keret (Közigazgatási helyszíni bírság)</t>
  </si>
  <si>
    <t xml:space="preserve">   Önkormányzati feladatellátás és bevételkiesés fedezetére szolgáló keret (Adópótlék, adóbírság)</t>
  </si>
  <si>
    <t xml:space="preserve">   Önkormányzati feladatellátás és bevételkiesés fedezetére szolgáló keret (Közigazgatási bírság)</t>
  </si>
  <si>
    <t xml:space="preserve">   Önkormányzati feladatellátás és bevételkiesés fedezetére szolgáló keret (Készletértékesítés)</t>
  </si>
  <si>
    <t xml:space="preserve">   Áfa pénzügyi elszámolása</t>
  </si>
  <si>
    <t xml:space="preserve">   MOL Aréna Sóstó üzemeltetési feladatainak ellátására (Székesfehérvári Városfejlesztési Kft)</t>
  </si>
  <si>
    <t xml:space="preserve">   Mura u. 2. sz. ingatlan használatával kapcsolatos költségek</t>
  </si>
  <si>
    <t xml:space="preserve">   MOL Aréna Sóstó üzemeltetési feladatainak ellátására (Önkormányzat)</t>
  </si>
  <si>
    <t xml:space="preserve">   Önkormányzati feladatellátás és bevételkiesés fedezetére szolgáló keret (Kamatbevétel)</t>
  </si>
  <si>
    <t xml:space="preserve">   Önkormányzati feladatellátás és bevételkiesés fedezetére szolgáló keret (Sóstói Stadion szponzori díj)</t>
  </si>
  <si>
    <t xml:space="preserve">   Önkormányzati feladatellátás és bevételkiesés fedezetére szolgáló keret (Egyéb saját bevétel)</t>
  </si>
  <si>
    <t xml:space="preserve">   Önkormányzati feladatellátás és bevételkiesés fedezetére szolgáló keret (Ingatlanok értékesítése)</t>
  </si>
  <si>
    <t xml:space="preserve">   Humán járvány megelőzése, következményeink elhárítása (pénzadományok beemelése)</t>
  </si>
  <si>
    <t xml:space="preserve">   Humán  járvány megelőzése, következményeink elhárítása  (étkezési térítési díj bevétel)</t>
  </si>
  <si>
    <t xml:space="preserve">   Önkormányzati feladatellátás és bevételkiesés fedezetére szolgáló keret (Köztemetés költségeinek megtérülése)</t>
  </si>
  <si>
    <t xml:space="preserve">   Önkormányzati feladatellátás és bevételkiesés fedezetére szolgáló keret (Működési célú átvett pénzeszközök)</t>
  </si>
  <si>
    <t xml:space="preserve">   Önkormányzati feladatellátás és bevételkiesés fedezetére szolgáló keret (Helyi lakáscélú támogatás törlesztése)</t>
  </si>
  <si>
    <t xml:space="preserve">   Önkormányzati feladatellátás és bevételkiesés fedezetére szolgáló keret (Közvetített szolgáltatások ellenértéke)</t>
  </si>
  <si>
    <t xml:space="preserve">   Önkormányzati feladatellátás és bevételkiesés fedezetére szolgáló keret (Közvetített szolgáltatások ellenértéke - Sóstói Stadion center pálya közüzemi költségei)</t>
  </si>
  <si>
    <t xml:space="preserve">   Önkormányzati feladatellátás és bevételkiesés fedezetére szolgáló keret (Közvetített szolgáltatások ellenértéke -Fehérvár FC- Utánpótlás pályák villamos energiája)</t>
  </si>
  <si>
    <t xml:space="preserve">   Önkormányzati feladatellátás és bevételkiesés fedezetére szolgáló keret (Önkormányzati tulajdonosi bevételek - Ingatlanok igénybevétel miatti közműkártalanítás)</t>
  </si>
  <si>
    <t xml:space="preserve">   Önkormányzati feladatellátás és bevételkiesés fedezetére szolgáló keret (Egyéb bérleti díjak)</t>
  </si>
  <si>
    <t xml:space="preserve">   Önkormányzati feladatellátás és bevételkiesés fedezetére szolgáló keret (Sóstói Stadion bérleti díj - mérkőzések után)</t>
  </si>
  <si>
    <t xml:space="preserve">   Önkormányzati feladatellátás és bevételkiesés fedezetére szolgáló keret (Sóstói Stadion bérleti díj - jegybevétel)</t>
  </si>
  <si>
    <t xml:space="preserve">   Önkormányzati feladatellátás és bevételkiesés fedezetére szolgáló keret (Sóstói Stadion bérleti díj  - catering)</t>
  </si>
  <si>
    <t xml:space="preserve">   Önkormányzati feladatellátás és bevételkiesés fedezetére szolgáló keret (Mura u. 4/A-B-C sz. lakóépületek központi fűtés)</t>
  </si>
  <si>
    <t xml:space="preserve">   Önkormányzati feladatellátás és bevételkiesés fedezetére szolgáló keret (Sóstói Stadion: bérlemény elnevezési jogáért fizetett névhasználati díj)</t>
  </si>
  <si>
    <t>2020. évi új módosított előirányzat</t>
  </si>
  <si>
    <t>251 100 
+ 10 065 900</t>
  </si>
  <si>
    <t>Megyei hatókörű városi könyvtár kistelepülési könyvtári célú kiegészítő támogatása (KSZR)</t>
  </si>
  <si>
    <t xml:space="preserve">3. sz. melléklet I.2. </t>
  </si>
  <si>
    <t>A kéményseprő-ipari közszolgáltatás helyi önkormányzat általi ellátásának támogatása</t>
  </si>
  <si>
    <t>3. sz. melléklet I.10.i)</t>
  </si>
  <si>
    <t>Települési  önkormányzatok idegenforgalmi adóhoz kapcsolódó kiegészítő támogatása</t>
  </si>
  <si>
    <t>3. sz. melléklet 11.</t>
  </si>
  <si>
    <t>A költségvetési szerveknél foglalkoztatottak 2019. évi áthúzódó és 2020. évi kompenzációja</t>
  </si>
  <si>
    <t xml:space="preserve">3. sz. melléklet 12. </t>
  </si>
  <si>
    <t>Szociális ágazati összevont pótlék és egészségügyi kiegészítő pótlék</t>
  </si>
  <si>
    <t>3. sz. melléklet I.14.</t>
  </si>
  <si>
    <t>3. sz. melléklet II.4.b)</t>
  </si>
  <si>
    <t>Közművelődési érdekeltségnövelő támogatás, muzeális intézmények szakmai támogatása - Járásszékhely múzeumok szakmai támogatása</t>
  </si>
  <si>
    <t>3. számú melléklet összesen (A helyi önkormányzatok kiegészítő támogatásai)</t>
  </si>
  <si>
    <t>-600 eFt bírság bev csökk miatt
-1.392eFt smart Bin kukákra</t>
  </si>
  <si>
    <t xml:space="preserve">Szemléletformálást segítő ötletek - Smart Bin hulladékgyűjtő edények </t>
  </si>
  <si>
    <t>Talajterherhelési  csökk: -3.920
-19 eFt Smart Bin kukák</t>
  </si>
  <si>
    <t xml:space="preserve">    Önkormányzati feladatellátás és bevételkiesés fedezetére szolgáló keret (Pályázat előkészítésére és önerő keret)</t>
  </si>
  <si>
    <t>~ Főösszeget nem értintő átcsoportosítás</t>
  </si>
  <si>
    <t xml:space="preserve">    Önkormányzati feladatellátás és bevételkiesés fedezetére szolgáló keret (Diáksport és szabadidős tevékenység)</t>
  </si>
  <si>
    <t xml:space="preserve">   Diáksportkör kiadásai</t>
  </si>
  <si>
    <t>kötváll</t>
  </si>
  <si>
    <t>szabad ei.</t>
  </si>
  <si>
    <t xml:space="preserve">   Önkormányzati feladatellátás és bevételkiesés fedezetére szolgáló keret (Déli összekötőút megépítése)</t>
  </si>
  <si>
    <t xml:space="preserve">   Önkormányzati feladatellátás és bevételkiesés fedezetére szolgáló keret (Berényi út felújítása II.ütem)</t>
  </si>
  <si>
    <t xml:space="preserve">   Berényi út felújítása II.ütem</t>
  </si>
  <si>
    <t xml:space="preserve">   Berényi II. ütem vízrendezése</t>
  </si>
  <si>
    <t xml:space="preserve">   Önkormányzati feladatellátás és bevételkiesés fedezetére szolgáló keret (Berényi II. ütem vízrendezése)</t>
  </si>
  <si>
    <t xml:space="preserve">   Önkormányzati feladatellátás és bevételkiesés fedezetére szolgáló keret (Óvodai udvarok megújítása)</t>
  </si>
  <si>
    <t>kell az ei</t>
  </si>
  <si>
    <t xml:space="preserve">   Önkormányzati feladatellátás és bevételkiesés fedezetére szolgáló keret (Távirda-Kégl Gy. utcai csapadékcsatorna rekonstrukciója)</t>
  </si>
  <si>
    <t xml:space="preserve">   Távirda-Kégl Gy. utcai csapadékcsatorna rekonstrukciója</t>
  </si>
  <si>
    <t xml:space="preserve">   Székesfehérvár területén fenntartható városi közlekedés fejlesztés </t>
  </si>
  <si>
    <t xml:space="preserve">   Önkormányzati feladatellátás és bevételkiesés fedezetére szolgáló keret (Százszorszép Bölcsőde - Épület felújítása és eszközbeszerzés a TOP 6.6.1-16 kódszámú pályázati felhívás keretében)</t>
  </si>
  <si>
    <t xml:space="preserve">   Százszorszép Bölcsőde - Épület felújítása és eszközbeszerzés a TOP 6.6.1-16 kódszámú pályázati felhívás keretében</t>
  </si>
  <si>
    <t xml:space="preserve">   Önkormányzati feladatellátás és bevételkiesés fedezetére szolgáló keret (Ybl lakótelepi rendelő - Gyermekorvosi rendelő és védőnői tanácsadó átalakítása, bővítése, felújítása a TOP 6.2.1-16 kódszámú pályázati felhívás keretében)</t>
  </si>
  <si>
    <t xml:space="preserve">   Önkormányzati feladatellátás és bevételkiesés fedezetére szolgáló keret (Szekfű Gyula utca 9. szám alatti rendelő - Háziorvosi és fogorvosi rendelő felújítása, fejlesztése)</t>
  </si>
  <si>
    <t xml:space="preserve">   Zöld Város Fehérvár Tüdeje II.ütem</t>
  </si>
  <si>
    <t xml:space="preserve">   Önkormányzati feladatellátás és bevételkiesés fedezetére szolgáló keret (Zöld város Fehérvár Tüdeje II.ütem)</t>
  </si>
  <si>
    <t xml:space="preserve">   Önkormányzati feladatellátás és bevételkiesés fedezetére szolgáló keret (Helyi foglalkoztatási együttműködések Székesfehérvár és járása területén)</t>
  </si>
  <si>
    <t xml:space="preserve">   Önkormányzati feladatellátás és bevételkiesés fedezetére szolgáló keret (Új bölcsöde létrehozása Székesfehérvár Maroshegy városrészben)</t>
  </si>
  <si>
    <t>Tisztítsuk meg az országot program (Illegális hulladéklerakók felszámolása)</t>
  </si>
  <si>
    <t xml:space="preserve">   Tisztítsuk meg az országot program (Illegális hulladéklerakók felszámolása)</t>
  </si>
  <si>
    <t xml:space="preserve">    Önkormányzati feladatellátás és bevételkiesés fedezetére szolgáló keret (Fehérvár Médiacentrum Kft.)</t>
  </si>
  <si>
    <t>Börgöndi repülőtér-fejlesztés megvalósításának megalapozásához előészítési, tervezési és egyéb kapcsolódó feladatok</t>
  </si>
  <si>
    <t xml:space="preserve">   Börgöndi repülőtér-fejlesztés megvalósításának megalapozásához előészítési, tervezési és egyéb kapcsolódó feladatok</t>
  </si>
  <si>
    <t xml:space="preserve">   Önkormányzati feladatellátás és bevételkiesés fedezetére szolgáló keret (Börgöndi repülőtér-fejlesztés megvalósításának megalapozásához előészítési, tervezési és egyéb kapcsolódó feladatok)</t>
  </si>
  <si>
    <t xml:space="preserve">   Közlekedési kiadások (Önkormányzati Informatikai Kft-nek továbbszámlázott kamerák üzemeltetési költsége)</t>
  </si>
  <si>
    <t xml:space="preserve">   „Az ország bölcsője” kiemelt székesfehérvári alprogram első szakaszának megvalósításáról és a második szakasz egyes fejlesztési elemeinek bemutatásáról szóló 1469/2017. (VII.25.) Kormányhatározat értelmében</t>
  </si>
  <si>
    <t xml:space="preserve">   A belváros élhetőségének javítását szolgáló Zichy-liget projekt tervezése</t>
  </si>
  <si>
    <t xml:space="preserve">     Székesfehérvári Szakképzési Centrum - oktatásszakmai munkájának támogatása</t>
  </si>
  <si>
    <t xml:space="preserve">   Kerekítés</t>
  </si>
  <si>
    <t xml:space="preserve">   Különféle adók, díjak, pénzügyi kiadások (Kerekítés)</t>
  </si>
  <si>
    <t>ok</t>
  </si>
  <si>
    <t>el évek:</t>
  </si>
  <si>
    <t>Déli összktg.</t>
  </si>
  <si>
    <t xml:space="preserve">   Személyügyi kiadások (Cafetéria rendszer tisztségviselők)</t>
  </si>
  <si>
    <t xml:space="preserve">   Személyügyi kiadások (Munkaadókat terhelő járulék)</t>
  </si>
  <si>
    <t>O-N</t>
  </si>
  <si>
    <t>Kül felosztása</t>
  </si>
  <si>
    <t>Pályázati kiírás közzétételének időpontja</t>
  </si>
  <si>
    <t xml:space="preserve">Pályázati támogatások összege </t>
  </si>
  <si>
    <t>2020. február 25.</t>
  </si>
  <si>
    <t>2 945 000 Ft</t>
  </si>
  <si>
    <t>Székesfehérvár Megyei Jogú Város Polgármestere 209/2020. (VI.12.) számú határozatának 2.1. pontja</t>
  </si>
  <si>
    <t>Székesfehérvár Megyei Jogú Város Polgármestere 209/2020. (VI.12.) számú határozatának 3.1. pontja</t>
  </si>
  <si>
    <t>2020. szeptember 28.</t>
  </si>
  <si>
    <t>2 240 000 Ft</t>
  </si>
  <si>
    <t>Székesfehérvár Megyei Jogú Város Polgármestere 253/2020. (XI.20.) számú határozatának 2.1. pontja</t>
  </si>
  <si>
    <t>Támogatás nyújtásáró szóló döntés</t>
  </si>
  <si>
    <t>4 776 000 Ft</t>
  </si>
  <si>
    <t>Reni e-mail alapján</t>
  </si>
  <si>
    <t>B4+Int.</t>
  </si>
  <si>
    <t>III.R.mód</t>
  </si>
  <si>
    <t>B6+Int</t>
  </si>
  <si>
    <t>B7+Int</t>
  </si>
  <si>
    <t>Önkormányzati feladatellátás és bevételkiesés fedezetére szolgáló keret (Vezetői pótlék különbözet, ágazagti szakmai pótlék)</t>
  </si>
  <si>
    <t xml:space="preserve">   Nyugdíjazással kapcsolatos kifizetések</t>
  </si>
  <si>
    <t xml:space="preserve">   Képviselői Alap (Székesfehérvári Közösségi  és Kulturális Központ)</t>
  </si>
  <si>
    <t xml:space="preserve">   Képviselői Alap (Frim Jakab Képességfejlesztő Szakosított Otthon)</t>
  </si>
  <si>
    <t xml:space="preserve">   Képviselői Alap (valamennyi bölcsőde)</t>
  </si>
  <si>
    <t xml:space="preserve">   Képviselői Alap (valamennyi óvoda)</t>
  </si>
  <si>
    <t xml:space="preserve">   Képviselői Alap (Vörösmarty Mihály Könyvtár)</t>
  </si>
  <si>
    <t xml:space="preserve">   Képviselői Alap (Kossuth Zsuzsanna Szociális Intézmény)</t>
  </si>
  <si>
    <t xml:space="preserve">   Képviselői Alap (Alba Bástya Család- és GyermekvédemiKözpont)</t>
  </si>
  <si>
    <t xml:space="preserve">   Képviselői Alap (Kríziskezelő Központ)</t>
  </si>
  <si>
    <t xml:space="preserve">   Költségvetési szervek működési költségeinek  tartalék kerete, valamint az új illetve átszervezéssel érintett intézmények megalakulásával és átszervezésével kapcsolatos eseti költségeinek fedezetére (Pedagógus előmeneteli rendszer hatálya alá tartozó közalkalmazottak egyszeri juttatása - 2020.07-08. hó valamennyi bolcsőde esetében - kompenzálására)</t>
  </si>
  <si>
    <t xml:space="preserve">   Költségvetési szervek működési költségeinek  tartalék kerete, valamint az új illetve átszervezéssel érintett intézmények megalakulásával és átszervezésével kapcsolatos eseti költségeinek fedezetére (Átvettt pénzeszköz elmaradása miatti előirányzat rendezés, előfinanaszírozás - Balett Színház)</t>
  </si>
  <si>
    <t xml:space="preserve">   Költségvetési szervek működési költségeinek  tartalék kerete, valamint az új illetve átszervezéssel érintett intézmények megalakulásával és átszervezésével kapcsolatos eseti költségeinek fedezetére (Saját hatáskörű előirányzat rendezés - Vörösmarty Színház)</t>
  </si>
  <si>
    <t xml:space="preserve">   Költségvetési szervek működési költségeinek  tartalék kerete, valamint az új illetve átszervezéssel érintett intézmények megalakulásával és átszervezésével kapcsolatos eseti költségeinek fedezetére (Önkormányzati előfinanszírozás előirányzat rendezése - Alba Regia Szimfonikus Zenekar)</t>
  </si>
  <si>
    <t xml:space="preserve">   Költségvetési szervek működési költségeinek  tartalék kerete, valamint az új illetve átszervezéssel érintett intézmények megalakulásával és átszervezésével kapcsolatos eseti költségeinek fedezetére (végkielégítés, szabadságmegváltás kulturális ágazat - 2020.11.01-től)</t>
  </si>
  <si>
    <t>~ Intézmánytől elvonás</t>
  </si>
  <si>
    <t>Őszi változás (Munkaerő mozgás, iskolai végzettség)</t>
  </si>
  <si>
    <t>Élelmezési kiadások előirányzat rendezése</t>
  </si>
  <si>
    <t>Rendezvények, feladatok elmaradás miatti előirányzat rendezés (Szent István Király Múzeum, Siklósi Gyula Várostörténeti Kutatóközpont)</t>
  </si>
  <si>
    <t>Régészet bevételei túlteljesíténéek előirányzat rendezése (Szent István Király Múzeum)</t>
  </si>
  <si>
    <t>A Zene Világnapja alkalmából rendezett koncert törlése előirányzat rendezés (Alba Regia Szimfomikus Zenekar)</t>
  </si>
  <si>
    <t>Személyi juttatások rendezése (Polgármesteri Hivatal)</t>
  </si>
  <si>
    <t>Bírság miatti bevétel rendezése (Polgármesteri Hivatal)</t>
  </si>
  <si>
    <t xml:space="preserve">   Humán  járvány megelőzése, következményeink elhárítása (Humán Szolgáltató Intézet)</t>
  </si>
  <si>
    <t>~Intézménytől elvonás</t>
  </si>
  <si>
    <t xml:space="preserve">   Humán  járvány megelőzése, következményeink elhárítása (Bölcsődék, óvodák számára béren kívüli juttatás (244/2020. (XI.16.)Pm határozat alapján)</t>
  </si>
  <si>
    <t xml:space="preserve">    Önkormányzati feladatellátás és bevételkiesés fedezetére szolgáló keret (2020. októberi felmérés)</t>
  </si>
  <si>
    <t xml:space="preserve">    Önkormányzati feladatellátás és bevételkiesés fedezetére szolgáló keret (2020. októberi és májusi felmérés)</t>
  </si>
  <si>
    <t xml:space="preserve">    Önkormányzati feladatellátás és bevételkiesés fedezetére szolgáló keret (2021. októberi és májusi felmérés)</t>
  </si>
  <si>
    <t xml:space="preserve">    Önkormányzati feladatellátás és bevételkiesés fedezetére szolgáló keret (Kiegészítő támogatások (305/2020. (VI.30) és  51/2020. (III.20.) K.rendeletek alapján)</t>
  </si>
  <si>
    <t xml:space="preserve">    Önkormányzati feladatellátás és bevételkiesés fedezetére szolgáló keret (Kiegészítő támogatások (305/2020. (VI.30) K.rendelet alapján)</t>
  </si>
  <si>
    <t>12, Termőföld bérbeadásból származó jövedelem utáni SZJA</t>
  </si>
  <si>
    <t>B311</t>
  </si>
  <si>
    <t>13, Építményadó</t>
  </si>
  <si>
    <t>14, Vagyoni típusú adók összesen: (13)</t>
  </si>
  <si>
    <t>15, Iparűzési adó</t>
  </si>
  <si>
    <t>16, Értékesítési és forgalmi adók (15)</t>
  </si>
  <si>
    <t>17, Gépjárműadó</t>
  </si>
  <si>
    <t>18, Idegenforgalmi adó</t>
  </si>
  <si>
    <t>19, Talajterhelési díj</t>
  </si>
  <si>
    <t>20, Egyéb áruhasználati és szolgáltatási adók (18+19)</t>
  </si>
  <si>
    <t>21, Termékek és szolgáltatások adói összesen (16+17+20):</t>
  </si>
  <si>
    <t>22, Adópótlék, adóbírság</t>
  </si>
  <si>
    <t>23, Szabálysértési pénz és helyszíni bírság és közigazgatási bírság</t>
  </si>
  <si>
    <t>24, Egyéb bírság</t>
  </si>
  <si>
    <t>25, Egyéb közhatalmi bevételek összesen (22+23+24):</t>
  </si>
  <si>
    <t>26, Közhatalmi bevételek összesen (12+14+21+25):</t>
  </si>
  <si>
    <t>27, Működési bevételek</t>
  </si>
  <si>
    <t>28, Ingatlanok értékesítése</t>
  </si>
  <si>
    <t>30, Működési célú átvett pénzeszközök</t>
  </si>
  <si>
    <t>31, Felhalmozási célú átvett pénzeszközök</t>
  </si>
  <si>
    <t>32, Működési költségvetési bevételek összesen (8+26+27+30):</t>
  </si>
  <si>
    <t>33, Felhalmozási költségvetési bevételek összesen (11+29+31):</t>
  </si>
  <si>
    <t>32, Költségvetési bevételek összesen (32+33):</t>
  </si>
  <si>
    <t>B5+Int</t>
  </si>
  <si>
    <t>Intézmény K6-K7</t>
  </si>
  <si>
    <t>Felh ir.sz</t>
  </si>
  <si>
    <t>~ Bérkompenzáció (IV.; V.; VI.; VII., VIII.,IX., várható X.XI. havi)</t>
  </si>
  <si>
    <t>~ Jogszabályból fakadó személyi jellegű többletkifizetések (szabadságmegváltás, jubileumi jutalom, dupla bér kifizetése, végkielégítés)</t>
  </si>
  <si>
    <t>~ Őszi változás (munkaerő mozgás, iskolai végzettség)</t>
  </si>
  <si>
    <t xml:space="preserve">~ Járványvédekezésre biztosított összegből visszavonás </t>
  </si>
  <si>
    <t>~ Béren kívüli juttatás a Szfvár MJV Polgármesterének 28/33/2020. számú PM határozata alapján 07-08 havi tény és 9-12 havi várható</t>
  </si>
  <si>
    <t>~ Cafetéria (V.,VI. havi)</t>
  </si>
  <si>
    <t>~ Szociális ágazati összevont pótlék (V.,VI., VII., VIII.,IX.X., XI.,várható XII. havi)</t>
  </si>
  <si>
    <t>~ Az intézmény programjainak, rendezvényeinek megvalósításához és tárgyi eszköz beszerzéseihez kapcsolódó, 2020. január 1. és 2021. december 31. napja között felmerülő költségek támogatása (Képviselői Alap)</t>
  </si>
  <si>
    <t>~ A pedagógus előmeneteli rendszer hatálya alá tartozó foglalkoztatott ágazati szakmai pótléka a 417/2020. (VIII.30.) Kormányrendelet alapján</t>
  </si>
  <si>
    <t>~ Az intézmény által megvalósításra kerülő programokhoz és tárgyi eszköz beszerzésekhez kapcsolódó, 2020. január 1. és 2021. június 30. napja között felmerülő személyi és dologi költségekhez (Képviselői Alap)</t>
  </si>
  <si>
    <t>~ A Pedagógus előmeneteli rendszer hatálya alá tartozó közalkalmazottak egyszeri juttatása (07.08. hó valamennyi Bölcsőde esetén) kompenzálására</t>
  </si>
  <si>
    <t>~ Bölcsődékben, óvodákban dolgozó közalkalmazottak részére béren kívüli juttatás a Szfvár MJV Önkormányzat Közgyűlése hatáskörében eljáró Szfvár MJV Polgármesterének 244/2020. (XI.16.) számú  határozata alapján.</t>
  </si>
  <si>
    <t>~ A pedagógus előmeneteli rendszer hatálya alá tartozó foglalkoztatott ágazati szakmai pótléka a 24/2020. (II.24.) Kormányrendelet alapján</t>
  </si>
  <si>
    <t>~ Vezetői pótlék különbözet a 24/2020. (II.24.) Kormányrendelet alapján</t>
  </si>
  <si>
    <t>~ Élelmezési kiadások  előirányzat rendezése</t>
  </si>
  <si>
    <t>~ Az intézmény, valamint a Vízivárosi Tagóvodája által megvalósításra kerülő programokhoz és tárgyi eszköz beszerzésekhez kapcsolódó, 2020. nauár 1. és 2021. június 30. napja között felmerülő személyi és dologi költségekhez (Képviselői Alap)</t>
  </si>
  <si>
    <t>~ Az intézmény, valamint a Tulipános Tagóvodája által megvalósításra kerülő programokhoz és tárgyi eszköz beszerzésekhez kapcsolódó, 2020. január 1. és 2021. június 30. napja között felmerülő személyi és dologi költségekhez (Képviselői Alap)</t>
  </si>
  <si>
    <t>~ Összevonás miatti előirányzat rendezés a 71/2020. (II.14.) számú kgy.határozat alapján.</t>
  </si>
  <si>
    <t>~ A pedagógus előmeneteli rendszer hatálya alá tartozó foglalkoztatott ágazati szakmai pótléka a 24/2020. (II.24.) Kormányrendelet alapján (Szárazréti Óvoda)</t>
  </si>
  <si>
    <t>~ Vezetői pótlék különbözet a 24/2020. (II.24.) Kormányrendelet alapján (Szárazréti Óvoda)</t>
  </si>
  <si>
    <t>~ Őszi változás (munkaerő mozgás, iskolai végzettség) (Szárazréti Óvoda)</t>
  </si>
  <si>
    <t>~ Főösszeget érintő előirányzat rendezés (Szárazréti Óvoda)</t>
  </si>
  <si>
    <t>~ Ybl Miklós Tagóvoda átadás-átvétele a 71/2020-. (II.14.) Kgy határozat alapján</t>
  </si>
  <si>
    <t>~ Cafetéria Szárazréti Óvoda (V.VI. havi)</t>
  </si>
  <si>
    <t>~ A Szárazréti Tagóvoda által megvalósításra kerülő programokhoz és tárgyi eszköz beszerzésekhez kapcsolódó, 2020. január 1. és 2021. június 30. napja között felmerülő költségek támogatása (Képviselői Alap)</t>
  </si>
  <si>
    <t>~ Az intézmény, valamint a Szárazréti Tagóvodája által megvalósításra kerülő programokhoz és tárgyi eszköz beszerzésekhez kapcsolódó, 2020. január 1. és 2021. június 30. napja között felmerülő személyi és dologi költségekhez (Képviselői Alap)</t>
  </si>
  <si>
    <t>~ Az intézmény által megvalósításra kerülő programokhoz és tárgyi eszköz beszerzésekhez kapcsolódó költségekhez (Képviselői Alap)</t>
  </si>
  <si>
    <t>~ A Tóvárosi Tagóvoda által megvalósításra kerülő programokhoz és tárgyi eszköz beszerzésekhez kapcsolódó költségekhez (Képviselői Alap)</t>
  </si>
  <si>
    <t>~ Az intézmény, valamint a Tóvárosi Tagóvodája által megvalósításra kerülő programokhoz és tárgyi eszköz beszerzésekhez kapcsolódó, 2020. nauár 1. és 2021. június 30. napja között felmerülő személyi és dologi költségekhez (Képviselői Alap)</t>
  </si>
  <si>
    <t>~ Az intézmény, valamint a NefelejcsTagóvodája által megvalósításra kerülő programokhoz és tárgyi eszköz beszerzésekhez kapcsolódó, 2020. nauár 1. és 2021. június 30. napja között felmerülő személyi és dologi költségekhez (Képviselői Alap)</t>
  </si>
  <si>
    <t>~ Az Ybl Miklós Tagóvoda által megvalósításra kerülő programokhoz és tárgyi eszköz beszerzéshez kapcsolódó, 2020. január 1. és 2021. június 30. napja között felmerülő költségek támogatására (Képviselői Alap)</t>
  </si>
  <si>
    <t>~ Az intézmény, valamint az Ybl LakótelepiTagóvodája által megvalósításra kerülő programokhoz és tárgyi eszköz beszerzésekhez kapcsolódó, 2020. nauár 1. és 2021. június 30. napja között felmerülő személyi és dologi költségekhez (Képviselői Alap)</t>
  </si>
  <si>
    <t>~ Az intézmény, valamint a Sziget utcaiTagóvodája által megvalósításra kerülő programokhoz és tárgyi eszköz beszerzésekhez kapcsolódó, 2020. január 1. és 2021. június 30. napja között felmerülő személyi és dologi költségekhez (Képviselői Alap)</t>
  </si>
  <si>
    <t>~ A Püspökkertvárosi Tagóvoda által megvalósításra kerülő programokhoz és tárgyi eszköz beszerzésekhez kapcsolódó, 2020. január 1. és 2021. augusztus 31. napja között felmerülő személyi és dologi költségekhez (Képviselői Alap)</t>
  </si>
  <si>
    <t>~ A Palotavárosi Tagóvoda által megvalósításra kerülő programokhoz és tárgyi eszköz beszerzéshez kapcsolódó, 2020. január 1. és 2021. június 30. napja között felmerülő költségek támogatására (Képviselői Alap)</t>
  </si>
  <si>
    <t>~ Az intézmény, valamint a Palotavárosi Tagóvodája által megvalósításra kerülő programokhoz és tárgyi eszköz beszerzésekhez kapcsolódó, 2020. január 1. és 2021. június 30. napja között felmerülő személyi és dologi költségekhez (Képviselői Alap)</t>
  </si>
  <si>
    <t>~ Egészségügyi kiegészítő pótlék (V.,VI.,VII.,VIII.,IX.X.,XI. várható XII. havi)</t>
  </si>
  <si>
    <t>~ Védekezés költségeinek fedezetére</t>
  </si>
  <si>
    <t>~ A Feketehegy-Szárazréti Idősek Otthona programjaihoz és tárgyi eszköz beszerzéseihez kapcsolódó, 2020. január 1. és 2021. június 30. napja között felmerülő költségek támogatása (Képviselői Alap)</t>
  </si>
  <si>
    <t>~ A humánjárványhoz kapcsolódó közvetlen gondozási feladatok többlet személyi juttatására és járulékaira</t>
  </si>
  <si>
    <t>~ Nyugdíjazáshoz kapcsolódó kifizetések</t>
  </si>
  <si>
    <t>~ A Családok Átmeneti Otthona számára a krízishelyzetben lévő anyák megsegítéséhez kapcsolódó programokhoz és tárgyi eszköz beszerzésekhez kapcsolódó, 2020. január 1. és 2021. június 30. napja között felmerülő személyi és dologi költségekhez (Képviselői Alap)</t>
  </si>
  <si>
    <t>~ A 2020. évi XXXII. Törvény alapján végkielégítés, szabadságmegváltás rendezése, a várható személyi juttatás és járulékai megtakarítása figyelembe vételével (11.01-12.31)</t>
  </si>
  <si>
    <t>~ Az intézmény Budai Úti Tagkönyvtárának programjaihoz és tárgyi eszköz beszerzéseihez kapcsolódó 2020. január 1. és 2021. december 31. napja között felmerülő költségek támogatása (Képviselői Alap)</t>
  </si>
  <si>
    <t>~ Az intézmény Mészöly Géza Utcai Tagkönyvtárának programjaihoz é tárgyi eszköz beszerzéseihez kapcsolódó, 2020. január 1. és 2021. június 30. napja között felmerülő költségek támogatása (Képviselői Alap)</t>
  </si>
  <si>
    <t>~ Rendezvények, feladatok elmaradása miatti előirányzat rendezés</t>
  </si>
  <si>
    <t>~ Zene Világnapja alkalmából tervezett koncert törlése miatti előirányzat rendezés</t>
  </si>
  <si>
    <t>~ Intézményvezetői saját hatáskörű előirányzat módosítás</t>
  </si>
  <si>
    <t>~ Önkormányzati előfinanszírozás előirányzatának rendezése</t>
  </si>
  <si>
    <t>~ Előadások törlése miatti bevétel elmaradás előirányzat rendezése</t>
  </si>
  <si>
    <t>~ Saját hatáskörű előirányzat módosítás</t>
  </si>
  <si>
    <t>~ Saját hatáskörű előirányzat módosítás átvett pénzeszköz</t>
  </si>
  <si>
    <t>~ Átvett pénzeszköz elaradása miatti előirányzat rendezés, előfinanszírozás</t>
  </si>
  <si>
    <t>~ Nem csak a 20 éveseké a világ nyugdíjas klub által megvalósításra kerülő programokhoz kapcsolódó,2020. január 1. és 2021. június 30. napja között felmerülő költségek támogatása (Képviselői Alap)</t>
  </si>
  <si>
    <t>~ A Történelmi Vitézi Rend programjaival kapcsolatosan 2020. január 1. és 2021. június 30. napja között felmerülő költségek támogatása (Képviselői Alap)</t>
  </si>
  <si>
    <t>~ A Katolikus Legényegylet 2020. évi programjaihoz kapcsolódó személyi és dologi költségekhez, valamint immateriális javak, tárgyi eszközök beszerzéséhez (Képviselői Alap)</t>
  </si>
  <si>
    <t>~ A "Nem csak a 20 éveseké a világ" nyugdíjas klub által megvalósításra kerülő programokhoz kapcsolódó, 2020. évi programjaihoz kapcsolódó személyi és dologi költségekhez, valamint immateriális javak, tárgyi eszközök beszerzéséhez (Képviselői Alap)</t>
  </si>
  <si>
    <t>~ A Felsővárosi Hagyományőrzők Klubjának 50 éves fennállása alkalmából 2020. évben megvalósuló programokhoz kapcsolódó személyi és dologi költségekhez, valamint immateriális javak és tárgyi eszközök költségeihez (Képviselői Alap)</t>
  </si>
  <si>
    <t>~ A 2020. január 1. és 2021. június 30. napja között megvalósuló nyugdíjas gerinctorna foglalkozásokhoz kapcsolódó személyi és dologi költségekhez  (Képviselői Alap)</t>
  </si>
  <si>
    <t>~ A Felsővárosi Nyugdíjas Klub által megvalósításra kerülő programokhoz kapcsolódó, 2020. január1. és 2021. szeptember 30. napja között felmerülő költségek támogatására (Képviselői Alap)</t>
  </si>
  <si>
    <t>~ A Történelmi Vitézi Rend által megvalósításra kerülő programokhoz kapcsolódó, 2020. január 1. és 2021. augusztus 31. napja között felmerülő személyi és dologi költségekhez, valamint immateriális javak, tárgyi eszköz költségeihez (Képviselői Alap)</t>
  </si>
  <si>
    <t>~ Székesfehérvár - Kisfalud városrész lakói számára megvalósításra kerülő programokhoz kapcsolódó, 2020. január 1. és 2021. augusztus 31. napja között felmerülő személyi és dologi költségekhez, valamint immateriális javak, tárgyi eszközök beszerzéséhez (Képviselői Alap)</t>
  </si>
  <si>
    <t>~ Az adventi programokhoz, feketehegyi gyermekek számára iskolai Mikulás és karácsonyi ünnepség megrendezéséhez kapcsolódó költségek támogatása (Képviselői Alap)</t>
  </si>
  <si>
    <t>~ Főösszeget érintő saját hatáskörű előirányzat rendezés</t>
  </si>
  <si>
    <t>~Főösszeget nem érintő átcsoportosítások</t>
  </si>
  <si>
    <t>~ A pedagógus előmeneteli rendszer hatálya alá tartozó foglalkoztatott ágazati szakmai pótléka a 24/2020. (II.24.) és a 417/2020. (VIIII.30.)  Kormányrendeletek alapján (Valamennyi óvoda és bölcsőde)</t>
  </si>
  <si>
    <t>B111 -el szemben maarad tartalék</t>
  </si>
  <si>
    <t>~ Vezetői pótlék különbözet a 24/2020. (II.24.) Kormányrendelet alapján  (valamennyi óvoda)</t>
  </si>
  <si>
    <t>ÖNKFE</t>
  </si>
  <si>
    <t>~ Összevonás miatti előirányzat rendezés a 71/2020. (II.14.) számú kgy.határozat alapján. (Szárazréti Óvoda)</t>
  </si>
  <si>
    <t>~ Összevonás miatti előirányzat rendezés a 71/2020. (II.14.) számú kgy.határozat alapján. (Felsővárosi Óvoda)</t>
  </si>
  <si>
    <t>218220 önkfe</t>
  </si>
  <si>
    <t>~ A 2020. évi XXXII. Törvény alapján végkielégítés, szabadságmegváltás rendezése, a várható személyi juttatás és járulékai megtakarítása figyelembe vételével (11.01-12.31)(Kulturális ágazat)</t>
  </si>
  <si>
    <t>262M</t>
  </si>
  <si>
    <t>~ Ybl Miklós Tagóvoda átadás-átvétele a 71/2020-. (II.14.) Kgy határozat alapján Felsővárosi és Rákóczi Óvoda között</t>
  </si>
  <si>
    <t>~ Járványvédekezésre biztosított összegből visszavonás (Humán Szolgáltató Intézet)</t>
  </si>
  <si>
    <t>jáűrvány sorra tesszük</t>
  </si>
  <si>
    <t>~ Védekezés költségeinek fedezetére (Kossuth Zsuzsanna Szociális Intézet)</t>
  </si>
  <si>
    <t>járvány sorról</t>
  </si>
  <si>
    <t>~ Rendezvények, feladatok elmaradása miatti előirányzat rendezés (Szent István Király Múzeum)</t>
  </si>
  <si>
    <t>ÖNKFE- be tesszük</t>
  </si>
  <si>
    <t>~ Főösszeget érintő saját hatáskörű előirányzat rendezés (Polgármesteri Hivatal)</t>
  </si>
  <si>
    <t>~Főösszeget nem érintő átcsoportosítások (Polgármesteri Hivatal</t>
  </si>
  <si>
    <t>~ Cafetéria (V.,VI. havi) Szárazréti Óvoda</t>
  </si>
  <si>
    <t>önkfébe</t>
  </si>
  <si>
    <t>~ Zene Világnapja alkalmából tervezett koncert törlése miatti előirányzat rendezés (Alba Regia Szimfonikus Zenekar)</t>
  </si>
  <si>
    <t>~ Főösszeget érintő saját hatáskörű átcsoportosítás (Vörösmarty Mihály Könyvtár, Szent István Király Múzeum, Alba Regia Szimfonikus Zenekar)</t>
  </si>
  <si>
    <t>262 M</t>
  </si>
  <si>
    <t>járványsor</t>
  </si>
  <si>
    <t>~ Rendezvények, feladatok elmaradása miatti előirányzat rendezés (Siklósi Gyula Várostörténeti Kutatóközpont)</t>
  </si>
  <si>
    <t>~ Intézményvezetői saját hatáskörű előirányzat módosítás (Székesfehérvári Balett Színház)</t>
  </si>
  <si>
    <t>~ Átvett pénzeszköz elaradása miatti előirányzat rendezés, előfinanszírozás (Székesfehérvári Balett Színház)</t>
  </si>
  <si>
    <t>~ Intézményvezetői saját hatáskörű előirányzat módosítás (Alba Regia Szimfonikus Zenekar)</t>
  </si>
  <si>
    <t>~ Önkormányzati előfinanszírozás előirányzatának rendezése (Alba Regia Szimfonikus Zenekar)</t>
  </si>
  <si>
    <t>262 M -ba vissza</t>
  </si>
  <si>
    <t>~ Saját hatáskörű előirányzat módosítás (Vörösmarty Színház)</t>
  </si>
  <si>
    <t>~ Saját hatáskörű előirányzat módosítás átvett pénzeszköz (Vörösmarty Színház, Balett Színház)</t>
  </si>
  <si>
    <t>~ Előadások törlése miatti bevétel elmaradás előirányzat rendezése (Vörösmarty Színház, Alba Regia Szimfonikus Zenekar)</t>
  </si>
  <si>
    <t>~ A humánjárványhoz kapcsolódó közvetlen gondozási feladatok többlet személyi juttatására és járulékaira (Kossuth Zsuzsanna Szociális Intézmény)</t>
  </si>
  <si>
    <t>~Főösszeget nem érintő átcsoportosítások (Polgármesteri Hivatal)</t>
  </si>
  <si>
    <t>~ Bérkompenzáció (IV.;V.;VI.;VII.,VIII.,IX., várható X.XI. havi)</t>
  </si>
  <si>
    <t>~ Őszi változás ( munkaerő mozgás, iskolai végzettség)</t>
  </si>
  <si>
    <t>~ Járványvédekezésre biztosított keretből visszavonás</t>
  </si>
  <si>
    <t>~ Béren kívüli juttatás a Szfvár MJV Polgármesterének 28/33/2020 számú  határozata alapján. (07-08. havi tény és 09-12 havi várható)</t>
  </si>
  <si>
    <t>~ Szociális ágazati összevont pótlék (V.,VI.,VII.,VIII.,IX.X.,XI.,várható XII. havi)</t>
  </si>
  <si>
    <t>~ A Pedagógus előmeneteli rendszer hatálya alá tartozó közalkalmazottak egyszeri juttatása (07.08. hó valamennyi Bölcsőde esetében) kompenzálására</t>
  </si>
  <si>
    <t>~ Bölcsődékben és óvodákban dolgozó közalkalmazottak részére béren kívüli juttatás a Szfvár MJV Önkormányzat Közgyűlése hatáskörében eljáró Szfvár MJV Polgármesterének 244/2020. (XI.16.) számú határozata alapján</t>
  </si>
  <si>
    <t>~ Élelmezési kiadások előirányzat rendezése</t>
  </si>
  <si>
    <t>~ Az intézmény, valamint a Vízivárosi Tagóvodája által megvalósításra kerülő programokhoz és tárgyi eszköz beszerzésekhez kapcsolódó, 2020. január 1. és 2021. június 30. napja között felmerülő személyi és dologi költségekhez (Képviselői Alap)</t>
  </si>
  <si>
    <t>~ Összevonás miatti előirányzat rendezés a 71/2020. (II.14.) kgy.határozat alapján</t>
  </si>
  <si>
    <t>~ Őszi változás ( munkaerő mozgás, iskolai végzettség) (Szárazréti Óvoda)</t>
  </si>
  <si>
    <t>~ Ybl Miklós Tagóvoda átadás-átvétele a 71/2020. (II.14.) Kgy.határozat alapján</t>
  </si>
  <si>
    <t>~ Cafetéria (V.VI. hó) Szárazréti Óvoda</t>
  </si>
  <si>
    <t>~ Az intézmény által megvalósításra kerülő programokhoz és tárgyi eszköz beszerzésekhez kapcsolódó Költségekhez (Képviselői Alap)</t>
  </si>
  <si>
    <t>~ A Tóvárosi Tagóvoda által megvalósításra  kerülő programokhoz és tárgyi eszköz beszerzésekhez kapcsolódó költségekhez (Képviselői Alap)</t>
  </si>
  <si>
    <t>~ Az intézmény, valamint a Tóvárosi Tagóvodája által megvalósításra kerülő programokhoz és tárgyi eszköz beszerzésekhez kapcsolódó, 2020. január 1. és 2021. június 30. napja között felmerülő személyi és dologi költségekhez (Képviselői Alap)</t>
  </si>
  <si>
    <t>~ Az intézmény, valamint a NefelejcsTagóvodája által megvalósításra kerülő programokhoz és tárgyi eszköz beszerzésekhez kapcsolódó, 2020. január 1. és 2021. június 30. napja között felmerülő személyi és dologi költségekhez (Képviselői Alap)</t>
  </si>
  <si>
    <t>~ Az Ybl Miklós Tagóvoda által megvalósításra kerülő programokhoz és tárgyi eszköz beszerzéskhez kapcsolódó, 2020. január 1. és 2021. június 30. napja között felmerülő költségek támogatása (Képviselői Alap)</t>
  </si>
  <si>
    <t>~ Az intézmény, valamint az Ybl Lakótelepi Tagóvodája által megvalósításra kerülő programokhoz és tárgyi eszköz beszerzésekhez kapcsolódó, 2020. január 1. és 2021. június 30. napja között felmerülő személyi és dologi költségekhez (Képviselői Alap)</t>
  </si>
  <si>
    <t>~ Az intézmény, valamint a Sziget UtcaiTagóvodája által megvalósításra kerülő programokhoz és tárgyi eszköz beszerzésekhez kapcsolódó, 2020. január 1. és 2021. június 30. napja között felmerülő személyi és dologi költségekhez (Képviselői Alap)</t>
  </si>
  <si>
    <t>~ Az intézmény, valamint a PalotavárosiTagóvodája által megvalósításra kerülő programokhoz és tárgyi eszköz beszerzésekhez kapcsolódó, 2020. január 1. és 2021. június 30. napja között felmerülő személyi és dologi költségekhez (Képviselői Alap)</t>
  </si>
  <si>
    <t>~ Egészségügyi kiegészítő pótlék (V.,VI.,VII.,VIII.,IX.X.,XI.várható XII. havi)</t>
  </si>
  <si>
    <t>~ A Feketehegy-Szárazréti Idősek Otthona programjaihoz  és tárgyi eszköz beszerzéseihez kapcsolódó, 2020. január 1. és 2021. június 30. napja között felmerülő költségek támogatása (Képviselői Alap)</t>
  </si>
  <si>
    <t>~ A Családok Átmeneti Otthona számára a krízishelyzetben lévő anyák megsegítéséhez kapcsolódó programokhoz és tárgyi eszköz beszerzéséhez kapcsolódó, 2020. január 1. és 2021. június 30. napja között felmerülő személyi és dologi költségekhez (Képviselői Alap)</t>
  </si>
  <si>
    <t>~ A 2020. évi XXXII. Törvény alapján végkielégítés, szabadságmegváltás rendezése a várható személyi juttatás és járulékai megtakarítása figyelembe vételével (11.01-12.31)</t>
  </si>
  <si>
    <t>~ Az intézmény Budai Úti Tagkönyvtárának programjaihoz és tárgyi eszköz beszerzéseihez kapcsolódó, 2020. január 1. és 2021. december 31. napja között felmerülő költségek támogatása  (Képviselői Alap)</t>
  </si>
  <si>
    <t>~ Az intézmény Mészöly Géza Utcai Tagkönyvtárának programjaihoz és tárgyi eszköz beszerzéseihez kapcsolódó, 2020. január 1. és 2020. december 31. napja között felmerülő költségek támogatása (Képviselői Alap)</t>
  </si>
  <si>
    <t>~ Régészet bevételei túlteljesülésének előirányzat rendezése</t>
  </si>
  <si>
    <t>~ Önkormányzati előfinanszírozás előirányzat rendezése</t>
  </si>
  <si>
    <t>~ Előadások törlése miatti bevétel elmaradás előirányzat rendezés</t>
  </si>
  <si>
    <t>~ A 2020. évi XXXII. Törvény alapján végkielégítés, szabadságmegváltás</t>
  </si>
  <si>
    <t>~ Saját hatáskörű előirányzat módosítás, átvett pénzeszköz</t>
  </si>
  <si>
    <t>~ Átvett pénzeszköz elmaradása miatti előirányzat rendezés, előfinanszírozás</t>
  </si>
  <si>
    <t>~ Nem csak a 20 éveseké a világ nyugdíjas klub által megvalósításra kerülő programokhoz kapcsolódó, 2020. január 1. é 2021. június 30. napja között femerülő költségek támogatása (Képviselői Alap)</t>
  </si>
  <si>
    <t>~ A Történelmi Vitéz Rend programjaival kapcsolatosan 2020. január 1. és 2021. június 30. napja között felmerülő költségek támogatása (Képviselői Alap)</t>
  </si>
  <si>
    <t>~ A Katolikus Legényegylet 2020. évi programjaihoz kapcsolódó személyi és dologi költségekhez, valamint immateriális javak, tárgyi eszközök költségeihez (Képviselői Alap)</t>
  </si>
  <si>
    <t>~ Nem csak a 20 éveseké a világ nyugdíjas klub által megvalósításra kerülő programokhoz kapcsolódó, 2020. évi programjaihoz kapcsolódó személyi és dologi kötlségekhez, immateriális javak, tárgyi eszközök költségeihez (Képviselői Alap)</t>
  </si>
  <si>
    <t>~ A Felsővárosi Hagyományőrzők Klubjának 50 éves fennállása alkalmából 2020. évben megvalósuló programokhoz kapcsolódó személyi és dologi költségekhez, immateriális javak, tárgyi eszközök költségeihez. (Képviselői Alap)</t>
  </si>
  <si>
    <t>~ A 2020. január 1. és 2021. június 30. napja között megvalósuló nyugdíjas gerinctorna foglalkozásokhoz kapcsolódó személyi és dologi költségekhez (Képviselői Alap)</t>
  </si>
  <si>
    <t>~ A Felsővárosi Nyugdíjas Klub által megvalósításra kerülő programokhoz kapcsolódó, 2020. január 1. és 2021. szeptember 30. napja között felmerülő költségek támogatása (Képviselői Alap)</t>
  </si>
  <si>
    <t>~ A Történelmi Vitéz Rend által megvalósításra kerülő programokhoz kapcsolódó, 2020. január 1. és 2021. augusztus 31. napja között felmerülő személyi és dologi költségekhez, valamint immateriális javak, tárgyi eszközök költségeihez. (Képviselői Alap)</t>
  </si>
  <si>
    <t>~ Székesfehérvár-Kisfalud városrész lakói számára megvalósításra kerülő programokhoz kapcsolódó, 2020. január 1. és 2021. augusztus 31. közzött felmerülő személyi és dologi költségekhez, immateriális javak, tárgyi eszközök beszerzéséhez (Képviselői Alap)</t>
  </si>
  <si>
    <t>~ Adventi programokhoz, feketehegyi gyermekek számára iskolai Mikulás és karácsonyi ünnepség megrendezéséhez kapcsolódó költségek támogatása (Képviselői Alap)</t>
  </si>
  <si>
    <t>~ Főösszeget nem érintő előirányzat rendezés</t>
  </si>
  <si>
    <t>~ A pedagógus előmeneteli rendszer hatálya alá tartozó foglalkoztatott ágazati szakmai pótléka a 24/2020. (II.24.) és a 417/2020. (VIII.30.) Kormányrendeletek alapján (valamennyi óvoda és bölcsőde)</t>
  </si>
  <si>
    <t>~ Vezetői pótlék különbözet a 24/2020. (II.24.) Kormányrendelet alapján (valamennyi óvoda)</t>
  </si>
  <si>
    <t>~ Összevonás miatti előirányzat rendezés a 71/2020. (II.14.) kgy.határozat alapján (Szárazréti Óvoda)</t>
  </si>
  <si>
    <t>~ Összevonás miatti előirányzat rendezés a 71/2020. (II.14.) kgy.határozat alapján (Felsővárosi Óvoda)</t>
  </si>
  <si>
    <t>~ A 2020. évi XXXII. Törvény alapján végkielégítés, szabadságmegváltás rendezése a várható személyi juttatás és járulékai megtakarítása figyelembe vételével (11.01-12.31) Kulturális ágazat</t>
  </si>
  <si>
    <t>~ Ybl Miklós Tagóvoda átadás-átvétele a 71/2020. (II.14.) Kgy.határozat alapján. Felsőváros és Rákóczi Óvoda</t>
  </si>
  <si>
    <t>~ Járványvédekezésre biztosított keretből visszavonás (Humán Szolgáltató Intézet)</t>
  </si>
  <si>
    <t>~ Régészet bevételei túlteljesülésének előirányzat rendezése (Szent István Király Múzeum)</t>
  </si>
  <si>
    <t>~ Cafetéria (V.,VI. havi)(Szárazréti Óvoda)</t>
  </si>
  <si>
    <t>humán járvány sorról</t>
  </si>
  <si>
    <t>~ Átvett pénzeszköz elmaradása miatti előirányzat rendezés, előfinanszírozás (Székesfehérvári Balett Színház)</t>
  </si>
  <si>
    <t>~ Önkormányzati előfinanszírozás előirányzat rendezése (Alba Regia Szimfonikus Zenekar)</t>
  </si>
  <si>
    <t>~ Saját hatáskörű előriányzat módosítás (Vörösmarty Színház)</t>
  </si>
  <si>
    <t>Saját hatáskörű előirányzat rendezés átvett pénzeszköz (Vörösmarty Színház, Balett Színház)</t>
  </si>
  <si>
    <t>~ Előadások törlése miatti bevétel elmaradás előirányzat rendezés (Vörösmarty Színház, Alba Regia Szimfonikus Zenekar)</t>
  </si>
  <si>
    <t>~ Főösszeget nem érintő előirányzat rendezés (Polgármesteri Hivatal)</t>
  </si>
  <si>
    <t>Költségvetési szervek 2020.évi bevételi előirányzata (eFt-ban)</t>
  </si>
  <si>
    <t>2020. december 1.</t>
  </si>
  <si>
    <t>2020. november 15.</t>
  </si>
  <si>
    <t>2020. november 1.</t>
  </si>
  <si>
    <t>Költségvetési szervek 2020. évi kiadási előirányzatán</t>
  </si>
  <si>
    <t>belül a kiemlelt dologi előirányzatok (e Ft-ban)</t>
  </si>
  <si>
    <t xml:space="preserve">Energia </t>
  </si>
  <si>
    <t>Energia ÁFA</t>
  </si>
  <si>
    <t>Élelmezés</t>
  </si>
  <si>
    <t>Élelmezés  ÁFA</t>
  </si>
  <si>
    <t xml:space="preserve"> Mesevilág Bölcsőde</t>
  </si>
  <si>
    <t xml:space="preserve"> Szeder Bölcsőde</t>
  </si>
  <si>
    <t xml:space="preserve"> Tündérkert Bölcsőde</t>
  </si>
  <si>
    <t>Humán Szolgáltatás összesen</t>
  </si>
  <si>
    <t>Városi Levéltár</t>
  </si>
  <si>
    <t>Siklósi Gyula Várostörténeti Kutatóintézet</t>
  </si>
  <si>
    <t>Alba Regi Szimfónilus Zenekar</t>
  </si>
  <si>
    <t>Intézmények összesen :</t>
  </si>
  <si>
    <t>Polgármesteri Hivatallal mindösszesen</t>
  </si>
  <si>
    <t>28/a, Ingóságok értékesítése</t>
  </si>
  <si>
    <t>29, Felhalmozási bevételek összesen (28+28/a):</t>
  </si>
  <si>
    <t>2020. évi központi költségvetésből  származó  állami hozzájárulás (eFt-ban)</t>
  </si>
  <si>
    <t>Költségvetési szervek 2020. évi álláshelyeinek meghatározása</t>
  </si>
  <si>
    <t>Módosított kiadások:</t>
  </si>
  <si>
    <t>Módosított bevételek:</t>
  </si>
  <si>
    <t>Természeti értékek megőrzése és fenntartása Székesfehérvár Városgondnoksága Kft. és az Önkormányzat közötti megállapodásban rögzítettek alapján közterületen álló fák pótlására (Üzleti terv módosítás a 11. sor terhére)</t>
  </si>
  <si>
    <t>Természeti értékek megőrzése és fenntartása Székesfehérvár Városgondnoksága Kft. és az Önkormányzat közötti megállapodásban rögzítettek alapján közterületen álló fák pótlására (Üzleti terv módosításhoz bevétel átvezetése a 6. pont terhére)</t>
  </si>
  <si>
    <t>Székesfehérvári Közösségi  és Kulturális Központ</t>
  </si>
  <si>
    <t>71/2020.(II.14) Kgy.határozat és Szfvár MJV PH SZMSZ</t>
  </si>
  <si>
    <t>417/2020. (X.16.) kgy határozat</t>
  </si>
  <si>
    <t>385/2020. (IX.25.) kgy határozat</t>
  </si>
  <si>
    <t xml:space="preserve">   Székesfehérvár Városgondnoksága Kft. (önkormányzati támgoatás rendezése)</t>
  </si>
  <si>
    <t>~ Kulturális illetménypótlék (V.,VI.,VII.,VIII.IX.,X. és  XI. továbbá XII. havi várható beépülő bérelemként)</t>
  </si>
  <si>
    <t>~ Kulturális illetménypótlék (V.,VI.,VII.VIII.IX.,X. és,XI. továbbá XII. havi várható beépülő bérelemként)</t>
  </si>
  <si>
    <t xml:space="preserve">   Kulturális illetménypótlék (jogszabály szerinti beépülő bérelemmel)</t>
  </si>
  <si>
    <t xml:space="preserve">            Kulturális illetménypótlék (jogszabály szerinti beépülő bérelemmel)</t>
  </si>
  <si>
    <t>Kulturális illetménypótlék (jogszabály szerinti beépülő bérelemmel)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</si>
</sst>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F_t_-;\-* #,##0.00\ _F_t_-;_-* &quot;-&quot;??\ _F_t_-;_-@_-"/>
    <numFmt numFmtId="165" formatCode="_-* #,##0_-;\-* #,##0_-;_-* &quot;-&quot;??_-;_-@_-"/>
  </numFmts>
  <fonts count="97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2"/>
      <name val="Times New Roman CE"/>
    </font>
    <font>
      <b/>
      <sz val="12"/>
      <name val="Times New Roman CE"/>
    </font>
    <font>
      <i/>
      <sz val="12"/>
      <name val="Times New Roman CE"/>
    </font>
    <font>
      <b/>
      <sz val="10"/>
      <name val="Times New Roman CE"/>
      <family val="1"/>
      <charset val="238"/>
    </font>
    <font>
      <b/>
      <sz val="10"/>
      <name val="Times New Roman CE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charset val="238"/>
    </font>
    <font>
      <sz val="10"/>
      <color indexed="8"/>
      <name val="Calibri"/>
      <family val="2"/>
      <charset val="238"/>
    </font>
    <font>
      <b/>
      <sz val="8"/>
      <name val="Times New Roman CE"/>
    </font>
    <font>
      <sz val="10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 CE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Times New Roman"/>
      <family val="1"/>
      <charset val="238"/>
    </font>
    <font>
      <b/>
      <sz val="11"/>
      <color rgb="FF0070C0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  <font>
      <sz val="10"/>
      <color rgb="FFFF0000"/>
      <name val="Arial CE"/>
      <charset val="238"/>
    </font>
    <font>
      <b/>
      <sz val="14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7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73">
    <xf numFmtId="0" fontId="0" fillId="0" borderId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31" fillId="3" borderId="0" applyNumberFormat="0" applyBorder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33" fillId="20" borderId="1" applyNumberFormat="0" applyAlignment="0" applyProtection="0"/>
    <xf numFmtId="0" fontId="24" fillId="21" borderId="2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1" borderId="2" applyNumberFormat="0" applyAlignment="0" applyProtection="0"/>
    <xf numFmtId="0" fontId="24" fillId="21" borderId="2" applyNumberFormat="0" applyAlignment="0" applyProtection="0"/>
    <xf numFmtId="0" fontId="24" fillId="21" borderId="2" applyNumberFormat="0" applyAlignment="0" applyProtection="0"/>
    <xf numFmtId="0" fontId="29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19" fillId="7" borderId="1" applyNumberFormat="0" applyAlignment="0" applyProtection="0"/>
    <xf numFmtId="0" fontId="13" fillId="22" borderId="7" applyNumberFormat="0" applyFont="0" applyAlignment="0" applyProtection="0"/>
    <xf numFmtId="0" fontId="35" fillId="22" borderId="7" applyNumberFormat="0" applyFont="0" applyAlignment="0" applyProtection="0"/>
    <xf numFmtId="0" fontId="35" fillId="22" borderId="7" applyNumberFormat="0" applyFont="0" applyAlignment="0" applyProtection="0"/>
    <xf numFmtId="0" fontId="16" fillId="22" borderId="7" applyNumberFormat="0" applyFont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20" borderId="8" applyNumberFormat="0" applyAlignment="0" applyProtection="0"/>
    <xf numFmtId="0" fontId="28" fillId="20" borderId="8" applyNumberFormat="0" applyAlignment="0" applyProtection="0"/>
    <xf numFmtId="0" fontId="28" fillId="20" borderId="8" applyNumberFormat="0" applyAlignment="0" applyProtection="0"/>
    <xf numFmtId="0" fontId="26" fillId="0" borderId="6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23" borderId="0" applyNumberFormat="0" applyBorder="0" applyAlignment="0" applyProtection="0"/>
    <xf numFmtId="0" fontId="54" fillId="0" borderId="0"/>
    <xf numFmtId="0" fontId="16" fillId="0" borderId="0"/>
    <xf numFmtId="0" fontId="35" fillId="0" borderId="0"/>
    <xf numFmtId="0" fontId="35" fillId="0" borderId="0"/>
    <xf numFmtId="0" fontId="16" fillId="0" borderId="0"/>
    <xf numFmtId="0" fontId="13" fillId="0" borderId="0"/>
    <xf numFmtId="0" fontId="35" fillId="0" borderId="0"/>
    <xf numFmtId="0" fontId="53" fillId="0" borderId="0"/>
    <xf numFmtId="0" fontId="17" fillId="0" borderId="0"/>
    <xf numFmtId="0" fontId="35" fillId="0" borderId="0"/>
    <xf numFmtId="0" fontId="5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0"/>
    <xf numFmtId="0" fontId="37" fillId="0" borderId="0"/>
    <xf numFmtId="0" fontId="16" fillId="0" borderId="0"/>
    <xf numFmtId="0" fontId="54" fillId="0" borderId="0"/>
    <xf numFmtId="0" fontId="54" fillId="0" borderId="0"/>
    <xf numFmtId="0" fontId="50" fillId="0" borderId="0"/>
    <xf numFmtId="0" fontId="38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7" fillId="22" borderId="7" applyNumberFormat="0" applyFont="0" applyAlignment="0" applyProtection="0"/>
    <xf numFmtId="0" fontId="28" fillId="20" borderId="8" applyNumberFormat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20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2" fillId="0" borderId="0"/>
    <xf numFmtId="0" fontId="55" fillId="0" borderId="0"/>
    <xf numFmtId="0" fontId="55" fillId="0" borderId="0"/>
    <xf numFmtId="164" fontId="12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35" fillId="0" borderId="0"/>
    <xf numFmtId="0" fontId="13" fillId="0" borderId="0"/>
    <xf numFmtId="0" fontId="9" fillId="0" borderId="0"/>
    <xf numFmtId="0" fontId="9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7" borderId="1" applyNumberFormat="0" applyAlignment="0" applyProtection="0"/>
    <xf numFmtId="0" fontId="20" fillId="0" borderId="0" applyNumberFormat="0" applyFill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2" applyNumberFormat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13" fillId="22" borderId="7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27" fillId="4" borderId="0" applyNumberFormat="0" applyBorder="0" applyAlignment="0" applyProtection="0"/>
    <xf numFmtId="0" fontId="28" fillId="20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3" borderId="0" applyNumberFormat="0" applyBorder="0" applyAlignment="0" applyProtection="0"/>
    <xf numFmtId="0" fontId="32" fillId="23" borderId="0" applyNumberFormat="0" applyBorder="0" applyAlignment="0" applyProtection="0"/>
    <xf numFmtId="0" fontId="33" fillId="20" borderId="1" applyNumberFormat="0" applyAlignment="0" applyProtection="0"/>
    <xf numFmtId="0" fontId="8" fillId="0" borderId="0"/>
    <xf numFmtId="0" fontId="7" fillId="0" borderId="0"/>
    <xf numFmtId="0" fontId="7" fillId="0" borderId="0"/>
    <xf numFmtId="0" fontId="6" fillId="0" borderId="0"/>
    <xf numFmtId="43" fontId="13" fillId="0" borderId="0" applyFont="0" applyFill="0" applyBorder="0" applyAlignment="0" applyProtection="0"/>
    <xf numFmtId="0" fontId="5" fillId="0" borderId="0"/>
    <xf numFmtId="0" fontId="38" fillId="0" borderId="0"/>
    <xf numFmtId="0" fontId="35" fillId="0" borderId="0"/>
    <xf numFmtId="0" fontId="35" fillId="0" borderId="0"/>
    <xf numFmtId="0" fontId="38" fillId="0" borderId="0"/>
    <xf numFmtId="0" fontId="37" fillId="0" borderId="0"/>
    <xf numFmtId="43" fontId="4" fillId="0" borderId="0" applyFont="0" applyFill="0" applyBorder="0" applyAlignment="0" applyProtection="0"/>
    <xf numFmtId="0" fontId="55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051">
    <xf numFmtId="0" fontId="0" fillId="0" borderId="0" xfId="0"/>
    <xf numFmtId="3" fontId="13" fillId="0" borderId="21" xfId="174" applyNumberFormat="1" applyFont="1" applyFill="1" applyBorder="1"/>
    <xf numFmtId="3" fontId="13" fillId="0" borderId="11" xfId="174" applyNumberFormat="1" applyFont="1" applyFill="1" applyBorder="1"/>
    <xf numFmtId="3" fontId="14" fillId="0" borderId="11" xfId="174" applyNumberFormat="1" applyFont="1" applyFill="1" applyBorder="1"/>
    <xf numFmtId="3" fontId="43" fillId="0" borderId="11" xfId="174" applyNumberFormat="1" applyFont="1" applyFill="1" applyBorder="1"/>
    <xf numFmtId="3" fontId="44" fillId="0" borderId="11" xfId="174" applyNumberFormat="1" applyFont="1" applyFill="1" applyBorder="1"/>
    <xf numFmtId="3" fontId="44" fillId="0" borderId="21" xfId="174" applyNumberFormat="1" applyFont="1" applyFill="1" applyBorder="1"/>
    <xf numFmtId="3" fontId="46" fillId="0" borderId="11" xfId="174" applyNumberFormat="1" applyFont="1" applyFill="1" applyBorder="1"/>
    <xf numFmtId="3" fontId="15" fillId="0" borderId="11" xfId="174" applyNumberFormat="1" applyFont="1" applyFill="1" applyBorder="1"/>
    <xf numFmtId="3" fontId="15" fillId="0" borderId="21" xfId="174" applyNumberFormat="1" applyFont="1" applyFill="1" applyBorder="1"/>
    <xf numFmtId="3" fontId="46" fillId="0" borderId="21" xfId="174" applyNumberFormat="1" applyFont="1" applyFill="1" applyBorder="1"/>
    <xf numFmtId="3" fontId="45" fillId="0" borderId="11" xfId="174" applyNumberFormat="1" applyFont="1" applyFill="1" applyBorder="1"/>
    <xf numFmtId="0" fontId="44" fillId="0" borderId="11" xfId="174" applyFont="1" applyFill="1" applyBorder="1" applyAlignment="1">
      <alignment wrapText="1"/>
    </xf>
    <xf numFmtId="0" fontId="38" fillId="0" borderId="0" xfId="172" applyFont="1" applyFill="1"/>
    <xf numFmtId="3" fontId="14" fillId="0" borderId="36" xfId="174" applyNumberFormat="1" applyFont="1" applyFill="1" applyBorder="1"/>
    <xf numFmtId="3" fontId="14" fillId="0" borderId="37" xfId="174" applyNumberFormat="1" applyFont="1" applyFill="1" applyBorder="1"/>
    <xf numFmtId="3" fontId="14" fillId="0" borderId="10" xfId="174" applyNumberFormat="1" applyFont="1" applyFill="1" applyBorder="1"/>
    <xf numFmtId="3" fontId="13" fillId="0" borderId="38" xfId="174" applyNumberFormat="1" applyFont="1" applyFill="1" applyBorder="1"/>
    <xf numFmtId="3" fontId="13" fillId="0" borderId="39" xfId="174" applyNumberFormat="1" applyFont="1" applyFill="1" applyBorder="1"/>
    <xf numFmtId="3" fontId="14" fillId="0" borderId="38" xfId="174" applyNumberFormat="1" applyFont="1" applyFill="1" applyBorder="1"/>
    <xf numFmtId="3" fontId="43" fillId="0" borderId="41" xfId="174" applyNumberFormat="1" applyFont="1" applyFill="1" applyBorder="1"/>
    <xf numFmtId="3" fontId="43" fillId="0" borderId="10" xfId="174" applyNumberFormat="1" applyFont="1" applyFill="1" applyBorder="1"/>
    <xf numFmtId="3" fontId="46" fillId="0" borderId="10" xfId="174" applyNumberFormat="1" applyFont="1" applyFill="1" applyBorder="1"/>
    <xf numFmtId="3" fontId="43" fillId="0" borderId="0" xfId="174" applyNumberFormat="1" applyFont="1" applyFill="1" applyBorder="1"/>
    <xf numFmtId="3" fontId="39" fillId="0" borderId="0" xfId="172" applyNumberFormat="1" applyFont="1" applyFill="1" applyBorder="1"/>
    <xf numFmtId="3" fontId="40" fillId="0" borderId="24" xfId="172" applyNumberFormat="1" applyFont="1" applyFill="1" applyBorder="1" applyAlignment="1">
      <alignment wrapText="1"/>
    </xf>
    <xf numFmtId="3" fontId="40" fillId="0" borderId="22" xfId="172" applyNumberFormat="1" applyFont="1" applyFill="1" applyBorder="1"/>
    <xf numFmtId="3" fontId="40" fillId="0" borderId="11" xfId="172" applyNumberFormat="1" applyFont="1" applyFill="1" applyBorder="1" applyAlignment="1">
      <alignment wrapText="1"/>
    </xf>
    <xf numFmtId="0" fontId="43" fillId="0" borderId="10" xfId="173" applyFont="1" applyFill="1" applyBorder="1" applyAlignment="1">
      <alignment horizontal="center"/>
    </xf>
    <xf numFmtId="3" fontId="43" fillId="0" borderId="10" xfId="173" applyNumberFormat="1" applyFont="1" applyFill="1" applyBorder="1" applyAlignment="1">
      <alignment horizontal="center" wrapText="1"/>
    </xf>
    <xf numFmtId="0" fontId="13" fillId="0" borderId="0" xfId="173" applyFill="1"/>
    <xf numFmtId="3" fontId="43" fillId="0" borderId="22" xfId="173" applyNumberFormat="1" applyFont="1" applyFill="1" applyBorder="1" applyAlignment="1">
      <alignment wrapText="1"/>
    </xf>
    <xf numFmtId="0" fontId="43" fillId="0" borderId="0" xfId="173" applyFont="1" applyFill="1"/>
    <xf numFmtId="3" fontId="43" fillId="0" borderId="16" xfId="173" applyNumberFormat="1" applyFont="1" applyFill="1" applyBorder="1" applyAlignment="1">
      <alignment wrapText="1"/>
    </xf>
    <xf numFmtId="3" fontId="43" fillId="0" borderId="18" xfId="173" applyNumberFormat="1" applyFont="1" applyFill="1" applyBorder="1"/>
    <xf numFmtId="3" fontId="52" fillId="0" borderId="22" xfId="173" applyNumberFormat="1" applyFont="1" applyFill="1" applyBorder="1" applyAlignment="1">
      <alignment wrapText="1"/>
    </xf>
    <xf numFmtId="3" fontId="52" fillId="0" borderId="25" xfId="173" applyNumberFormat="1" applyFont="1" applyFill="1" applyBorder="1"/>
    <xf numFmtId="0" fontId="52" fillId="0" borderId="0" xfId="173" applyFont="1" applyFill="1"/>
    <xf numFmtId="3" fontId="44" fillId="0" borderId="25" xfId="173" applyNumberFormat="1" applyFont="1" applyFill="1" applyBorder="1"/>
    <xf numFmtId="3" fontId="52" fillId="0" borderId="77" xfId="173" applyNumberFormat="1" applyFont="1" applyFill="1" applyBorder="1" applyAlignment="1">
      <alignment wrapText="1"/>
    </xf>
    <xf numFmtId="0" fontId="13" fillId="0" borderId="77" xfId="173" applyFont="1" applyFill="1" applyBorder="1"/>
    <xf numFmtId="3" fontId="13" fillId="0" borderId="26" xfId="173" applyNumberFormat="1" applyFont="1" applyFill="1" applyBorder="1"/>
    <xf numFmtId="3" fontId="15" fillId="0" borderId="22" xfId="173" applyNumberFormat="1" applyFont="1" applyFill="1" applyBorder="1" applyAlignment="1">
      <alignment wrapText="1"/>
    </xf>
    <xf numFmtId="0" fontId="15" fillId="0" borderId="22" xfId="175" applyFont="1" applyFill="1" applyBorder="1" applyAlignment="1">
      <alignment wrapText="1"/>
    </xf>
    <xf numFmtId="3" fontId="15" fillId="0" borderId="25" xfId="173" applyNumberFormat="1" applyFont="1" applyFill="1" applyBorder="1"/>
    <xf numFmtId="3" fontId="45" fillId="0" borderId="10" xfId="173" applyNumberFormat="1" applyFont="1" applyFill="1" applyBorder="1" applyAlignment="1">
      <alignment wrapText="1"/>
    </xf>
    <xf numFmtId="3" fontId="45" fillId="0" borderId="10" xfId="173" applyNumberFormat="1" applyFont="1" applyFill="1" applyBorder="1"/>
    <xf numFmtId="0" fontId="45" fillId="0" borderId="0" xfId="173" applyFont="1" applyFill="1"/>
    <xf numFmtId="3" fontId="13" fillId="0" borderId="0" xfId="173" applyNumberFormat="1" applyFill="1" applyAlignment="1">
      <alignment wrapText="1"/>
    </xf>
    <xf numFmtId="3" fontId="13" fillId="0" borderId="0" xfId="173" applyNumberFormat="1" applyFill="1"/>
    <xf numFmtId="3" fontId="13" fillId="0" borderId="18" xfId="173" applyNumberFormat="1" applyFill="1" applyBorder="1"/>
    <xf numFmtId="0" fontId="13" fillId="0" borderId="0" xfId="173" applyFont="1" applyFill="1"/>
    <xf numFmtId="0" fontId="14" fillId="0" borderId="10" xfId="173" applyFont="1" applyFill="1" applyBorder="1" applyAlignment="1">
      <alignment horizontal="center" wrapText="1"/>
    </xf>
    <xf numFmtId="3" fontId="43" fillId="0" borderId="10" xfId="173" applyNumberFormat="1" applyFont="1" applyFill="1" applyBorder="1" applyAlignment="1">
      <alignment wrapText="1"/>
    </xf>
    <xf numFmtId="3" fontId="14" fillId="0" borderId="35" xfId="173" applyNumberFormat="1" applyFont="1" applyFill="1" applyBorder="1"/>
    <xf numFmtId="3" fontId="14" fillId="0" borderId="10" xfId="173" applyNumberFormat="1" applyFont="1" applyFill="1" applyBorder="1"/>
    <xf numFmtId="3" fontId="13" fillId="0" borderId="0" xfId="173" applyNumberFormat="1" applyFont="1" applyFill="1" applyAlignment="1">
      <alignment wrapText="1"/>
    </xf>
    <xf numFmtId="3" fontId="13" fillId="0" borderId="0" xfId="173" applyNumberFormat="1" applyFont="1" applyFill="1"/>
    <xf numFmtId="3" fontId="14" fillId="0" borderId="0" xfId="173" applyNumberFormat="1" applyFont="1" applyFill="1"/>
    <xf numFmtId="3" fontId="44" fillId="0" borderId="36" xfId="174" applyNumberFormat="1" applyFont="1" applyFill="1" applyBorder="1"/>
    <xf numFmtId="0" fontId="44" fillId="0" borderId="43" xfId="174" applyFont="1" applyFill="1" applyBorder="1" applyAlignment="1">
      <alignment wrapText="1"/>
    </xf>
    <xf numFmtId="3" fontId="39" fillId="0" borderId="22" xfId="172" applyNumberFormat="1" applyFont="1" applyFill="1" applyBorder="1"/>
    <xf numFmtId="0" fontId="44" fillId="0" borderId="11" xfId="171" applyFont="1" applyFill="1" applyBorder="1"/>
    <xf numFmtId="3" fontId="44" fillId="0" borderId="12" xfId="171" applyNumberFormat="1" applyFont="1" applyFill="1" applyBorder="1"/>
    <xf numFmtId="0" fontId="44" fillId="0" borderId="0" xfId="171" applyFont="1" applyFill="1"/>
    <xf numFmtId="0" fontId="15" fillId="0" borderId="83" xfId="171" applyFont="1" applyFill="1" applyBorder="1"/>
    <xf numFmtId="3" fontId="15" fillId="0" borderId="52" xfId="171" applyNumberFormat="1" applyFont="1" applyFill="1" applyBorder="1"/>
    <xf numFmtId="0" fontId="15" fillId="0" borderId="0" xfId="171" applyFont="1" applyFill="1"/>
    <xf numFmtId="0" fontId="15" fillId="0" borderId="0" xfId="0" applyFont="1" applyFill="1"/>
    <xf numFmtId="0" fontId="44" fillId="0" borderId="11" xfId="171" applyNumberFormat="1" applyFont="1" applyFill="1" applyBorder="1"/>
    <xf numFmtId="0" fontId="15" fillId="0" borderId="15" xfId="171" applyNumberFormat="1" applyFont="1" applyFill="1" applyBorder="1"/>
    <xf numFmtId="3" fontId="43" fillId="0" borderId="38" xfId="174" applyNumberFormat="1" applyFont="1" applyFill="1" applyBorder="1"/>
    <xf numFmtId="3" fontId="43" fillId="0" borderId="39" xfId="174" applyNumberFormat="1" applyFont="1" applyFill="1" applyBorder="1"/>
    <xf numFmtId="3" fontId="39" fillId="0" borderId="24" xfId="172" applyNumberFormat="1" applyFont="1" applyFill="1" applyBorder="1"/>
    <xf numFmtId="3" fontId="40" fillId="0" borderId="20" xfId="172" applyNumberFormat="1" applyFont="1" applyFill="1" applyBorder="1" applyAlignment="1">
      <alignment wrapText="1"/>
    </xf>
    <xf numFmtId="3" fontId="39" fillId="0" borderId="20" xfId="172" applyNumberFormat="1" applyFont="1" applyFill="1" applyBorder="1"/>
    <xf numFmtId="3" fontId="40" fillId="0" borderId="24" xfId="172" applyNumberFormat="1" applyFont="1" applyFill="1" applyBorder="1"/>
    <xf numFmtId="3" fontId="40" fillId="0" borderId="22" xfId="172" applyNumberFormat="1" applyFont="1" applyFill="1" applyBorder="1" applyAlignment="1">
      <alignment wrapText="1"/>
    </xf>
    <xf numFmtId="3" fontId="40" fillId="0" borderId="20" xfId="172" applyNumberFormat="1" applyFont="1" applyFill="1" applyBorder="1"/>
    <xf numFmtId="0" fontId="14" fillId="0" borderId="38" xfId="171" applyNumberFormat="1" applyFont="1" applyFill="1" applyBorder="1"/>
    <xf numFmtId="3" fontId="14" fillId="0" borderId="11" xfId="171" applyNumberFormat="1" applyFont="1" applyFill="1" applyBorder="1"/>
    <xf numFmtId="3" fontId="46" fillId="0" borderId="38" xfId="174" applyNumberFormat="1" applyFont="1" applyFill="1" applyBorder="1"/>
    <xf numFmtId="3" fontId="46" fillId="0" borderId="83" xfId="171" applyNumberFormat="1" applyFont="1" applyFill="1" applyBorder="1"/>
    <xf numFmtId="3" fontId="45" fillId="0" borderId="0" xfId="173" applyNumberFormat="1" applyFont="1" applyFill="1" applyBorder="1" applyAlignment="1">
      <alignment wrapText="1"/>
    </xf>
    <xf numFmtId="3" fontId="45" fillId="0" borderId="0" xfId="173" applyNumberFormat="1" applyFont="1" applyFill="1" applyBorder="1"/>
    <xf numFmtId="3" fontId="43" fillId="0" borderId="0" xfId="173" applyNumberFormat="1" applyFont="1" applyFill="1" applyBorder="1" applyAlignment="1">
      <alignment wrapText="1"/>
    </xf>
    <xf numFmtId="3" fontId="15" fillId="0" borderId="27" xfId="173" applyNumberFormat="1" applyFont="1" applyFill="1" applyBorder="1" applyAlignment="1">
      <alignment wrapText="1"/>
    </xf>
    <xf numFmtId="3" fontId="14" fillId="0" borderId="0" xfId="173" applyNumberFormat="1" applyFont="1" applyFill="1" applyBorder="1"/>
    <xf numFmtId="3" fontId="40" fillId="0" borderId="65" xfId="172" applyNumberFormat="1" applyFont="1" applyFill="1" applyBorder="1"/>
    <xf numFmtId="3" fontId="40" fillId="0" borderId="25" xfId="172" applyNumberFormat="1" applyFont="1" applyFill="1" applyBorder="1"/>
    <xf numFmtId="3" fontId="39" fillId="0" borderId="25" xfId="172" applyNumberFormat="1" applyFont="1" applyFill="1" applyBorder="1"/>
    <xf numFmtId="3" fontId="40" fillId="0" borderId="21" xfId="172" applyNumberFormat="1" applyFont="1" applyFill="1" applyBorder="1"/>
    <xf numFmtId="3" fontId="40" fillId="0" borderId="25" xfId="172" applyNumberFormat="1" applyFont="1" applyFill="1" applyBorder="1" applyAlignment="1">
      <alignment wrapText="1"/>
    </xf>
    <xf numFmtId="3" fontId="40" fillId="0" borderId="21" xfId="172" applyNumberFormat="1" applyFont="1" applyFill="1" applyBorder="1" applyAlignment="1">
      <alignment wrapText="1"/>
    </xf>
    <xf numFmtId="3" fontId="40" fillId="0" borderId="77" xfId="172" applyNumberFormat="1" applyFont="1" applyFill="1" applyBorder="1"/>
    <xf numFmtId="3" fontId="40" fillId="0" borderId="73" xfId="172" applyNumberFormat="1" applyFont="1" applyFill="1" applyBorder="1"/>
    <xf numFmtId="3" fontId="40" fillId="0" borderId="39" xfId="172" applyNumberFormat="1" applyFont="1" applyFill="1" applyBorder="1"/>
    <xf numFmtId="3" fontId="40" fillId="0" borderId="81" xfId="172" applyNumberFormat="1" applyFont="1" applyFill="1" applyBorder="1"/>
    <xf numFmtId="3" fontId="34" fillId="0" borderId="77" xfId="172" applyNumberFormat="1" applyFont="1" applyFill="1" applyBorder="1"/>
    <xf numFmtId="3" fontId="34" fillId="0" borderId="73" xfId="172" applyNumberFormat="1" applyFont="1" applyFill="1" applyBorder="1"/>
    <xf numFmtId="3" fontId="34" fillId="0" borderId="39" xfId="172" applyNumberFormat="1" applyFont="1" applyFill="1" applyBorder="1"/>
    <xf numFmtId="3" fontId="34" fillId="0" borderId="81" xfId="172" applyNumberFormat="1" applyFont="1" applyFill="1" applyBorder="1"/>
    <xf numFmtId="3" fontId="34" fillId="0" borderId="78" xfId="172" applyNumberFormat="1" applyFont="1" applyFill="1" applyBorder="1"/>
    <xf numFmtId="0" fontId="44" fillId="0" borderId="11" xfId="176" applyFont="1" applyFill="1" applyBorder="1" applyAlignment="1">
      <alignment wrapText="1"/>
    </xf>
    <xf numFmtId="3" fontId="39" fillId="0" borderId="86" xfId="172" applyNumberFormat="1" applyFont="1" applyFill="1" applyBorder="1" applyAlignment="1">
      <alignment wrapText="1"/>
    </xf>
    <xf numFmtId="3" fontId="34" fillId="0" borderId="20" xfId="172" applyNumberFormat="1" applyFont="1" applyFill="1" applyBorder="1" applyAlignment="1">
      <alignment wrapText="1"/>
    </xf>
    <xf numFmtId="3" fontId="34" fillId="0" borderId="24" xfId="172" applyNumberFormat="1" applyFont="1" applyFill="1" applyBorder="1"/>
    <xf numFmtId="3" fontId="39" fillId="0" borderId="18" xfId="172" applyNumberFormat="1" applyFont="1" applyFill="1" applyBorder="1" applyAlignment="1">
      <alignment wrapText="1"/>
    </xf>
    <xf numFmtId="3" fontId="34" fillId="0" borderId="25" xfId="172" applyNumberFormat="1" applyFont="1" applyFill="1" applyBorder="1" applyAlignment="1">
      <alignment wrapText="1"/>
    </xf>
    <xf numFmtId="3" fontId="34" fillId="0" borderId="25" xfId="172" applyNumberFormat="1" applyFont="1" applyFill="1" applyBorder="1"/>
    <xf numFmtId="3" fontId="39" fillId="0" borderId="25" xfId="172" applyNumberFormat="1" applyFont="1" applyFill="1" applyBorder="1" applyAlignment="1">
      <alignment wrapText="1"/>
    </xf>
    <xf numFmtId="3" fontId="40" fillId="0" borderId="78" xfId="172" applyNumberFormat="1" applyFont="1" applyFill="1" applyBorder="1" applyAlignment="1">
      <alignment wrapText="1"/>
    </xf>
    <xf numFmtId="3" fontId="15" fillId="0" borderId="52" xfId="173" applyNumberFormat="1" applyFont="1" applyFill="1" applyBorder="1" applyAlignment="1">
      <alignment wrapText="1"/>
    </xf>
    <xf numFmtId="3" fontId="15" fillId="0" borderId="12" xfId="173" applyNumberFormat="1" applyFont="1" applyFill="1" applyBorder="1" applyAlignment="1">
      <alignment wrapText="1"/>
    </xf>
    <xf numFmtId="3" fontId="52" fillId="0" borderId="52" xfId="173" applyNumberFormat="1" applyFont="1" applyFill="1" applyBorder="1" applyAlignment="1">
      <alignment wrapText="1"/>
    </xf>
    <xf numFmtId="3" fontId="52" fillId="0" borderId="48" xfId="173" applyNumberFormat="1" applyFont="1" applyFill="1" applyBorder="1"/>
    <xf numFmtId="0" fontId="46" fillId="0" borderId="100" xfId="173" applyFont="1" applyFill="1" applyBorder="1" applyAlignment="1">
      <alignment wrapText="1"/>
    </xf>
    <xf numFmtId="3" fontId="39" fillId="0" borderId="65" xfId="172" applyNumberFormat="1" applyFont="1" applyFill="1" applyBorder="1" applyAlignment="1">
      <alignment wrapText="1"/>
    </xf>
    <xf numFmtId="3" fontId="40" fillId="0" borderId="34" xfId="172" applyNumberFormat="1" applyFont="1" applyFill="1" applyBorder="1" applyAlignment="1">
      <alignment wrapText="1"/>
    </xf>
    <xf numFmtId="3" fontId="39" fillId="0" borderId="21" xfId="172" applyNumberFormat="1" applyFont="1" applyFill="1" applyBorder="1" applyAlignment="1">
      <alignment wrapText="1"/>
    </xf>
    <xf numFmtId="3" fontId="44" fillId="0" borderId="21" xfId="174" applyNumberFormat="1" applyFont="1" applyFill="1" applyBorder="1" applyAlignment="1">
      <alignment horizontal="right"/>
    </xf>
    <xf numFmtId="3" fontId="40" fillId="0" borderId="56" xfId="197" applyNumberFormat="1" applyFont="1" applyFill="1" applyBorder="1"/>
    <xf numFmtId="3" fontId="39" fillId="0" borderId="56" xfId="197" applyNumberFormat="1" applyFont="1" applyFill="1" applyBorder="1"/>
    <xf numFmtId="3" fontId="40" fillId="0" borderId="109" xfId="172" applyNumberFormat="1" applyFont="1" applyFill="1" applyBorder="1"/>
    <xf numFmtId="3" fontId="14" fillId="0" borderId="83" xfId="174" applyNumberFormat="1" applyFont="1" applyFill="1" applyBorder="1"/>
    <xf numFmtId="3" fontId="40" fillId="0" borderId="34" xfId="172" applyNumberFormat="1" applyFont="1" applyFill="1" applyBorder="1"/>
    <xf numFmtId="3" fontId="39" fillId="0" borderId="34" xfId="172" applyNumberFormat="1" applyFont="1" applyFill="1" applyBorder="1"/>
    <xf numFmtId="3" fontId="34" fillId="0" borderId="72" xfId="172" applyNumberFormat="1" applyFont="1" applyFill="1" applyBorder="1"/>
    <xf numFmtId="3" fontId="34" fillId="0" borderId="109" xfId="172" applyNumberFormat="1" applyFont="1" applyFill="1" applyBorder="1"/>
    <xf numFmtId="3" fontId="34" fillId="0" borderId="74" xfId="172" applyNumberFormat="1" applyFont="1" applyFill="1" applyBorder="1"/>
    <xf numFmtId="3" fontId="39" fillId="0" borderId="21" xfId="172" applyNumberFormat="1" applyFont="1" applyFill="1" applyBorder="1"/>
    <xf numFmtId="3" fontId="15" fillId="0" borderId="77" xfId="173" applyNumberFormat="1" applyFont="1" applyFill="1" applyBorder="1" applyAlignment="1">
      <alignment wrapText="1"/>
    </xf>
    <xf numFmtId="3" fontId="39" fillId="0" borderId="75" xfId="197" applyNumberFormat="1" applyFont="1" applyFill="1" applyBorder="1"/>
    <xf numFmtId="3" fontId="44" fillId="0" borderId="103" xfId="173" applyNumberFormat="1" applyFont="1" applyFill="1" applyBorder="1"/>
    <xf numFmtId="3" fontId="13" fillId="0" borderId="25" xfId="173" applyNumberFormat="1" applyFill="1" applyBorder="1"/>
    <xf numFmtId="3" fontId="52" fillId="0" borderId="78" xfId="173" applyNumberFormat="1" applyFont="1" applyFill="1" applyBorder="1"/>
    <xf numFmtId="3" fontId="52" fillId="0" borderId="29" xfId="173" applyNumberFormat="1" applyFont="1" applyFill="1" applyBorder="1"/>
    <xf numFmtId="3" fontId="43" fillId="0" borderId="10" xfId="173" applyNumberFormat="1" applyFont="1" applyFill="1" applyBorder="1"/>
    <xf numFmtId="3" fontId="43" fillId="0" borderId="0" xfId="173" applyNumberFormat="1" applyFont="1" applyFill="1" applyBorder="1"/>
    <xf numFmtId="3" fontId="44" fillId="0" borderId="29" xfId="173" applyNumberFormat="1" applyFont="1" applyFill="1" applyBorder="1"/>
    <xf numFmtId="0" fontId="43" fillId="0" borderId="13" xfId="171" applyFont="1" applyFill="1" applyBorder="1"/>
    <xf numFmtId="0" fontId="43" fillId="0" borderId="40" xfId="171" applyFont="1" applyFill="1" applyBorder="1"/>
    <xf numFmtId="3" fontId="46" fillId="0" borderId="10" xfId="171" applyNumberFormat="1" applyFont="1" applyFill="1" applyBorder="1"/>
    <xf numFmtId="4" fontId="46" fillId="0" borderId="10" xfId="171" applyNumberFormat="1" applyFont="1" applyFill="1" applyBorder="1"/>
    <xf numFmtId="0" fontId="14" fillId="0" borderId="0" xfId="171" applyFont="1" applyFill="1"/>
    <xf numFmtId="3" fontId="44" fillId="0" borderId="11" xfId="171" applyNumberFormat="1" applyFont="1" applyFill="1" applyBorder="1"/>
    <xf numFmtId="3" fontId="34" fillId="0" borderId="56" xfId="197" applyNumberFormat="1" applyFont="1" applyFill="1" applyBorder="1" applyAlignment="1"/>
    <xf numFmtId="3" fontId="44" fillId="0" borderId="0" xfId="171" applyNumberFormat="1" applyFont="1" applyFill="1"/>
    <xf numFmtId="3" fontId="43" fillId="0" borderId="10" xfId="171" applyNumberFormat="1" applyFont="1" applyFill="1" applyBorder="1" applyAlignment="1">
      <alignment horizontal="centerContinuous" wrapText="1"/>
    </xf>
    <xf numFmtId="3" fontId="43" fillId="0" borderId="87" xfId="171" applyNumberFormat="1" applyFont="1" applyFill="1" applyBorder="1" applyAlignment="1">
      <alignment horizontal="centerContinuous" wrapText="1"/>
    </xf>
    <xf numFmtId="3" fontId="44" fillId="0" borderId="52" xfId="171" applyNumberFormat="1" applyFont="1" applyFill="1" applyBorder="1"/>
    <xf numFmtId="3" fontId="45" fillId="0" borderId="11" xfId="171" applyNumberFormat="1" applyFont="1" applyFill="1" applyBorder="1"/>
    <xf numFmtId="3" fontId="45" fillId="0" borderId="12" xfId="171" applyNumberFormat="1" applyFont="1" applyFill="1" applyBorder="1"/>
    <xf numFmtId="3" fontId="15" fillId="0" borderId="15" xfId="171" applyNumberFormat="1" applyFont="1" applyFill="1" applyBorder="1"/>
    <xf numFmtId="3" fontId="14" fillId="0" borderId="10" xfId="171" applyNumberFormat="1" applyFont="1" applyFill="1" applyBorder="1"/>
    <xf numFmtId="0" fontId="44" fillId="0" borderId="0" xfId="172" applyFont="1" applyFill="1"/>
    <xf numFmtId="0" fontId="43" fillId="0" borderId="10" xfId="174" applyFont="1" applyFill="1" applyBorder="1" applyAlignment="1">
      <alignment horizontal="center" wrapText="1"/>
    </xf>
    <xf numFmtId="0" fontId="43" fillId="0" borderId="35" xfId="174" applyFont="1" applyFill="1" applyBorder="1" applyAlignment="1">
      <alignment horizontal="center" wrapText="1"/>
    </xf>
    <xf numFmtId="0" fontId="45" fillId="0" borderId="11" xfId="174" applyFont="1" applyFill="1" applyBorder="1" applyAlignment="1">
      <alignment wrapText="1"/>
    </xf>
    <xf numFmtId="0" fontId="47" fillId="0" borderId="0" xfId="172" applyFont="1" applyFill="1"/>
    <xf numFmtId="0" fontId="43" fillId="0" borderId="11" xfId="174" applyFont="1" applyFill="1" applyBorder="1" applyAlignment="1">
      <alignment wrapText="1"/>
    </xf>
    <xf numFmtId="0" fontId="44" fillId="0" borderId="38" xfId="174" applyFont="1" applyFill="1" applyBorder="1" applyAlignment="1">
      <alignment wrapText="1"/>
    </xf>
    <xf numFmtId="0" fontId="48" fillId="0" borderId="0" xfId="172" applyFont="1" applyFill="1"/>
    <xf numFmtId="0" fontId="43" fillId="0" borderId="38" xfId="174" applyFont="1" applyFill="1" applyBorder="1" applyAlignment="1">
      <alignment wrapText="1"/>
    </xf>
    <xf numFmtId="0" fontId="49" fillId="0" borderId="0" xfId="172" applyFont="1" applyFill="1"/>
    <xf numFmtId="0" fontId="44" fillId="0" borderId="36" xfId="174" applyFont="1" applyFill="1" applyBorder="1" applyAlignment="1">
      <alignment wrapText="1"/>
    </xf>
    <xf numFmtId="0" fontId="43" fillId="0" borderId="11" xfId="174" applyFont="1" applyFill="1" applyBorder="1" applyAlignment="1">
      <alignment horizontal="left" wrapText="1"/>
    </xf>
    <xf numFmtId="0" fontId="43" fillId="0" borderId="36" xfId="174" applyFont="1" applyFill="1" applyBorder="1" applyAlignment="1">
      <alignment wrapText="1"/>
    </xf>
    <xf numFmtId="0" fontId="43" fillId="0" borderId="10" xfId="174" applyFont="1" applyFill="1" applyBorder="1" applyAlignment="1">
      <alignment wrapText="1"/>
    </xf>
    <xf numFmtId="0" fontId="43" fillId="0" borderId="40" xfId="174" applyFont="1" applyFill="1" applyBorder="1" applyAlignment="1">
      <alignment wrapText="1"/>
    </xf>
    <xf numFmtId="0" fontId="39" fillId="0" borderId="43" xfId="172" applyFont="1" applyFill="1" applyBorder="1" applyAlignment="1">
      <alignment wrapText="1"/>
    </xf>
    <xf numFmtId="3" fontId="39" fillId="0" borderId="16" xfId="172" applyNumberFormat="1" applyFont="1" applyFill="1" applyBorder="1"/>
    <xf numFmtId="3" fontId="39" fillId="0" borderId="17" xfId="172" applyNumberFormat="1" applyFont="1" applyFill="1" applyBorder="1"/>
    <xf numFmtId="3" fontId="39" fillId="0" borderId="18" xfId="172" applyNumberFormat="1" applyFont="1" applyFill="1" applyBorder="1"/>
    <xf numFmtId="3" fontId="39" fillId="0" borderId="86" xfId="172" applyNumberFormat="1" applyFont="1" applyFill="1" applyBorder="1"/>
    <xf numFmtId="3" fontId="39" fillId="0" borderId="112" xfId="172" applyNumberFormat="1" applyFont="1" applyFill="1" applyBorder="1"/>
    <xf numFmtId="3" fontId="39" fillId="0" borderId="110" xfId="172" applyNumberFormat="1" applyFont="1" applyFill="1" applyBorder="1"/>
    <xf numFmtId="3" fontId="39" fillId="0" borderId="104" xfId="172" applyNumberFormat="1" applyFont="1" applyFill="1" applyBorder="1"/>
    <xf numFmtId="3" fontId="34" fillId="0" borderId="11" xfId="172" applyNumberFormat="1" applyFont="1" applyFill="1" applyBorder="1" applyAlignment="1">
      <alignment wrapText="1"/>
    </xf>
    <xf numFmtId="3" fontId="40" fillId="0" borderId="12" xfId="172" applyNumberFormat="1" applyFont="1" applyFill="1" applyBorder="1"/>
    <xf numFmtId="0" fontId="39" fillId="0" borderId="11" xfId="172" applyFont="1" applyFill="1" applyBorder="1" applyAlignment="1">
      <alignment wrapText="1"/>
    </xf>
    <xf numFmtId="3" fontId="39" fillId="0" borderId="12" xfId="172" applyNumberFormat="1" applyFont="1" applyFill="1" applyBorder="1"/>
    <xf numFmtId="3" fontId="40" fillId="0" borderId="12" xfId="172" applyNumberFormat="1" applyFont="1" applyFill="1" applyBorder="1" applyAlignment="1">
      <alignment wrapText="1"/>
    </xf>
    <xf numFmtId="3" fontId="40" fillId="0" borderId="38" xfId="172" applyNumberFormat="1" applyFont="1" applyFill="1" applyBorder="1" applyAlignment="1">
      <alignment wrapText="1"/>
    </xf>
    <xf numFmtId="3" fontId="34" fillId="0" borderId="38" xfId="172" applyNumberFormat="1" applyFont="1" applyFill="1" applyBorder="1" applyAlignment="1">
      <alignment wrapText="1"/>
    </xf>
    <xf numFmtId="3" fontId="39" fillId="0" borderId="15" xfId="172" applyNumberFormat="1" applyFont="1" applyFill="1" applyBorder="1"/>
    <xf numFmtId="3" fontId="39" fillId="0" borderId="27" xfId="172" applyNumberFormat="1" applyFont="1" applyFill="1" applyBorder="1"/>
    <xf numFmtId="3" fontId="39" fillId="0" borderId="28" xfId="172" applyNumberFormat="1" applyFont="1" applyFill="1" applyBorder="1"/>
    <xf numFmtId="3" fontId="39" fillId="0" borderId="98" xfId="172" applyNumberFormat="1" applyFont="1" applyFill="1" applyBorder="1"/>
    <xf numFmtId="3" fontId="39" fillId="0" borderId="99" xfId="172" applyNumberFormat="1" applyFont="1" applyFill="1" applyBorder="1"/>
    <xf numFmtId="3" fontId="39" fillId="0" borderId="29" xfId="172" applyNumberFormat="1" applyFont="1" applyFill="1" applyBorder="1"/>
    <xf numFmtId="3" fontId="39" fillId="0" borderId="113" xfId="172" applyNumberFormat="1" applyFont="1" applyFill="1" applyBorder="1"/>
    <xf numFmtId="3" fontId="39" fillId="0" borderId="111" xfId="172" applyNumberFormat="1" applyFont="1" applyFill="1" applyBorder="1"/>
    <xf numFmtId="3" fontId="40" fillId="0" borderId="0" xfId="172" applyNumberFormat="1" applyFont="1" applyFill="1"/>
    <xf numFmtId="3" fontId="40" fillId="0" borderId="0" xfId="172" applyNumberFormat="1" applyFont="1" applyFill="1" applyAlignment="1"/>
    <xf numFmtId="3" fontId="40" fillId="0" borderId="0" xfId="172" applyNumberFormat="1" applyFont="1" applyFill="1" applyBorder="1"/>
    <xf numFmtId="0" fontId="40" fillId="0" borderId="0" xfId="172" applyFont="1" applyFill="1"/>
    <xf numFmtId="3" fontId="40" fillId="0" borderId="0" xfId="174" applyNumberFormat="1" applyFont="1" applyFill="1" applyBorder="1" applyAlignment="1">
      <alignment wrapText="1"/>
    </xf>
    <xf numFmtId="0" fontId="34" fillId="0" borderId="0" xfId="172" applyFont="1" applyFill="1" applyBorder="1"/>
    <xf numFmtId="0" fontId="40" fillId="0" borderId="0" xfId="172" applyFont="1" applyFill="1" applyBorder="1"/>
    <xf numFmtId="0" fontId="41" fillId="0" borderId="0" xfId="172" applyFont="1" applyFill="1" applyBorder="1"/>
    <xf numFmtId="0" fontId="44" fillId="0" borderId="0" xfId="172" applyFont="1" applyFill="1" applyBorder="1"/>
    <xf numFmtId="0" fontId="14" fillId="0" borderId="0" xfId="171" applyFont="1" applyFill="1" applyAlignment="1"/>
    <xf numFmtId="0" fontId="43" fillId="0" borderId="10" xfId="171" applyFont="1" applyFill="1" applyBorder="1" applyAlignment="1">
      <alignment horizontal="centerContinuous"/>
    </xf>
    <xf numFmtId="0" fontId="43" fillId="0" borderId="35" xfId="171" applyFont="1" applyFill="1" applyBorder="1" applyAlignment="1">
      <alignment horizontal="centerContinuous"/>
    </xf>
    <xf numFmtId="0" fontId="44" fillId="0" borderId="0" xfId="171" applyFont="1" applyFill="1" applyAlignment="1">
      <alignment horizontal="centerContinuous"/>
    </xf>
    <xf numFmtId="0" fontId="43" fillId="0" borderId="79" xfId="171" applyFont="1" applyFill="1" applyBorder="1" applyAlignment="1">
      <alignment horizontal="center" wrapText="1"/>
    </xf>
    <xf numFmtId="0" fontId="43" fillId="0" borderId="44" xfId="171" applyFont="1" applyFill="1" applyBorder="1" applyAlignment="1">
      <alignment horizontal="centerContinuous" wrapText="1"/>
    </xf>
    <xf numFmtId="3" fontId="43" fillId="0" borderId="44" xfId="171" applyNumberFormat="1" applyFont="1" applyFill="1" applyBorder="1" applyAlignment="1">
      <alignment horizontal="centerContinuous" wrapText="1"/>
    </xf>
    <xf numFmtId="3" fontId="43" fillId="0" borderId="79" xfId="171" applyNumberFormat="1" applyFont="1" applyFill="1" applyBorder="1" applyAlignment="1">
      <alignment horizontal="centerContinuous" wrapText="1"/>
    </xf>
    <xf numFmtId="0" fontId="44" fillId="0" borderId="0" xfId="171" applyFont="1" applyFill="1" applyAlignment="1">
      <alignment horizontal="centerContinuous" wrapText="1"/>
    </xf>
    <xf numFmtId="0" fontId="43" fillId="0" borderId="46" xfId="171" applyFont="1" applyFill="1" applyBorder="1" applyAlignment="1">
      <alignment horizontal="centerContinuous" wrapText="1"/>
    </xf>
    <xf numFmtId="0" fontId="43" fillId="0" borderId="47" xfId="171" applyFont="1" applyFill="1" applyBorder="1" applyAlignment="1">
      <alignment horizontal="centerContinuous" wrapText="1"/>
    </xf>
    <xf numFmtId="3" fontId="43" fillId="0" borderId="105" xfId="171" applyNumberFormat="1" applyFont="1" applyFill="1" applyBorder="1" applyAlignment="1">
      <alignment horizontal="centerContinuous" wrapText="1"/>
    </xf>
    <xf numFmtId="3" fontId="43" fillId="0" borderId="106" xfId="171" applyNumberFormat="1" applyFont="1" applyFill="1" applyBorder="1" applyAlignment="1">
      <alignment horizontal="centerContinuous" wrapText="1"/>
    </xf>
    <xf numFmtId="0" fontId="44" fillId="0" borderId="49" xfId="171" applyFont="1" applyFill="1" applyBorder="1"/>
    <xf numFmtId="3" fontId="44" fillId="0" borderId="51" xfId="171" applyNumberFormat="1" applyFont="1" applyFill="1" applyBorder="1"/>
    <xf numFmtId="3" fontId="44" fillId="0" borderId="107" xfId="171" applyNumberFormat="1" applyFont="1" applyFill="1" applyBorder="1"/>
    <xf numFmtId="3" fontId="44" fillId="0" borderId="87" xfId="171" applyNumberFormat="1" applyFont="1" applyFill="1" applyBorder="1"/>
    <xf numFmtId="3" fontId="14" fillId="0" borderId="53" xfId="171" applyNumberFormat="1" applyFont="1" applyFill="1" applyBorder="1"/>
    <xf numFmtId="3" fontId="14" fillId="0" borderId="54" xfId="171" applyNumberFormat="1" applyFont="1" applyFill="1" applyBorder="1"/>
    <xf numFmtId="3" fontId="14" fillId="0" borderId="55" xfId="171" applyNumberFormat="1" applyFont="1" applyFill="1" applyBorder="1"/>
    <xf numFmtId="3" fontId="14" fillId="0" borderId="45" xfId="171" applyNumberFormat="1" applyFont="1" applyFill="1" applyBorder="1"/>
    <xf numFmtId="0" fontId="44" fillId="0" borderId="11" xfId="171" applyFont="1" applyFill="1" applyBorder="1" applyAlignment="1">
      <alignment wrapText="1"/>
    </xf>
    <xf numFmtId="3" fontId="14" fillId="0" borderId="12" xfId="171" applyNumberFormat="1" applyFont="1" applyFill="1" applyBorder="1"/>
    <xf numFmtId="3" fontId="14" fillId="0" borderId="56" xfId="171" applyNumberFormat="1" applyFont="1" applyFill="1" applyBorder="1"/>
    <xf numFmtId="3" fontId="14" fillId="0" borderId="57" xfId="171" applyNumberFormat="1" applyFont="1" applyFill="1" applyBorder="1"/>
    <xf numFmtId="3" fontId="14" fillId="0" borderId="58" xfId="171" applyNumberFormat="1" applyFont="1" applyFill="1" applyBorder="1"/>
    <xf numFmtId="3" fontId="14" fillId="0" borderId="59" xfId="171" applyNumberFormat="1" applyFont="1" applyFill="1" applyBorder="1"/>
    <xf numFmtId="3" fontId="14" fillId="0" borderId="48" xfId="171" applyNumberFormat="1" applyFont="1" applyFill="1" applyBorder="1"/>
    <xf numFmtId="0" fontId="14" fillId="0" borderId="11" xfId="171" applyFont="1" applyFill="1" applyBorder="1" applyAlignment="1">
      <alignment wrapText="1"/>
    </xf>
    <xf numFmtId="0" fontId="14" fillId="0" borderId="11" xfId="171" applyFont="1" applyFill="1" applyBorder="1"/>
    <xf numFmtId="0" fontId="14" fillId="0" borderId="12" xfId="171" applyFont="1" applyFill="1" applyBorder="1"/>
    <xf numFmtId="3" fontId="45" fillId="0" borderId="56" xfId="171" applyNumberFormat="1" applyFont="1" applyFill="1" applyBorder="1"/>
    <xf numFmtId="3" fontId="45" fillId="0" borderId="21" xfId="171" applyNumberFormat="1" applyFont="1" applyFill="1" applyBorder="1"/>
    <xf numFmtId="0" fontId="15" fillId="0" borderId="15" xfId="171" applyFont="1" applyFill="1" applyBorder="1"/>
    <xf numFmtId="0" fontId="43" fillId="0" borderId="10" xfId="171" applyFont="1" applyFill="1" applyBorder="1"/>
    <xf numFmtId="3" fontId="13" fillId="0" borderId="15" xfId="171" applyNumberFormat="1" applyFont="1" applyFill="1" applyBorder="1"/>
    <xf numFmtId="0" fontId="14" fillId="0" borderId="13" xfId="171" applyFont="1" applyFill="1" applyBorder="1"/>
    <xf numFmtId="0" fontId="14" fillId="0" borderId="40" xfId="171" applyFont="1" applyFill="1" applyBorder="1"/>
    <xf numFmtId="0" fontId="43" fillId="0" borderId="42" xfId="174" applyFont="1" applyFill="1" applyBorder="1" applyAlignment="1">
      <alignment wrapText="1"/>
    </xf>
    <xf numFmtId="0" fontId="43" fillId="0" borderId="0" xfId="174" applyFont="1" applyFill="1" applyBorder="1" applyAlignment="1">
      <alignment wrapText="1"/>
    </xf>
    <xf numFmtId="3" fontId="39" fillId="0" borderId="17" xfId="172" applyNumberFormat="1" applyFont="1" applyFill="1" applyBorder="1" applyAlignment="1">
      <alignment wrapText="1"/>
    </xf>
    <xf numFmtId="3" fontId="34" fillId="0" borderId="24" xfId="172" applyNumberFormat="1" applyFont="1" applyFill="1" applyBorder="1" applyAlignment="1">
      <alignment wrapText="1"/>
    </xf>
    <xf numFmtId="3" fontId="34" fillId="0" borderId="65" xfId="172" applyNumberFormat="1" applyFont="1" applyFill="1" applyBorder="1"/>
    <xf numFmtId="3" fontId="39" fillId="0" borderId="24" xfId="172" applyNumberFormat="1" applyFont="1" applyFill="1" applyBorder="1" applyAlignment="1">
      <alignment wrapText="1"/>
    </xf>
    <xf numFmtId="3" fontId="40" fillId="0" borderId="65" xfId="172" applyNumberFormat="1" applyFont="1" applyFill="1" applyBorder="1" applyAlignment="1">
      <alignment wrapText="1"/>
    </xf>
    <xf numFmtId="3" fontId="40" fillId="0" borderId="73" xfId="172" applyNumberFormat="1" applyFont="1" applyFill="1" applyBorder="1" applyAlignment="1">
      <alignment wrapText="1"/>
    </xf>
    <xf numFmtId="3" fontId="40" fillId="0" borderId="74" xfId="172" applyNumberFormat="1" applyFont="1" applyFill="1" applyBorder="1" applyAlignment="1">
      <alignment wrapText="1"/>
    </xf>
    <xf numFmtId="0" fontId="43" fillId="0" borderId="10" xfId="171" applyFont="1" applyFill="1" applyBorder="1" applyAlignment="1">
      <alignment horizontal="centerContinuous" wrapText="1"/>
    </xf>
    <xf numFmtId="0" fontId="43" fillId="0" borderId="80" xfId="171" applyFont="1" applyFill="1" applyBorder="1" applyAlignment="1">
      <alignment horizontal="centerContinuous" wrapText="1"/>
    </xf>
    <xf numFmtId="3" fontId="14" fillId="0" borderId="36" xfId="171" applyNumberFormat="1" applyFont="1" applyFill="1" applyBorder="1"/>
    <xf numFmtId="3" fontId="52" fillId="0" borderId="0" xfId="173" applyNumberFormat="1" applyFont="1" applyFill="1"/>
    <xf numFmtId="3" fontId="39" fillId="0" borderId="94" xfId="197" applyNumberFormat="1" applyFont="1" applyFill="1" applyBorder="1"/>
    <xf numFmtId="3" fontId="40" fillId="0" borderId="94" xfId="197" applyNumberFormat="1" applyFont="1" applyFill="1" applyBorder="1"/>
    <xf numFmtId="3" fontId="39" fillId="0" borderId="33" xfId="195" applyNumberFormat="1" applyFont="1" applyFill="1" applyBorder="1" applyAlignment="1">
      <alignment horizontal="center" vertical="center" wrapText="1"/>
    </xf>
    <xf numFmtId="0" fontId="40" fillId="0" borderId="128" xfId="157" applyFont="1" applyFill="1" applyBorder="1"/>
    <xf numFmtId="0" fontId="40" fillId="0" borderId="0" xfId="157" applyFont="1" applyFill="1"/>
    <xf numFmtId="0" fontId="39" fillId="0" borderId="56" xfId="196" applyFont="1" applyFill="1" applyBorder="1" applyAlignment="1">
      <alignment wrapText="1"/>
    </xf>
    <xf numFmtId="0" fontId="40" fillId="0" borderId="94" xfId="196" applyFont="1" applyFill="1" applyBorder="1" applyAlignment="1">
      <alignment wrapText="1"/>
    </xf>
    <xf numFmtId="0" fontId="40" fillId="0" borderId="0" xfId="196" applyFont="1" applyFill="1"/>
    <xf numFmtId="0" fontId="40" fillId="0" borderId="56" xfId="196" applyFont="1" applyFill="1" applyBorder="1" applyAlignment="1">
      <alignment wrapText="1"/>
    </xf>
    <xf numFmtId="0" fontId="39" fillId="0" borderId="94" xfId="196" applyFont="1" applyFill="1" applyBorder="1" applyAlignment="1">
      <alignment wrapText="1"/>
    </xf>
    <xf numFmtId="3" fontId="39" fillId="0" borderId="56" xfId="196" applyNumberFormat="1" applyFont="1" applyFill="1" applyBorder="1" applyAlignment="1">
      <alignment wrapText="1"/>
    </xf>
    <xf numFmtId="0" fontId="39" fillId="0" borderId="0" xfId="196" applyFont="1" applyFill="1"/>
    <xf numFmtId="3" fontId="40" fillId="0" borderId="0" xfId="196" applyNumberFormat="1" applyFont="1" applyFill="1"/>
    <xf numFmtId="0" fontId="40" fillId="0" borderId="0" xfId="196" applyFont="1" applyFill="1" applyAlignment="1">
      <alignment wrapText="1"/>
    </xf>
    <xf numFmtId="0" fontId="40" fillId="0" borderId="56" xfId="196" applyFont="1" applyFill="1" applyBorder="1"/>
    <xf numFmtId="0" fontId="40" fillId="0" borderId="59" xfId="196" applyFont="1" applyFill="1" applyBorder="1" applyAlignment="1">
      <alignment wrapText="1"/>
    </xf>
    <xf numFmtId="3" fontId="39" fillId="0" borderId="56" xfId="196" applyNumberFormat="1" applyFont="1" applyFill="1" applyBorder="1"/>
    <xf numFmtId="0" fontId="39" fillId="0" borderId="119" xfId="196" applyFont="1" applyFill="1" applyBorder="1"/>
    <xf numFmtId="0" fontId="39" fillId="0" borderId="120" xfId="196" applyFont="1" applyFill="1" applyBorder="1"/>
    <xf numFmtId="3" fontId="39" fillId="0" borderId="33" xfId="196" applyNumberFormat="1" applyFont="1" applyFill="1" applyBorder="1" applyAlignment="1">
      <alignment wrapText="1"/>
    </xf>
    <xf numFmtId="0" fontId="39" fillId="0" borderId="33" xfId="206" applyFont="1" applyFill="1" applyBorder="1" applyAlignment="1">
      <alignment horizontal="center" vertical="center" wrapText="1"/>
    </xf>
    <xf numFmtId="0" fontId="39" fillId="0" borderId="61" xfId="206" applyFont="1" applyFill="1" applyBorder="1" applyAlignment="1">
      <alignment horizontal="center" vertical="center"/>
    </xf>
    <xf numFmtId="0" fontId="40" fillId="0" borderId="0" xfId="206" applyFont="1" applyFill="1" applyAlignment="1">
      <alignment horizontal="center"/>
    </xf>
    <xf numFmtId="3" fontId="39" fillId="0" borderId="95" xfId="0" applyNumberFormat="1" applyFont="1" applyFill="1" applyBorder="1"/>
    <xf numFmtId="0" fontId="39" fillId="0" borderId="56" xfId="196" applyFont="1" applyFill="1" applyBorder="1"/>
    <xf numFmtId="3" fontId="39" fillId="0" borderId="94" xfId="0" applyNumberFormat="1" applyFont="1" applyFill="1" applyBorder="1"/>
    <xf numFmtId="0" fontId="40" fillId="0" borderId="56" xfId="0" applyFont="1" applyFill="1" applyBorder="1" applyAlignment="1">
      <alignment wrapText="1"/>
    </xf>
    <xf numFmtId="3" fontId="40" fillId="0" borderId="94" xfId="0" applyNumberFormat="1" applyFont="1" applyFill="1" applyBorder="1"/>
    <xf numFmtId="3" fontId="40" fillId="0" borderId="95" xfId="0" applyNumberFormat="1" applyFont="1" applyFill="1" applyBorder="1"/>
    <xf numFmtId="0" fontId="41" fillId="0" borderId="56" xfId="196" applyFont="1" applyFill="1" applyBorder="1" applyAlignment="1">
      <alignment wrapText="1"/>
    </xf>
    <xf numFmtId="0" fontId="40" fillId="0" borderId="101" xfId="196" applyFont="1" applyFill="1" applyBorder="1" applyAlignment="1">
      <alignment wrapText="1"/>
    </xf>
    <xf numFmtId="3" fontId="40" fillId="0" borderId="128" xfId="0" applyNumberFormat="1" applyFont="1" applyFill="1" applyBorder="1"/>
    <xf numFmtId="0" fontId="39" fillId="0" borderId="33" xfId="196" applyFont="1" applyFill="1" applyBorder="1" applyAlignment="1">
      <alignment wrapText="1"/>
    </xf>
    <xf numFmtId="3" fontId="39" fillId="0" borderId="61" xfId="0" applyNumberFormat="1" applyFont="1" applyFill="1" applyBorder="1"/>
    <xf numFmtId="3" fontId="40" fillId="0" borderId="95" xfId="196" applyNumberFormat="1" applyFont="1" applyFill="1" applyBorder="1" applyAlignment="1">
      <alignment wrapText="1"/>
    </xf>
    <xf numFmtId="3" fontId="40" fillId="0" borderId="94" xfId="196" applyNumberFormat="1" applyFont="1" applyFill="1" applyBorder="1" applyAlignment="1">
      <alignment wrapText="1"/>
    </xf>
    <xf numFmtId="0" fontId="40" fillId="0" borderId="56" xfId="206" applyFont="1" applyFill="1" applyBorder="1" applyAlignment="1">
      <alignment wrapText="1"/>
    </xf>
    <xf numFmtId="3" fontId="39" fillId="0" borderId="94" xfId="196" applyNumberFormat="1" applyFont="1" applyFill="1" applyBorder="1" applyAlignment="1">
      <alignment wrapText="1"/>
    </xf>
    <xf numFmtId="0" fontId="40" fillId="0" borderId="75" xfId="196" applyFont="1" applyFill="1" applyBorder="1" applyAlignment="1">
      <alignment wrapText="1"/>
    </xf>
    <xf numFmtId="3" fontId="40" fillId="0" borderId="121" xfId="196" applyNumberFormat="1" applyFont="1" applyFill="1" applyBorder="1" applyAlignment="1">
      <alignment wrapText="1"/>
    </xf>
    <xf numFmtId="3" fontId="39" fillId="0" borderId="61" xfId="196" applyNumberFormat="1" applyFont="1" applyFill="1" applyBorder="1" applyAlignment="1">
      <alignment wrapText="1"/>
    </xf>
    <xf numFmtId="0" fontId="39" fillId="0" borderId="101" xfId="196" applyFont="1" applyFill="1" applyBorder="1" applyAlignment="1">
      <alignment wrapText="1"/>
    </xf>
    <xf numFmtId="3" fontId="39" fillId="0" borderId="128" xfId="196" applyNumberFormat="1" applyFont="1" applyFill="1" applyBorder="1" applyAlignment="1">
      <alignment wrapText="1"/>
    </xf>
    <xf numFmtId="0" fontId="14" fillId="0" borderId="88" xfId="195" applyFont="1" applyFill="1" applyBorder="1" applyAlignment="1">
      <alignment horizontal="center"/>
    </xf>
    <xf numFmtId="0" fontId="14" fillId="0" borderId="88" xfId="195" applyFont="1" applyFill="1" applyBorder="1" applyAlignment="1">
      <alignment horizontal="center" wrapText="1"/>
    </xf>
    <xf numFmtId="3" fontId="14" fillId="0" borderId="92" xfId="195" applyNumberFormat="1" applyFont="1" applyFill="1" applyBorder="1" applyAlignment="1">
      <alignment horizontal="center" wrapText="1"/>
    </xf>
    <xf numFmtId="3" fontId="14" fillId="0" borderId="89" xfId="195" applyNumberFormat="1" applyFont="1" applyFill="1" applyBorder="1" applyAlignment="1">
      <alignment horizontal="center" wrapText="1"/>
    </xf>
    <xf numFmtId="0" fontId="14" fillId="0" borderId="84" xfId="195" applyFont="1" applyFill="1" applyBorder="1" applyAlignment="1">
      <alignment horizontal="right"/>
    </xf>
    <xf numFmtId="3" fontId="14" fillId="0" borderId="91" xfId="195" applyNumberFormat="1" applyFont="1" applyFill="1" applyBorder="1" applyAlignment="1">
      <alignment wrapText="1"/>
    </xf>
    <xf numFmtId="3" fontId="14" fillId="0" borderId="93" xfId="195" applyNumberFormat="1" applyFont="1" applyFill="1" applyBorder="1"/>
    <xf numFmtId="3" fontId="14" fillId="0" borderId="93" xfId="195" applyNumberFormat="1" applyFont="1" applyFill="1" applyBorder="1" applyAlignment="1">
      <alignment horizontal="center"/>
    </xf>
    <xf numFmtId="0" fontId="14" fillId="0" borderId="85" xfId="195" applyFont="1" applyFill="1" applyBorder="1" applyAlignment="1">
      <alignment horizontal="right"/>
    </xf>
    <xf numFmtId="3" fontId="14" fillId="0" borderId="56" xfId="195" applyNumberFormat="1" applyFont="1" applyFill="1" applyBorder="1" applyAlignment="1">
      <alignment wrapText="1"/>
    </xf>
    <xf numFmtId="3" fontId="14" fillId="0" borderId="31" xfId="195" applyNumberFormat="1" applyFont="1" applyFill="1" applyBorder="1"/>
    <xf numFmtId="3" fontId="14" fillId="0" borderId="31" xfId="195" applyNumberFormat="1" applyFont="1" applyFill="1" applyBorder="1" applyAlignment="1">
      <alignment horizontal="center"/>
    </xf>
    <xf numFmtId="0" fontId="14" fillId="0" borderId="56" xfId="195" applyFont="1" applyFill="1" applyBorder="1" applyAlignment="1">
      <alignment wrapText="1"/>
    </xf>
    <xf numFmtId="0" fontId="41" fillId="0" borderId="85" xfId="195" applyFont="1" applyFill="1" applyBorder="1" applyAlignment="1">
      <alignment horizontal="right"/>
    </xf>
    <xf numFmtId="0" fontId="34" fillId="0" borderId="56" xfId="195" applyFont="1" applyFill="1" applyBorder="1" applyAlignment="1">
      <alignment wrapText="1"/>
    </xf>
    <xf numFmtId="3" fontId="34" fillId="0" borderId="94" xfId="195" applyNumberFormat="1" applyFont="1" applyFill="1" applyBorder="1" applyAlignment="1">
      <alignment wrapText="1"/>
    </xf>
    <xf numFmtId="3" fontId="34" fillId="0" borderId="31" xfId="195" applyNumberFormat="1" applyFont="1" applyFill="1" applyBorder="1"/>
    <xf numFmtId="3" fontId="40" fillId="0" borderId="31" xfId="195" applyNumberFormat="1" applyFont="1" applyFill="1" applyBorder="1"/>
    <xf numFmtId="3" fontId="34" fillId="0" borderId="31" xfId="195" applyNumberFormat="1" applyFont="1" applyFill="1" applyBorder="1" applyAlignment="1">
      <alignment horizontal="center"/>
    </xf>
    <xf numFmtId="0" fontId="34" fillId="0" borderId="0" xfId="157" applyFont="1" applyFill="1"/>
    <xf numFmtId="3" fontId="34" fillId="0" borderId="94" xfId="195" applyNumberFormat="1" applyFont="1" applyFill="1" applyBorder="1" applyAlignment="1">
      <alignment horizontal="center"/>
    </xf>
    <xf numFmtId="3" fontId="34" fillId="0" borderId="94" xfId="195" applyNumberFormat="1" applyFont="1" applyFill="1" applyBorder="1"/>
    <xf numFmtId="0" fontId="15" fillId="0" borderId="56" xfId="195" applyFont="1" applyFill="1" applyBorder="1" applyAlignment="1">
      <alignment wrapText="1"/>
    </xf>
    <xf numFmtId="3" fontId="15" fillId="0" borderId="94" xfId="195" applyNumberFormat="1" applyFont="1" applyFill="1" applyBorder="1"/>
    <xf numFmtId="3" fontId="15" fillId="0" borderId="94" xfId="195" applyNumberFormat="1" applyFont="1" applyFill="1" applyBorder="1" applyAlignment="1">
      <alignment horizontal="center"/>
    </xf>
    <xf numFmtId="0" fontId="15" fillId="0" borderId="56" xfId="157" applyFont="1" applyFill="1" applyBorder="1" applyAlignment="1">
      <alignment wrapText="1"/>
    </xf>
    <xf numFmtId="3" fontId="14" fillId="0" borderId="31" xfId="195" applyNumberFormat="1" applyFont="1" applyFill="1" applyBorder="1" applyAlignment="1">
      <alignment wrapText="1"/>
    </xf>
    <xf numFmtId="3" fontId="14" fillId="0" borderId="31" xfId="195" applyNumberFormat="1" applyFont="1" applyFill="1" applyBorder="1" applyAlignment="1">
      <alignment horizontal="center" wrapText="1"/>
    </xf>
    <xf numFmtId="3" fontId="15" fillId="0" borderId="31" xfId="195" applyNumberFormat="1" applyFont="1" applyFill="1" applyBorder="1"/>
    <xf numFmtId="3" fontId="15" fillId="0" borderId="31" xfId="195" applyNumberFormat="1" applyFont="1" applyFill="1" applyBorder="1" applyAlignment="1">
      <alignment horizontal="center"/>
    </xf>
    <xf numFmtId="0" fontId="13" fillId="0" borderId="56" xfId="157" applyFont="1" applyFill="1" applyBorder="1" applyAlignment="1">
      <alignment wrapText="1"/>
    </xf>
    <xf numFmtId="0" fontId="39" fillId="0" borderId="85" xfId="195" applyFont="1" applyFill="1" applyBorder="1" applyAlignment="1">
      <alignment horizontal="right"/>
    </xf>
    <xf numFmtId="0" fontId="34" fillId="0" borderId="56" xfId="157" applyFont="1" applyFill="1" applyBorder="1" applyAlignment="1">
      <alignment wrapText="1"/>
    </xf>
    <xf numFmtId="3" fontId="34" fillId="0" borderId="94" xfId="157" applyNumberFormat="1" applyFont="1" applyFill="1" applyBorder="1" applyAlignment="1">
      <alignment wrapText="1"/>
    </xf>
    <xf numFmtId="3" fontId="34" fillId="0" borderId="56" xfId="195" applyNumberFormat="1" applyFont="1" applyFill="1" applyBorder="1" applyAlignment="1">
      <alignment horizontal="center"/>
    </xf>
    <xf numFmtId="0" fontId="34" fillId="0" borderId="56" xfId="157" applyFont="1" applyFill="1" applyBorder="1" applyAlignment="1">
      <alignment horizontal="left" wrapText="1"/>
    </xf>
    <xf numFmtId="3" fontId="34" fillId="0" borderId="94" xfId="157" applyNumberFormat="1" applyFont="1" applyFill="1" applyBorder="1" applyAlignment="1">
      <alignment horizontal="right" wrapText="1"/>
    </xf>
    <xf numFmtId="0" fontId="14" fillId="0" borderId="56" xfId="195" applyFont="1" applyFill="1" applyBorder="1" applyAlignment="1">
      <alignment horizontal="right"/>
    </xf>
    <xf numFmtId="0" fontId="14" fillId="0" borderId="33" xfId="195" applyFont="1" applyFill="1" applyBorder="1" applyAlignment="1">
      <alignment wrapText="1"/>
    </xf>
    <xf numFmtId="3" fontId="14" fillId="0" borderId="67" xfId="195" applyNumberFormat="1" applyFont="1" applyFill="1" applyBorder="1"/>
    <xf numFmtId="3" fontId="14" fillId="0" borderId="67" xfId="195" applyNumberFormat="1" applyFont="1" applyFill="1" applyBorder="1" applyAlignment="1">
      <alignment horizontal="center"/>
    </xf>
    <xf numFmtId="0" fontId="14" fillId="0" borderId="75" xfId="195" applyFont="1" applyFill="1" applyBorder="1" applyAlignment="1">
      <alignment horizontal="right"/>
    </xf>
    <xf numFmtId="3" fontId="15" fillId="0" borderId="95" xfId="195" applyNumberFormat="1" applyFont="1" applyFill="1" applyBorder="1"/>
    <xf numFmtId="3" fontId="15" fillId="0" borderId="95" xfId="195" applyNumberFormat="1" applyFont="1" applyFill="1" applyBorder="1" applyAlignment="1">
      <alignment horizontal="center"/>
    </xf>
    <xf numFmtId="0" fontId="14" fillId="0" borderId="90" xfId="195" applyFont="1" applyFill="1" applyBorder="1" applyAlignment="1">
      <alignment horizontal="right"/>
    </xf>
    <xf numFmtId="3" fontId="14" fillId="0" borderId="33" xfId="195" applyNumberFormat="1" applyFont="1" applyFill="1" applyBorder="1"/>
    <xf numFmtId="3" fontId="14" fillId="0" borderId="33" xfId="195" applyNumberFormat="1" applyFont="1" applyFill="1" applyBorder="1" applyAlignment="1">
      <alignment horizontal="center"/>
    </xf>
    <xf numFmtId="3" fontId="51" fillId="0" borderId="33" xfId="0" applyNumberFormat="1" applyFont="1" applyFill="1" applyBorder="1" applyAlignment="1">
      <alignment horizontal="center" vertical="center" wrapText="1"/>
    </xf>
    <xf numFmtId="3" fontId="51" fillId="0" borderId="60" xfId="0" applyNumberFormat="1" applyFont="1" applyFill="1" applyBorder="1" applyAlignment="1">
      <alignment horizontal="center" vertical="center" wrapText="1"/>
    </xf>
    <xf numFmtId="3" fontId="51" fillId="0" borderId="61" xfId="0" applyNumberFormat="1" applyFont="1" applyFill="1" applyBorder="1" applyAlignment="1">
      <alignment horizontal="center" vertical="center" wrapText="1"/>
    </xf>
    <xf numFmtId="3" fontId="51" fillId="0" borderId="68" xfId="0" applyNumberFormat="1" applyFont="1" applyFill="1" applyBorder="1" applyAlignment="1">
      <alignment horizontal="center" vertical="center" wrapText="1"/>
    </xf>
    <xf numFmtId="3" fontId="14" fillId="0" borderId="33" xfId="0" applyNumberFormat="1" applyFont="1" applyFill="1" applyBorder="1" applyAlignment="1">
      <alignment horizontal="center" vertical="center"/>
    </xf>
    <xf numFmtId="3" fontId="14" fillId="0" borderId="60" xfId="0" applyNumberFormat="1" applyFont="1" applyFill="1" applyBorder="1" applyAlignment="1">
      <alignment horizontal="center" vertical="center"/>
    </xf>
    <xf numFmtId="3" fontId="14" fillId="0" borderId="61" xfId="0" applyNumberFormat="1" applyFont="1" applyFill="1" applyBorder="1" applyAlignment="1">
      <alignment horizontal="center" vertical="center"/>
    </xf>
    <xf numFmtId="3" fontId="14" fillId="0" borderId="68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Alignment="1">
      <alignment horizontal="center" vertical="center"/>
    </xf>
    <xf numFmtId="3" fontId="14" fillId="0" borderId="62" xfId="0" applyNumberFormat="1" applyFont="1" applyFill="1" applyBorder="1"/>
    <xf numFmtId="3" fontId="14" fillId="0" borderId="30" xfId="0" applyNumberFormat="1" applyFont="1" applyFill="1" applyBorder="1" applyAlignment="1">
      <alignment wrapText="1"/>
    </xf>
    <xf numFmtId="3" fontId="14" fillId="0" borderId="63" xfId="0" applyNumberFormat="1" applyFont="1" applyFill="1" applyBorder="1"/>
    <xf numFmtId="3" fontId="14" fillId="0" borderId="19" xfId="0" applyNumberFormat="1" applyFont="1" applyFill="1" applyBorder="1"/>
    <xf numFmtId="3" fontId="14" fillId="0" borderId="59" xfId="0" applyNumberFormat="1" applyFont="1" applyFill="1" applyBorder="1"/>
    <xf numFmtId="3" fontId="14" fillId="0" borderId="91" xfId="0" applyNumberFormat="1" applyFont="1" applyFill="1" applyBorder="1"/>
    <xf numFmtId="3" fontId="14" fillId="0" borderId="0" xfId="0" applyNumberFormat="1" applyFont="1" applyFill="1"/>
    <xf numFmtId="3" fontId="46" fillId="0" borderId="62" xfId="0" applyNumberFormat="1" applyFont="1" applyFill="1" applyBorder="1"/>
    <xf numFmtId="3" fontId="46" fillId="0" borderId="31" xfId="0" applyNumberFormat="1" applyFont="1" applyFill="1" applyBorder="1" applyAlignment="1">
      <alignment wrapText="1"/>
    </xf>
    <xf numFmtId="3" fontId="46" fillId="0" borderId="63" xfId="0" applyNumberFormat="1" applyFont="1" applyFill="1" applyBorder="1"/>
    <xf numFmtId="3" fontId="46" fillId="0" borderId="24" xfId="0" applyNumberFormat="1" applyFont="1" applyFill="1" applyBorder="1"/>
    <xf numFmtId="3" fontId="46" fillId="0" borderId="19" xfId="0" applyNumberFormat="1" applyFont="1" applyFill="1" applyBorder="1"/>
    <xf numFmtId="3" fontId="46" fillId="0" borderId="59" xfId="0" applyNumberFormat="1" applyFont="1" applyFill="1" applyBorder="1"/>
    <xf numFmtId="3" fontId="46" fillId="0" borderId="0" xfId="0" applyNumberFormat="1" applyFont="1" applyFill="1"/>
    <xf numFmtId="3" fontId="14" fillId="0" borderId="56" xfId="0" applyNumberFormat="1" applyFont="1" applyFill="1" applyBorder="1"/>
    <xf numFmtId="3" fontId="14" fillId="0" borderId="69" xfId="0" applyNumberFormat="1" applyFont="1" applyFill="1" applyBorder="1" applyAlignment="1">
      <alignment wrapText="1"/>
    </xf>
    <xf numFmtId="3" fontId="46" fillId="0" borderId="69" xfId="0" applyNumberFormat="1" applyFont="1" applyFill="1" applyBorder="1" applyAlignment="1">
      <alignment wrapText="1"/>
    </xf>
    <xf numFmtId="3" fontId="15" fillId="0" borderId="62" xfId="0" applyNumberFormat="1" applyFont="1" applyFill="1" applyBorder="1"/>
    <xf numFmtId="3" fontId="15" fillId="0" borderId="63" xfId="0" applyNumberFormat="1" applyFont="1" applyFill="1" applyBorder="1"/>
    <xf numFmtId="3" fontId="15" fillId="0" borderId="19" xfId="0" applyNumberFormat="1" applyFont="1" applyFill="1" applyBorder="1"/>
    <xf numFmtId="3" fontId="15" fillId="0" borderId="59" xfId="0" applyNumberFormat="1" applyFont="1" applyFill="1" applyBorder="1"/>
    <xf numFmtId="3" fontId="15" fillId="0" borderId="56" xfId="0" applyNumberFormat="1" applyFont="1" applyFill="1" applyBorder="1"/>
    <xf numFmtId="3" fontId="15" fillId="0" borderId="0" xfId="0" applyNumberFormat="1" applyFont="1" applyFill="1"/>
    <xf numFmtId="3" fontId="14" fillId="0" borderId="32" xfId="0" applyNumberFormat="1" applyFont="1" applyFill="1" applyBorder="1"/>
    <xf numFmtId="0" fontId="0" fillId="0" borderId="31" xfId="194" applyFont="1" applyFill="1" applyBorder="1" applyAlignment="1">
      <alignment wrapText="1"/>
    </xf>
    <xf numFmtId="0" fontId="15" fillId="0" borderId="31" xfId="0" applyFont="1" applyFill="1" applyBorder="1" applyAlignment="1">
      <alignment wrapText="1"/>
    </xf>
    <xf numFmtId="0" fontId="14" fillId="0" borderId="31" xfId="0" applyFont="1" applyFill="1" applyBorder="1" applyAlignment="1">
      <alignment wrapText="1"/>
    </xf>
    <xf numFmtId="3" fontId="14" fillId="0" borderId="31" xfId="0" applyNumberFormat="1" applyFont="1" applyFill="1" applyBorder="1" applyAlignment="1">
      <alignment wrapText="1"/>
    </xf>
    <xf numFmtId="3" fontId="14" fillId="0" borderId="34" xfId="0" applyNumberFormat="1" applyFont="1" applyFill="1" applyBorder="1"/>
    <xf numFmtId="3" fontId="14" fillId="0" borderId="20" xfId="0" applyNumberFormat="1" applyFont="1" applyFill="1" applyBorder="1"/>
    <xf numFmtId="3" fontId="14" fillId="0" borderId="85" xfId="0" applyNumberFormat="1" applyFont="1" applyFill="1" applyBorder="1"/>
    <xf numFmtId="3" fontId="0" fillId="0" borderId="0" xfId="0" applyNumberFormat="1" applyFont="1" applyFill="1"/>
    <xf numFmtId="0" fontId="40" fillId="0" borderId="31" xfId="196" applyFont="1" applyFill="1" applyBorder="1" applyAlignment="1">
      <alignment wrapText="1"/>
    </xf>
    <xf numFmtId="0" fontId="14" fillId="0" borderId="31" xfId="194" applyFont="1" applyFill="1" applyBorder="1" applyAlignment="1">
      <alignment wrapText="1"/>
    </xf>
    <xf numFmtId="3" fontId="14" fillId="0" borderId="66" xfId="0" applyNumberFormat="1" applyFont="1" applyFill="1" applyBorder="1"/>
    <xf numFmtId="3" fontId="14" fillId="0" borderId="67" xfId="0" applyNumberFormat="1" applyFont="1" applyFill="1" applyBorder="1" applyAlignment="1">
      <alignment wrapText="1"/>
    </xf>
    <xf numFmtId="3" fontId="14" fillId="0" borderId="33" xfId="0" applyNumberFormat="1" applyFont="1" applyFill="1" applyBorder="1"/>
    <xf numFmtId="3" fontId="14" fillId="0" borderId="65" xfId="0" applyNumberFormat="1" applyFont="1" applyFill="1" applyBorder="1"/>
    <xf numFmtId="3" fontId="14" fillId="0" borderId="75" xfId="0" applyNumberFormat="1" applyFont="1" applyFill="1" applyBorder="1"/>
    <xf numFmtId="3" fontId="14" fillId="0" borderId="70" xfId="0" applyNumberFormat="1" applyFont="1" applyFill="1" applyBorder="1"/>
    <xf numFmtId="3" fontId="14" fillId="0" borderId="71" xfId="0" applyNumberFormat="1" applyFont="1" applyFill="1" applyBorder="1" applyAlignment="1">
      <alignment wrapText="1"/>
    </xf>
    <xf numFmtId="3" fontId="14" fillId="0" borderId="72" xfId="0" applyNumberFormat="1" applyFont="1" applyFill="1" applyBorder="1"/>
    <xf numFmtId="3" fontId="14" fillId="0" borderId="74" xfId="0" applyNumberFormat="1" applyFont="1" applyFill="1" applyBorder="1"/>
    <xf numFmtId="3" fontId="14" fillId="0" borderId="102" xfId="0" applyNumberFormat="1" applyFont="1" applyFill="1" applyBorder="1"/>
    <xf numFmtId="3" fontId="14" fillId="0" borderId="76" xfId="0" applyNumberFormat="1" applyFont="1" applyFill="1" applyBorder="1" applyAlignment="1">
      <alignment wrapText="1"/>
    </xf>
    <xf numFmtId="3" fontId="14" fillId="0" borderId="76" xfId="0" applyNumberFormat="1" applyFont="1" applyFill="1" applyBorder="1"/>
    <xf numFmtId="0" fontId="14" fillId="0" borderId="87" xfId="171" applyFont="1" applyFill="1" applyBorder="1" applyAlignment="1">
      <alignment horizontal="center"/>
    </xf>
    <xf numFmtId="0" fontId="14" fillId="0" borderId="43" xfId="171" applyFont="1" applyFill="1" applyBorder="1" applyAlignment="1">
      <alignment horizontal="left" wrapText="1"/>
    </xf>
    <xf numFmtId="0" fontId="14" fillId="0" borderId="86" xfId="171" applyFont="1" applyFill="1" applyBorder="1" applyAlignment="1">
      <alignment horizontal="left" wrapText="1"/>
    </xf>
    <xf numFmtId="3" fontId="14" fillId="0" borderId="43" xfId="176" applyNumberFormat="1" applyFont="1" applyFill="1" applyBorder="1" applyAlignment="1">
      <alignment horizontal="right" wrapText="1"/>
    </xf>
    <xf numFmtId="0" fontId="14" fillId="0" borderId="36" xfId="171" applyFont="1" applyFill="1" applyBorder="1" applyAlignment="1">
      <alignment horizontal="left"/>
    </xf>
    <xf numFmtId="0" fontId="14" fillId="0" borderId="11" xfId="171" applyFont="1" applyFill="1" applyBorder="1" applyAlignment="1">
      <alignment horizontal="left" wrapText="1"/>
    </xf>
    <xf numFmtId="0" fontId="14" fillId="0" borderId="11" xfId="171" applyFont="1" applyFill="1" applyBorder="1" applyAlignment="1">
      <alignment horizontal="left"/>
    </xf>
    <xf numFmtId="0" fontId="14" fillId="0" borderId="0" xfId="0" applyFont="1" applyFill="1"/>
    <xf numFmtId="3" fontId="14" fillId="0" borderId="38" xfId="171" applyNumberFormat="1" applyFont="1" applyFill="1" applyBorder="1"/>
    <xf numFmtId="0" fontId="14" fillId="0" borderId="15" xfId="171" applyFont="1" applyFill="1" applyBorder="1"/>
    <xf numFmtId="0" fontId="39" fillId="0" borderId="61" xfId="206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wrapText="1"/>
    </xf>
    <xf numFmtId="3" fontId="0" fillId="0" borderId="63" xfId="0" applyNumberFormat="1" applyFont="1" applyFill="1" applyBorder="1"/>
    <xf numFmtId="16" fontId="40" fillId="0" borderId="0" xfId="157" applyNumberFormat="1" applyFont="1" applyFill="1"/>
    <xf numFmtId="0" fontId="13" fillId="0" borderId="0" xfId="195" applyFont="1" applyFill="1" applyAlignment="1">
      <alignment horizontal="center"/>
    </xf>
    <xf numFmtId="3" fontId="13" fillId="0" borderId="31" xfId="195" applyNumberFormat="1" applyFont="1" applyFill="1" applyBorder="1" applyAlignment="1">
      <alignment horizontal="center"/>
    </xf>
    <xf numFmtId="3" fontId="13" fillId="0" borderId="69" xfId="195" applyNumberFormat="1" applyFont="1" applyFill="1" applyBorder="1" applyAlignment="1">
      <alignment horizontal="center"/>
    </xf>
    <xf numFmtId="3" fontId="13" fillId="0" borderId="0" xfId="195" applyNumberFormat="1" applyFont="1" applyFill="1" applyAlignment="1">
      <alignment horizontal="center"/>
    </xf>
    <xf numFmtId="0" fontId="13" fillId="0" borderId="0" xfId="195" applyFont="1" applyFill="1" applyAlignment="1">
      <alignment horizontal="left"/>
    </xf>
    <xf numFmtId="0" fontId="71" fillId="0" borderId="0" xfId="0" applyFont="1" applyAlignment="1">
      <alignment wrapText="1"/>
    </xf>
    <xf numFmtId="0" fontId="73" fillId="0" borderId="0" xfId="0" applyFont="1" applyBorder="1" applyAlignment="1">
      <alignment wrapText="1"/>
    </xf>
    <xf numFmtId="0" fontId="13" fillId="0" borderId="11" xfId="174" applyFont="1" applyFill="1" applyBorder="1" applyAlignment="1">
      <alignment wrapText="1"/>
    </xf>
    <xf numFmtId="3" fontId="13" fillId="0" borderId="36" xfId="174" applyNumberFormat="1" applyFont="1" applyFill="1" applyBorder="1"/>
    <xf numFmtId="3" fontId="13" fillId="0" borderId="37" xfId="174" applyNumberFormat="1" applyFont="1" applyFill="1" applyBorder="1"/>
    <xf numFmtId="0" fontId="13" fillId="0" borderId="38" xfId="171" applyFont="1" applyFill="1" applyBorder="1" applyAlignment="1">
      <alignment wrapText="1"/>
    </xf>
    <xf numFmtId="0" fontId="13" fillId="0" borderId="38" xfId="171" applyFont="1" applyFill="1" applyBorder="1"/>
    <xf numFmtId="3" fontId="13" fillId="0" borderId="38" xfId="171" applyNumberFormat="1" applyFont="1" applyFill="1" applyBorder="1"/>
    <xf numFmtId="0" fontId="13" fillId="0" borderId="15" xfId="171" applyFont="1" applyFill="1" applyBorder="1" applyAlignment="1">
      <alignment wrapText="1"/>
    </xf>
    <xf numFmtId="0" fontId="13" fillId="0" borderId="15" xfId="171" applyFont="1" applyFill="1" applyBorder="1"/>
    <xf numFmtId="0" fontId="13" fillId="0" borderId="0" xfId="0" applyFont="1" applyFill="1"/>
    <xf numFmtId="3" fontId="38" fillId="0" borderId="0" xfId="172" applyNumberFormat="1" applyFont="1" applyFill="1"/>
    <xf numFmtId="3" fontId="13" fillId="0" borderId="11" xfId="171" applyNumberFormat="1" applyFont="1" applyFill="1" applyBorder="1"/>
    <xf numFmtId="0" fontId="13" fillId="0" borderId="0" xfId="171" applyFont="1" applyFill="1"/>
    <xf numFmtId="3" fontId="13" fillId="0" borderId="0" xfId="171" applyNumberFormat="1" applyFont="1" applyFill="1"/>
    <xf numFmtId="0" fontId="14" fillId="0" borderId="87" xfId="171" applyFont="1" applyFill="1" applyBorder="1" applyAlignment="1">
      <alignment wrapText="1"/>
    </xf>
    <xf numFmtId="3" fontId="14" fillId="0" borderId="10" xfId="171" applyNumberFormat="1" applyFont="1" applyFill="1" applyBorder="1" applyAlignment="1">
      <alignment horizontal="center"/>
    </xf>
    <xf numFmtId="0" fontId="13" fillId="0" borderId="36" xfId="171" applyFont="1" applyFill="1" applyBorder="1"/>
    <xf numFmtId="0" fontId="13" fillId="0" borderId="11" xfId="171" applyFont="1" applyFill="1" applyBorder="1" applyAlignment="1">
      <alignment wrapText="1"/>
    </xf>
    <xf numFmtId="0" fontId="13" fillId="0" borderId="11" xfId="171" applyFont="1" applyFill="1" applyBorder="1"/>
    <xf numFmtId="3" fontId="0" fillId="0" borderId="19" xfId="0" applyNumberFormat="1" applyFont="1" applyFill="1" applyBorder="1"/>
    <xf numFmtId="3" fontId="0" fillId="0" borderId="24" xfId="0" applyNumberFormat="1" applyFont="1" applyFill="1" applyBorder="1"/>
    <xf numFmtId="3" fontId="0" fillId="0" borderId="31" xfId="0" applyNumberFormat="1" applyFont="1" applyFill="1" applyBorder="1" applyAlignment="1">
      <alignment wrapText="1"/>
    </xf>
    <xf numFmtId="3" fontId="0" fillId="0" borderId="33" xfId="0" applyNumberFormat="1" applyFont="1" applyFill="1" applyBorder="1" applyAlignment="1">
      <alignment wrapText="1"/>
    </xf>
    <xf numFmtId="3" fontId="0" fillId="0" borderId="0" xfId="0" applyNumberFormat="1" applyFont="1" applyFill="1" applyAlignment="1">
      <alignment wrapText="1"/>
    </xf>
    <xf numFmtId="3" fontId="0" fillId="0" borderId="69" xfId="0" applyNumberFormat="1" applyFont="1" applyFill="1" applyBorder="1" applyAlignment="1">
      <alignment wrapText="1"/>
    </xf>
    <xf numFmtId="3" fontId="0" fillId="0" borderId="23" xfId="0" applyNumberFormat="1" applyFont="1" applyFill="1" applyBorder="1"/>
    <xf numFmtId="3" fontId="0" fillId="0" borderId="64" xfId="0" applyNumberFormat="1" applyFont="1" applyFill="1" applyBorder="1"/>
    <xf numFmtId="3" fontId="0" fillId="0" borderId="59" xfId="0" applyNumberFormat="1" applyFont="1" applyFill="1" applyBorder="1"/>
    <xf numFmtId="3" fontId="0" fillId="0" borderId="34" xfId="0" applyNumberFormat="1" applyFont="1" applyFill="1" applyBorder="1"/>
    <xf numFmtId="3" fontId="0" fillId="0" borderId="20" xfId="0" applyNumberFormat="1" applyFont="1" applyFill="1" applyBorder="1"/>
    <xf numFmtId="3" fontId="0" fillId="0" borderId="56" xfId="0" applyNumberFormat="1" applyFont="1" applyFill="1" applyBorder="1"/>
    <xf numFmtId="3" fontId="0" fillId="0" borderId="65" xfId="0" applyNumberFormat="1" applyFont="1" applyFill="1" applyBorder="1"/>
    <xf numFmtId="3" fontId="0" fillId="0" borderId="62" xfId="0" applyNumberFormat="1" applyFont="1" applyFill="1" applyBorder="1"/>
    <xf numFmtId="3" fontId="0" fillId="0" borderId="31" xfId="0" applyNumberFormat="1" applyFont="1" applyFill="1" applyBorder="1"/>
    <xf numFmtId="3" fontId="0" fillId="0" borderId="32" xfId="0" applyNumberFormat="1" applyFont="1" applyFill="1" applyBorder="1"/>
    <xf numFmtId="3" fontId="0" fillId="0" borderId="70" xfId="0" applyNumberFormat="1" applyFont="1" applyFill="1" applyBorder="1"/>
    <xf numFmtId="3" fontId="0" fillId="0" borderId="72" xfId="0" applyNumberFormat="1" applyFont="1" applyFill="1" applyBorder="1"/>
    <xf numFmtId="3" fontId="0" fillId="0" borderId="73" xfId="0" applyNumberFormat="1" applyFont="1" applyFill="1" applyBorder="1"/>
    <xf numFmtId="3" fontId="0" fillId="0" borderId="74" xfId="0" applyNumberFormat="1" applyFont="1" applyFill="1" applyBorder="1"/>
    <xf numFmtId="3" fontId="0" fillId="0" borderId="118" xfId="0" applyNumberFormat="1" applyFont="1" applyFill="1" applyBorder="1" applyAlignment="1">
      <alignment wrapText="1"/>
    </xf>
    <xf numFmtId="3" fontId="15" fillId="0" borderId="118" xfId="0" applyNumberFormat="1" applyFont="1" applyFill="1" applyBorder="1" applyAlignment="1">
      <alignment wrapText="1"/>
    </xf>
    <xf numFmtId="3" fontId="0" fillId="0" borderId="95" xfId="195" applyNumberFormat="1" applyFont="1" applyFill="1" applyBorder="1"/>
    <xf numFmtId="165" fontId="15" fillId="0" borderId="56" xfId="254" applyNumberFormat="1" applyFont="1" applyFill="1" applyBorder="1" applyAlignment="1">
      <alignment horizontal="right" wrapText="1"/>
    </xf>
    <xf numFmtId="0" fontId="35" fillId="0" borderId="0" xfId="157" applyFont="1" applyFill="1"/>
    <xf numFmtId="0" fontId="13" fillId="0" borderId="0" xfId="195" applyFont="1" applyFill="1"/>
    <xf numFmtId="0" fontId="13" fillId="0" borderId="56" xfId="195" applyFont="1" applyFill="1" applyBorder="1" applyAlignment="1">
      <alignment wrapText="1"/>
    </xf>
    <xf numFmtId="3" fontId="13" fillId="0" borderId="31" xfId="195" applyNumberFormat="1" applyFont="1" applyFill="1" applyBorder="1"/>
    <xf numFmtId="16" fontId="35" fillId="0" borderId="0" xfId="157" applyNumberFormat="1" applyFont="1" applyFill="1"/>
    <xf numFmtId="3" fontId="13" fillId="0" borderId="94" xfId="195" applyNumberFormat="1" applyFont="1" applyFill="1" applyBorder="1" applyAlignment="1">
      <alignment horizontal="center"/>
    </xf>
    <xf numFmtId="3" fontId="13" fillId="0" borderId="69" xfId="195" applyNumberFormat="1" applyFont="1" applyFill="1" applyBorder="1"/>
    <xf numFmtId="3" fontId="13" fillId="0" borderId="0" xfId="195" applyNumberFormat="1" applyFont="1" applyFill="1"/>
    <xf numFmtId="3" fontId="39" fillId="0" borderId="10" xfId="196" applyNumberFormat="1" applyFont="1" applyFill="1" applyBorder="1" applyAlignment="1">
      <alignment horizontal="center" vertical="center" wrapText="1"/>
    </xf>
    <xf numFmtId="0" fontId="40" fillId="0" borderId="0" xfId="206" applyFont="1" applyFill="1"/>
    <xf numFmtId="0" fontId="40" fillId="0" borderId="0" xfId="206" applyFont="1" applyFill="1" applyAlignment="1">
      <alignment wrapText="1"/>
    </xf>
    <xf numFmtId="3" fontId="40" fillId="0" borderId="0" xfId="206" applyNumberFormat="1" applyFont="1" applyFill="1"/>
    <xf numFmtId="0" fontId="39" fillId="0" borderId="33" xfId="206" applyFont="1" applyFill="1" applyBorder="1" applyAlignment="1">
      <alignment horizontal="center" vertical="center"/>
    </xf>
    <xf numFmtId="165" fontId="40" fillId="0" borderId="0" xfId="254" applyNumberFormat="1" applyFont="1" applyFill="1"/>
    <xf numFmtId="0" fontId="40" fillId="0" borderId="0" xfId="205" applyFont="1" applyFill="1"/>
    <xf numFmtId="3" fontId="40" fillId="0" borderId="0" xfId="205" applyNumberFormat="1" applyFont="1" applyFill="1"/>
    <xf numFmtId="3" fontId="39" fillId="0" borderId="0" xfId="205" applyNumberFormat="1" applyFont="1" applyFill="1"/>
    <xf numFmtId="3" fontId="40" fillId="0" borderId="0" xfId="205" applyNumberFormat="1" applyFont="1" applyFill="1" applyAlignment="1">
      <alignment horizontal="right"/>
    </xf>
    <xf numFmtId="3" fontId="72" fillId="0" borderId="0" xfId="205" applyNumberFormat="1" applyFont="1" applyFill="1"/>
    <xf numFmtId="0" fontId="72" fillId="0" borderId="0" xfId="205" applyFont="1" applyFill="1"/>
    <xf numFmtId="3" fontId="67" fillId="0" borderId="0" xfId="205" applyNumberFormat="1" applyFont="1" applyFill="1"/>
    <xf numFmtId="3" fontId="67" fillId="0" borderId="0" xfId="205" applyNumberFormat="1" applyFont="1" applyFill="1" applyAlignment="1">
      <alignment horizontal="right"/>
    </xf>
    <xf numFmtId="0" fontId="39" fillId="0" borderId="0" xfId="205" applyFont="1" applyFill="1" applyAlignment="1">
      <alignment wrapText="1"/>
    </xf>
    <xf numFmtId="0" fontId="39" fillId="0" borderId="122" xfId="205" applyFont="1" applyFill="1" applyBorder="1" applyAlignment="1">
      <alignment horizontal="center"/>
    </xf>
    <xf numFmtId="3" fontId="39" fillId="0" borderId="123" xfId="205" applyNumberFormat="1" applyFont="1" applyFill="1" applyBorder="1" applyAlignment="1">
      <alignment horizontal="center"/>
    </xf>
    <xf numFmtId="3" fontId="39" fillId="0" borderId="30" xfId="205" applyNumberFormat="1" applyFont="1" applyFill="1" applyBorder="1" applyAlignment="1">
      <alignment horizontal="center"/>
    </xf>
    <xf numFmtId="0" fontId="70" fillId="0" borderId="0" xfId="205" applyFont="1" applyFill="1" applyAlignment="1">
      <alignment horizontal="center"/>
    </xf>
    <xf numFmtId="0" fontId="39" fillId="0" borderId="0" xfId="205" applyFont="1" applyFill="1" applyAlignment="1">
      <alignment horizontal="center"/>
    </xf>
    <xf numFmtId="0" fontId="40" fillId="0" borderId="32" xfId="205" applyFont="1" applyFill="1" applyBorder="1" applyAlignment="1">
      <alignment wrapText="1"/>
    </xf>
    <xf numFmtId="3" fontId="40" fillId="0" borderId="24" xfId="205" applyNumberFormat="1" applyFont="1" applyFill="1" applyBorder="1"/>
    <xf numFmtId="3" fontId="40" fillId="0" borderId="31" xfId="205" applyNumberFormat="1" applyFont="1" applyFill="1" applyBorder="1"/>
    <xf numFmtId="0" fontId="39" fillId="0" borderId="124" xfId="205" applyFont="1" applyFill="1" applyBorder="1" applyAlignment="1">
      <alignment wrapText="1"/>
    </xf>
    <xf numFmtId="3" fontId="39" fillId="0" borderId="125" xfId="205" applyNumberFormat="1" applyFont="1" applyFill="1" applyBorder="1"/>
    <xf numFmtId="3" fontId="39" fillId="0" borderId="126" xfId="205" applyNumberFormat="1" applyFont="1" applyFill="1" applyBorder="1"/>
    <xf numFmtId="0" fontId="70" fillId="0" borderId="0" xfId="205" applyFont="1" applyFill="1"/>
    <xf numFmtId="0" fontId="39" fillId="0" borderId="0" xfId="205" applyFont="1" applyFill="1"/>
    <xf numFmtId="0" fontId="39" fillId="0" borderId="0" xfId="205" applyFont="1" applyFill="1" applyAlignment="1">
      <alignment horizontal="left" wrapText="1"/>
    </xf>
    <xf numFmtId="0" fontId="40" fillId="0" borderId="122" xfId="205" applyFont="1" applyFill="1" applyBorder="1" applyAlignment="1">
      <alignment horizontal="left" wrapText="1"/>
    </xf>
    <xf numFmtId="3" fontId="40" fillId="0" borderId="123" xfId="205" applyNumberFormat="1" applyFont="1" applyFill="1" applyBorder="1"/>
    <xf numFmtId="3" fontId="40" fillId="0" borderId="30" xfId="205" applyNumberFormat="1" applyFont="1" applyFill="1" applyBorder="1"/>
    <xf numFmtId="0" fontId="40" fillId="0" borderId="70" xfId="205" applyFont="1" applyFill="1" applyBorder="1" applyAlignment="1">
      <alignment wrapText="1"/>
    </xf>
    <xf numFmtId="3" fontId="40" fillId="0" borderId="73" xfId="205" applyNumberFormat="1" applyFont="1" applyFill="1" applyBorder="1"/>
    <xf numFmtId="3" fontId="40" fillId="0" borderId="118" xfId="205" applyNumberFormat="1" applyFont="1" applyFill="1" applyBorder="1"/>
    <xf numFmtId="3" fontId="39" fillId="0" borderId="130" xfId="205" applyNumberFormat="1" applyFont="1" applyFill="1" applyBorder="1"/>
    <xf numFmtId="3" fontId="39" fillId="0" borderId="0" xfId="205" applyNumberFormat="1" applyFont="1" applyFill="1" applyBorder="1"/>
    <xf numFmtId="0" fontId="39" fillId="0" borderId="24" xfId="205" applyFont="1" applyFill="1" applyBorder="1" applyAlignment="1">
      <alignment wrapText="1"/>
    </xf>
    <xf numFmtId="3" fontId="39" fillId="0" borderId="24" xfId="205" applyNumberFormat="1" applyFont="1" applyFill="1" applyBorder="1"/>
    <xf numFmtId="3" fontId="40" fillId="0" borderId="0" xfId="205" applyNumberFormat="1" applyFont="1" applyFill="1" applyBorder="1"/>
    <xf numFmtId="0" fontId="41" fillId="0" borderId="0" xfId="205" applyFont="1" applyFill="1"/>
    <xf numFmtId="3" fontId="41" fillId="0" borderId="0" xfId="205" applyNumberFormat="1" applyFont="1" applyFill="1"/>
    <xf numFmtId="0" fontId="40" fillId="0" borderId="0" xfId="257" applyFont="1" applyFill="1"/>
    <xf numFmtId="0" fontId="40" fillId="0" borderId="0" xfId="257" applyFont="1" applyFill="1" applyBorder="1"/>
    <xf numFmtId="0" fontId="40" fillId="0" borderId="82" xfId="257" applyFont="1" applyFill="1" applyBorder="1" applyAlignment="1">
      <alignment horizontal="center"/>
    </xf>
    <xf numFmtId="0" fontId="39" fillId="0" borderId="10" xfId="256" applyFont="1" applyFill="1" applyBorder="1" applyAlignment="1">
      <alignment horizontal="center" vertical="center" wrapText="1"/>
    </xf>
    <xf numFmtId="3" fontId="39" fillId="0" borderId="10" xfId="257" applyNumberFormat="1" applyFont="1" applyFill="1" applyBorder="1" applyAlignment="1">
      <alignment horizontal="center" vertical="center" wrapText="1"/>
    </xf>
    <xf numFmtId="0" fontId="40" fillId="0" borderId="0" xfId="257" applyFont="1" applyFill="1" applyAlignment="1">
      <alignment horizontal="center" vertical="center"/>
    </xf>
    <xf numFmtId="0" fontId="39" fillId="0" borderId="10" xfId="258" applyFont="1" applyFill="1" applyBorder="1" applyAlignment="1">
      <alignment horizontal="center" wrapText="1"/>
    </xf>
    <xf numFmtId="3" fontId="39" fillId="0" borderId="10" xfId="258" applyNumberFormat="1" applyFont="1" applyFill="1" applyBorder="1" applyAlignment="1">
      <alignment horizontal="center"/>
    </xf>
    <xf numFmtId="3" fontId="39" fillId="0" borderId="11" xfId="259" applyNumberFormat="1" applyFont="1" applyFill="1" applyBorder="1" applyAlignment="1">
      <alignment wrapText="1"/>
    </xf>
    <xf numFmtId="0" fontId="40" fillId="0" borderId="11" xfId="259" applyFont="1" applyFill="1" applyBorder="1"/>
    <xf numFmtId="0" fontId="39" fillId="0" borderId="11" xfId="196" applyFont="1" applyFill="1" applyBorder="1" applyAlignment="1">
      <alignment wrapText="1"/>
    </xf>
    <xf numFmtId="3" fontId="40" fillId="0" borderId="11" xfId="257" applyNumberFormat="1" applyFont="1" applyFill="1" applyBorder="1"/>
    <xf numFmtId="3" fontId="39" fillId="0" borderId="11" xfId="257" applyNumberFormat="1" applyFont="1" applyFill="1" applyBorder="1"/>
    <xf numFmtId="0" fontId="40" fillId="0" borderId="11" xfId="196" applyFont="1" applyFill="1" applyBorder="1" applyAlignment="1">
      <alignment wrapText="1"/>
    </xf>
    <xf numFmtId="3" fontId="40" fillId="0" borderId="21" xfId="257" applyNumberFormat="1" applyFont="1" applyFill="1" applyBorder="1"/>
    <xf numFmtId="165" fontId="68" fillId="0" borderId="0" xfId="254" applyNumberFormat="1" applyFont="1" applyFill="1"/>
    <xf numFmtId="3" fontId="39" fillId="0" borderId="13" xfId="259" applyNumberFormat="1" applyFont="1" applyFill="1" applyBorder="1" applyAlignment="1">
      <alignment wrapText="1"/>
    </xf>
    <xf numFmtId="3" fontId="39" fillId="0" borderId="14" xfId="257" applyNumberFormat="1" applyFont="1" applyFill="1" applyBorder="1"/>
    <xf numFmtId="3" fontId="39" fillId="0" borderId="83" xfId="259" applyNumberFormat="1" applyFont="1" applyFill="1" applyBorder="1" applyAlignment="1">
      <alignment wrapText="1"/>
    </xf>
    <xf numFmtId="3" fontId="39" fillId="0" borderId="48" xfId="257" applyNumberFormat="1" applyFont="1" applyFill="1" applyBorder="1"/>
    <xf numFmtId="3" fontId="40" fillId="0" borderId="11" xfId="259" applyNumberFormat="1" applyFont="1" applyFill="1" applyBorder="1" applyAlignment="1">
      <alignment wrapText="1"/>
    </xf>
    <xf numFmtId="0" fontId="40" fillId="0" borderId="36" xfId="196" applyFont="1" applyFill="1" applyBorder="1" applyAlignment="1">
      <alignment wrapText="1"/>
    </xf>
    <xf numFmtId="3" fontId="40" fillId="0" borderId="0" xfId="257" applyNumberFormat="1" applyFont="1" applyFill="1"/>
    <xf numFmtId="0" fontId="39" fillId="0" borderId="11" xfId="196" applyFont="1" applyFill="1" applyBorder="1"/>
    <xf numFmtId="0" fontId="40" fillId="0" borderId="83" xfId="196" applyFont="1" applyFill="1" applyBorder="1" applyAlignment="1">
      <alignment wrapText="1"/>
    </xf>
    <xf numFmtId="3" fontId="40" fillId="0" borderId="48" xfId="257" applyNumberFormat="1" applyFont="1" applyFill="1" applyBorder="1"/>
    <xf numFmtId="0" fontId="39" fillId="0" borderId="15" xfId="196" applyFont="1" applyFill="1" applyBorder="1"/>
    <xf numFmtId="3" fontId="39" fillId="0" borderId="15" xfId="257" applyNumberFormat="1" applyFont="1" applyFill="1" applyBorder="1"/>
    <xf numFmtId="3" fontId="39" fillId="0" borderId="0" xfId="257" applyNumberFormat="1" applyFont="1" applyFill="1"/>
    <xf numFmtId="0" fontId="40" fillId="0" borderId="0" xfId="260" applyFont="1" applyFill="1"/>
    <xf numFmtId="0" fontId="40" fillId="0" borderId="0" xfId="260" applyFont="1" applyFill="1" applyAlignment="1">
      <alignment wrapText="1"/>
    </xf>
    <xf numFmtId="3" fontId="40" fillId="0" borderId="0" xfId="260" applyNumberFormat="1" applyFont="1" applyFill="1"/>
    <xf numFmtId="0" fontId="39" fillId="0" borderId="122" xfId="260" applyFont="1" applyFill="1" applyBorder="1"/>
    <xf numFmtId="0" fontId="39" fillId="0" borderId="123" xfId="260" applyFont="1" applyFill="1" applyBorder="1" applyAlignment="1">
      <alignment horizontal="center" wrapText="1"/>
    </xf>
    <xf numFmtId="3" fontId="39" fillId="0" borderId="30" xfId="260" applyNumberFormat="1" applyFont="1" applyFill="1" applyBorder="1" applyAlignment="1">
      <alignment horizontal="center" wrapText="1"/>
    </xf>
    <xf numFmtId="0" fontId="39" fillId="0" borderId="0" xfId="260" applyFont="1" applyFill="1"/>
    <xf numFmtId="0" fontId="40" fillId="0" borderId="32" xfId="260" applyFont="1" applyFill="1" applyBorder="1"/>
    <xf numFmtId="0" fontId="40" fillId="0" borderId="24" xfId="260" applyFont="1" applyFill="1" applyBorder="1" applyAlignment="1">
      <alignment wrapText="1"/>
    </xf>
    <xf numFmtId="3" fontId="40" fillId="0" borderId="31" xfId="260" applyNumberFormat="1" applyFont="1" applyFill="1" applyBorder="1"/>
    <xf numFmtId="0" fontId="39" fillId="0" borderId="32" xfId="260" applyFont="1" applyFill="1" applyBorder="1"/>
    <xf numFmtId="0" fontId="39" fillId="0" borderId="24" xfId="260" applyFont="1" applyFill="1" applyBorder="1" applyAlignment="1">
      <alignment wrapText="1"/>
    </xf>
    <xf numFmtId="3" fontId="39" fillId="0" borderId="31" xfId="260" applyNumberFormat="1" applyFont="1" applyFill="1" applyBorder="1"/>
    <xf numFmtId="3" fontId="40" fillId="0" borderId="31" xfId="260" applyNumberFormat="1" applyFont="1" applyFill="1" applyBorder="1" applyAlignment="1">
      <alignment horizontal="right"/>
    </xf>
    <xf numFmtId="0" fontId="39" fillId="0" borderId="125" xfId="260" applyFont="1" applyFill="1" applyBorder="1" applyAlignment="1">
      <alignment wrapText="1"/>
    </xf>
    <xf numFmtId="3" fontId="39" fillId="0" borderId="126" xfId="260" applyNumberFormat="1" applyFont="1" applyFill="1" applyBorder="1"/>
    <xf numFmtId="3" fontId="0" fillId="0" borderId="94" xfId="195" applyNumberFormat="1" applyFont="1" applyFill="1" applyBorder="1"/>
    <xf numFmtId="0" fontId="14" fillId="0" borderId="75" xfId="195" applyFont="1" applyFill="1" applyBorder="1" applyAlignment="1">
      <alignment wrapText="1"/>
    </xf>
    <xf numFmtId="0" fontId="34" fillId="0" borderId="56" xfId="195" applyFont="1" applyFill="1" applyBorder="1" applyAlignment="1">
      <alignment vertical="top" wrapText="1"/>
    </xf>
    <xf numFmtId="0" fontId="76" fillId="0" borderId="0" xfId="196" applyFont="1" applyFill="1"/>
    <xf numFmtId="3" fontId="76" fillId="0" borderId="0" xfId="196" applyNumberFormat="1" applyFont="1" applyFill="1"/>
    <xf numFmtId="3" fontId="77" fillId="0" borderId="0" xfId="196" applyNumberFormat="1" applyFont="1" applyFill="1"/>
    <xf numFmtId="0" fontId="67" fillId="0" borderId="0" xfId="196" applyFont="1" applyFill="1"/>
    <xf numFmtId="3" fontId="40" fillId="24" borderId="31" xfId="260" applyNumberFormat="1" applyFont="1" applyFill="1" applyBorder="1"/>
    <xf numFmtId="3" fontId="40" fillId="0" borderId="0" xfId="261" applyNumberFormat="1" applyFont="1" applyFill="1"/>
    <xf numFmtId="3" fontId="39" fillId="0" borderId="0" xfId="261" applyNumberFormat="1" applyFont="1" applyFill="1"/>
    <xf numFmtId="3" fontId="34" fillId="0" borderId="0" xfId="261" applyNumberFormat="1" applyFont="1" applyFill="1" applyBorder="1"/>
    <xf numFmtId="3" fontId="40" fillId="0" borderId="0" xfId="260" applyNumberFormat="1" applyFont="1" applyFill="1" applyAlignment="1">
      <alignment wrapText="1"/>
    </xf>
    <xf numFmtId="0" fontId="39" fillId="0" borderId="124" xfId="260" applyFont="1" applyFill="1" applyBorder="1"/>
    <xf numFmtId="3" fontId="39" fillId="0" borderId="89" xfId="260" applyNumberFormat="1" applyFont="1" applyFill="1" applyBorder="1" applyAlignment="1">
      <alignment horizontal="center" wrapText="1"/>
    </xf>
    <xf numFmtId="3" fontId="40" fillId="0" borderId="69" xfId="260" applyNumberFormat="1" applyFont="1" applyFill="1" applyBorder="1"/>
    <xf numFmtId="3" fontId="40" fillId="0" borderId="31" xfId="260" applyNumberFormat="1" applyFont="1" applyFill="1" applyBorder="1" applyAlignment="1">
      <alignment horizontal="right" wrapText="1"/>
    </xf>
    <xf numFmtId="0" fontId="39" fillId="0" borderId="131" xfId="260" applyFont="1" applyFill="1" applyBorder="1"/>
    <xf numFmtId="0" fontId="39" fillId="0" borderId="132" xfId="260" applyFont="1" applyFill="1" applyBorder="1" applyAlignment="1">
      <alignment horizontal="center" wrapText="1"/>
    </xf>
    <xf numFmtId="0" fontId="40" fillId="0" borderId="62" xfId="260" applyFont="1" applyFill="1" applyBorder="1"/>
    <xf numFmtId="0" fontId="40" fillId="0" borderId="23" xfId="260" applyFont="1" applyFill="1" applyBorder="1" applyAlignment="1">
      <alignment wrapText="1"/>
    </xf>
    <xf numFmtId="0" fontId="39" fillId="0" borderId="70" xfId="260" applyFont="1" applyFill="1" applyBorder="1"/>
    <xf numFmtId="0" fontId="39" fillId="0" borderId="73" xfId="260" applyFont="1" applyFill="1" applyBorder="1" applyAlignment="1">
      <alignment wrapText="1"/>
    </xf>
    <xf numFmtId="3" fontId="39" fillId="0" borderId="118" xfId="260" applyNumberFormat="1" applyFont="1" applyFill="1" applyBorder="1"/>
    <xf numFmtId="3" fontId="40" fillId="0" borderId="24" xfId="260" applyNumberFormat="1" applyFont="1" applyFill="1" applyBorder="1"/>
    <xf numFmtId="3" fontId="40" fillId="26" borderId="24" xfId="260" applyNumberFormat="1" applyFont="1" applyFill="1" applyBorder="1"/>
    <xf numFmtId="3" fontId="40" fillId="24" borderId="24" xfId="260" applyNumberFormat="1" applyFont="1" applyFill="1" applyBorder="1"/>
    <xf numFmtId="3" fontId="40" fillId="25" borderId="24" xfId="260" applyNumberFormat="1" applyFont="1" applyFill="1" applyBorder="1"/>
    <xf numFmtId="3" fontId="39" fillId="0" borderId="24" xfId="260" applyNumberFormat="1" applyFont="1" applyFill="1" applyBorder="1"/>
    <xf numFmtId="3" fontId="40" fillId="0" borderId="24" xfId="260" applyNumberFormat="1" applyFont="1" applyFill="1" applyBorder="1" applyAlignment="1">
      <alignment horizontal="right"/>
    </xf>
    <xf numFmtId="3" fontId="40" fillId="0" borderId="23" xfId="260" applyNumberFormat="1" applyFont="1" applyFill="1" applyBorder="1"/>
    <xf numFmtId="3" fontId="39" fillId="0" borderId="73" xfId="260" applyNumberFormat="1" applyFont="1" applyFill="1" applyBorder="1"/>
    <xf numFmtId="3" fontId="40" fillId="0" borderId="23" xfId="260" applyNumberFormat="1" applyFont="1" applyFill="1" applyBorder="1" applyAlignment="1">
      <alignment horizontal="right" wrapText="1"/>
    </xf>
    <xf numFmtId="3" fontId="40" fillId="25" borderId="23" xfId="260" applyNumberFormat="1" applyFont="1" applyFill="1" applyBorder="1" applyAlignment="1">
      <alignment horizontal="right" wrapText="1"/>
    </xf>
    <xf numFmtId="3" fontId="39" fillId="0" borderId="125" xfId="260" applyNumberFormat="1" applyFont="1" applyFill="1" applyBorder="1"/>
    <xf numFmtId="0" fontId="76" fillId="0" borderId="0" xfId="260" applyFont="1" applyFill="1"/>
    <xf numFmtId="3" fontId="76" fillId="0" borderId="0" xfId="261" applyNumberFormat="1" applyFont="1" applyFill="1" applyBorder="1" applyAlignment="1">
      <alignment horizontal="right"/>
    </xf>
    <xf numFmtId="3" fontId="78" fillId="0" borderId="0" xfId="261" applyNumberFormat="1" applyFont="1" applyFill="1" applyAlignment="1">
      <alignment horizontal="center" vertical="center"/>
    </xf>
    <xf numFmtId="3" fontId="40" fillId="27" borderId="24" xfId="260" applyNumberFormat="1" applyFont="1" applyFill="1" applyBorder="1"/>
    <xf numFmtId="0" fontId="80" fillId="0" borderId="0" xfId="260" applyFont="1" applyFill="1"/>
    <xf numFmtId="0" fontId="76" fillId="0" borderId="24" xfId="260" applyFont="1" applyFill="1" applyBorder="1" applyAlignment="1">
      <alignment wrapText="1"/>
    </xf>
    <xf numFmtId="0" fontId="72" fillId="0" borderId="0" xfId="196" applyFont="1" applyFill="1"/>
    <xf numFmtId="0" fontId="72" fillId="0" borderId="0" xfId="206" applyFont="1" applyFill="1" applyAlignment="1">
      <alignment horizontal="center"/>
    </xf>
    <xf numFmtId="0" fontId="72" fillId="0" borderId="0" xfId="157" applyFont="1" applyFill="1"/>
    <xf numFmtId="0" fontId="81" fillId="0" borderId="0" xfId="196" applyFont="1" applyFill="1"/>
    <xf numFmtId="3" fontId="72" fillId="0" borderId="0" xfId="196" applyNumberFormat="1" applyFont="1" applyFill="1"/>
    <xf numFmtId="0" fontId="39" fillId="0" borderId="60" xfId="206" applyFont="1" applyFill="1" applyBorder="1" applyAlignment="1">
      <alignment horizontal="center" vertical="center" wrapText="1"/>
    </xf>
    <xf numFmtId="3" fontId="39" fillId="0" borderId="33" xfId="196" applyNumberFormat="1" applyFont="1" applyFill="1" applyBorder="1" applyAlignment="1">
      <alignment horizontal="center" vertical="center" wrapText="1"/>
    </xf>
    <xf numFmtId="165" fontId="40" fillId="0" borderId="0" xfId="254" applyNumberFormat="1" applyFont="1" applyFill="1" applyBorder="1"/>
    <xf numFmtId="165" fontId="40" fillId="0" borderId="0" xfId="254" applyNumberFormat="1" applyFont="1" applyFill="1" applyAlignment="1">
      <alignment horizontal="center" vertical="center"/>
    </xf>
    <xf numFmtId="0" fontId="82" fillId="0" borderId="0" xfId="0" applyFont="1" applyBorder="1" applyAlignment="1">
      <alignment wrapText="1"/>
    </xf>
    <xf numFmtId="0" fontId="83" fillId="0" borderId="0" xfId="0" applyFont="1" applyAlignment="1">
      <alignment wrapText="1"/>
    </xf>
    <xf numFmtId="3" fontId="83" fillId="0" borderId="0" xfId="0" applyNumberFormat="1" applyFont="1" applyAlignment="1">
      <alignment wrapText="1"/>
    </xf>
    <xf numFmtId="3" fontId="84" fillId="0" borderId="0" xfId="0" applyNumberFormat="1" applyFont="1" applyAlignment="1">
      <alignment wrapText="1"/>
    </xf>
    <xf numFmtId="0" fontId="85" fillId="0" borderId="0" xfId="0" applyFont="1" applyAlignment="1">
      <alignment wrapText="1"/>
    </xf>
    <xf numFmtId="165" fontId="40" fillId="0" borderId="19" xfId="254" applyNumberFormat="1" applyFont="1" applyFill="1" applyBorder="1"/>
    <xf numFmtId="165" fontId="76" fillId="0" borderId="0" xfId="257" applyNumberFormat="1" applyFont="1" applyFill="1"/>
    <xf numFmtId="3" fontId="86" fillId="0" borderId="0" xfId="205" applyNumberFormat="1" applyFont="1" applyFill="1"/>
    <xf numFmtId="0" fontId="87" fillId="0" borderId="0" xfId="205" applyFont="1" applyFill="1" applyAlignment="1">
      <alignment horizontal="center"/>
    </xf>
    <xf numFmtId="3" fontId="87" fillId="0" borderId="0" xfId="205" applyNumberFormat="1" applyFont="1" applyFill="1"/>
    <xf numFmtId="0" fontId="87" fillId="0" borderId="0" xfId="205" applyFont="1" applyFill="1"/>
    <xf numFmtId="0" fontId="40" fillId="0" borderId="0" xfId="205" applyFont="1" applyFill="1" applyAlignment="1">
      <alignment horizontal="center"/>
    </xf>
    <xf numFmtId="0" fontId="72" fillId="0" borderId="96" xfId="0" applyFont="1" applyBorder="1" applyAlignment="1">
      <alignment vertical="center" wrapText="1"/>
    </xf>
    <xf numFmtId="0" fontId="72" fillId="0" borderId="135" xfId="0" applyFont="1" applyBorder="1" applyAlignment="1">
      <alignment vertical="center" wrapText="1"/>
    </xf>
    <xf numFmtId="0" fontId="72" fillId="0" borderId="135" xfId="0" applyFont="1" applyBorder="1" applyAlignment="1">
      <alignment horizontal="center" vertical="center" wrapText="1"/>
    </xf>
    <xf numFmtId="0" fontId="71" fillId="0" borderId="96" xfId="0" applyFont="1" applyBorder="1" applyAlignment="1">
      <alignment wrapText="1"/>
    </xf>
    <xf numFmtId="0" fontId="72" fillId="0" borderId="88" xfId="0" applyFont="1" applyBorder="1" applyAlignment="1">
      <alignment horizontal="center" vertical="center" wrapText="1"/>
    </xf>
    <xf numFmtId="0" fontId="72" fillId="0" borderId="33" xfId="0" applyFont="1" applyBorder="1" applyAlignment="1">
      <alignment horizontal="center" vertical="center" wrapText="1"/>
    </xf>
    <xf numFmtId="165" fontId="88" fillId="0" borderId="0" xfId="254" applyNumberFormat="1" applyFont="1" applyAlignment="1">
      <alignment wrapText="1"/>
    </xf>
    <xf numFmtId="3" fontId="81" fillId="0" borderId="0" xfId="205" applyNumberFormat="1" applyFont="1" applyFill="1" applyAlignment="1">
      <alignment horizontal="center"/>
    </xf>
    <xf numFmtId="3" fontId="43" fillId="0" borderId="47" xfId="171" applyNumberFormat="1" applyFont="1" applyFill="1" applyBorder="1" applyAlignment="1">
      <alignment horizontal="centerContinuous" wrapText="1"/>
    </xf>
    <xf numFmtId="3" fontId="43" fillId="0" borderId="48" xfId="171" applyNumberFormat="1" applyFont="1" applyFill="1" applyBorder="1" applyAlignment="1">
      <alignment horizontal="centerContinuous" wrapText="1"/>
    </xf>
    <xf numFmtId="3" fontId="44" fillId="0" borderId="49" xfId="171" applyNumberFormat="1" applyFont="1" applyFill="1" applyBorder="1"/>
    <xf numFmtId="3" fontId="44" fillId="0" borderId="50" xfId="171" applyNumberFormat="1" applyFont="1" applyFill="1" applyBorder="1"/>
    <xf numFmtId="3" fontId="44" fillId="0" borderId="58" xfId="171" applyNumberFormat="1" applyFont="1" applyFill="1" applyBorder="1"/>
    <xf numFmtId="3" fontId="13" fillId="0" borderId="83" xfId="171" applyNumberFormat="1" applyFont="1" applyFill="1" applyBorder="1"/>
    <xf numFmtId="3" fontId="44" fillId="0" borderId="43" xfId="174" applyNumberFormat="1" applyFont="1" applyFill="1" applyBorder="1"/>
    <xf numFmtId="3" fontId="44" fillId="0" borderId="11" xfId="174" applyNumberFormat="1" applyFont="1" applyFill="1" applyBorder="1" applyAlignment="1">
      <alignment horizontal="center"/>
    </xf>
    <xf numFmtId="3" fontId="44" fillId="0" borderId="11" xfId="174" applyNumberFormat="1" applyFont="1" applyFill="1" applyBorder="1" applyAlignment="1">
      <alignment horizontal="right"/>
    </xf>
    <xf numFmtId="3" fontId="39" fillId="0" borderId="16" xfId="172" applyNumberFormat="1" applyFont="1" applyFill="1" applyBorder="1" applyAlignment="1">
      <alignment wrapText="1"/>
    </xf>
    <xf numFmtId="3" fontId="39" fillId="0" borderId="104" xfId="172" applyNumberFormat="1" applyFont="1" applyFill="1" applyBorder="1" applyAlignment="1">
      <alignment wrapText="1"/>
    </xf>
    <xf numFmtId="3" fontId="34" fillId="0" borderId="21" xfId="172" applyNumberFormat="1" applyFont="1" applyFill="1" applyBorder="1" applyAlignment="1">
      <alignment wrapText="1"/>
    </xf>
    <xf numFmtId="3" fontId="34" fillId="0" borderId="20" xfId="172" applyNumberFormat="1" applyFont="1" applyFill="1" applyBorder="1"/>
    <xf numFmtId="3" fontId="34" fillId="0" borderId="21" xfId="172" applyNumberFormat="1" applyFont="1" applyFill="1" applyBorder="1"/>
    <xf numFmtId="3" fontId="40" fillId="0" borderId="81" xfId="172" applyNumberFormat="1" applyFont="1" applyFill="1" applyBorder="1" applyAlignment="1">
      <alignment wrapText="1"/>
    </xf>
    <xf numFmtId="3" fontId="40" fillId="0" borderId="72" xfId="172" applyNumberFormat="1" applyFont="1" applyFill="1" applyBorder="1" applyAlignment="1">
      <alignment wrapText="1"/>
    </xf>
    <xf numFmtId="3" fontId="40" fillId="0" borderId="39" xfId="172" applyNumberFormat="1" applyFont="1" applyFill="1" applyBorder="1" applyAlignment="1">
      <alignment wrapText="1"/>
    </xf>
    <xf numFmtId="3" fontId="34" fillId="0" borderId="22" xfId="172" applyNumberFormat="1" applyFont="1" applyFill="1" applyBorder="1" applyAlignment="1">
      <alignment wrapText="1"/>
    </xf>
    <xf numFmtId="3" fontId="44" fillId="0" borderId="20" xfId="174" applyNumberFormat="1" applyFont="1" applyFill="1" applyBorder="1"/>
    <xf numFmtId="3" fontId="13" fillId="0" borderId="81" xfId="174" applyNumberFormat="1" applyFont="1" applyFill="1" applyBorder="1"/>
    <xf numFmtId="3" fontId="13" fillId="0" borderId="20" xfId="174" applyNumberFormat="1" applyFont="1" applyFill="1" applyBorder="1"/>
    <xf numFmtId="3" fontId="46" fillId="0" borderId="20" xfId="174" applyNumberFormat="1" applyFont="1" applyFill="1" applyBorder="1"/>
    <xf numFmtId="3" fontId="15" fillId="0" borderId="20" xfId="174" applyNumberFormat="1" applyFont="1" applyFill="1" applyBorder="1"/>
    <xf numFmtId="3" fontId="13" fillId="0" borderId="19" xfId="174" applyNumberFormat="1" applyFont="1" applyFill="1" applyBorder="1"/>
    <xf numFmtId="3" fontId="14" fillId="0" borderId="19" xfId="174" applyNumberFormat="1" applyFont="1" applyFill="1" applyBorder="1"/>
    <xf numFmtId="3" fontId="43" fillId="0" borderId="81" xfId="174" applyNumberFormat="1" applyFont="1" applyFill="1" applyBorder="1"/>
    <xf numFmtId="3" fontId="43" fillId="0" borderId="40" xfId="174" applyNumberFormat="1" applyFont="1" applyFill="1" applyBorder="1"/>
    <xf numFmtId="3" fontId="43" fillId="0" borderId="82" xfId="174" applyNumberFormat="1" applyFont="1" applyFill="1" applyBorder="1"/>
    <xf numFmtId="3" fontId="39" fillId="0" borderId="97" xfId="172" applyNumberFormat="1" applyFont="1" applyFill="1" applyBorder="1"/>
    <xf numFmtId="3" fontId="39" fillId="0" borderId="77" xfId="172" applyNumberFormat="1" applyFont="1" applyFill="1" applyBorder="1"/>
    <xf numFmtId="3" fontId="39" fillId="0" borderId="73" xfId="172" applyNumberFormat="1" applyFont="1" applyFill="1" applyBorder="1"/>
    <xf numFmtId="3" fontId="39" fillId="0" borderId="39" xfId="172" applyNumberFormat="1" applyFont="1" applyFill="1" applyBorder="1"/>
    <xf numFmtId="3" fontId="39" fillId="0" borderId="81" xfId="172" applyNumberFormat="1" applyFont="1" applyFill="1" applyBorder="1"/>
    <xf numFmtId="3" fontId="40" fillId="0" borderId="78" xfId="172" applyNumberFormat="1" applyFont="1" applyFill="1" applyBorder="1"/>
    <xf numFmtId="0" fontId="89" fillId="0" borderId="0" xfId="172" applyFont="1" applyFill="1"/>
    <xf numFmtId="3" fontId="34" fillId="0" borderId="22" xfId="172" applyNumberFormat="1" applyFont="1" applyFill="1" applyBorder="1"/>
    <xf numFmtId="3" fontId="14" fillId="0" borderId="15" xfId="171" applyNumberFormat="1" applyFont="1" applyFill="1" applyBorder="1"/>
    <xf numFmtId="3" fontId="34" fillId="0" borderId="34" xfId="172" applyNumberFormat="1" applyFont="1" applyFill="1" applyBorder="1" applyAlignment="1">
      <alignment wrapText="1"/>
    </xf>
    <xf numFmtId="3" fontId="14" fillId="0" borderId="35" xfId="174" applyNumberFormat="1" applyFont="1" applyFill="1" applyBorder="1" applyAlignment="1">
      <alignment horizontal="center"/>
    </xf>
    <xf numFmtId="3" fontId="14" fillId="0" borderId="35" xfId="174" applyNumberFormat="1" applyFont="1" applyFill="1" applyBorder="1" applyAlignment="1">
      <alignment horizontal="center" wrapText="1"/>
    </xf>
    <xf numFmtId="3" fontId="14" fillId="0" borderId="10" xfId="174" applyNumberFormat="1" applyFont="1" applyFill="1" applyBorder="1" applyAlignment="1">
      <alignment horizontal="center" wrapText="1"/>
    </xf>
    <xf numFmtId="3" fontId="14" fillId="0" borderId="10" xfId="174" applyNumberFormat="1" applyFont="1" applyFill="1" applyBorder="1" applyAlignment="1">
      <alignment horizontal="center"/>
    </xf>
    <xf numFmtId="0" fontId="14" fillId="0" borderId="0" xfId="196" applyFont="1" applyFill="1" applyAlignment="1">
      <alignment horizontal="center" vertical="center" wrapText="1"/>
    </xf>
    <xf numFmtId="3" fontId="40" fillId="0" borderId="24" xfId="205" applyNumberFormat="1" applyFont="1" applyBorder="1"/>
    <xf numFmtId="3" fontId="72" fillId="0" borderId="0" xfId="205" applyNumberFormat="1" applyFont="1" applyFill="1" applyAlignment="1">
      <alignment horizontal="right"/>
    </xf>
    <xf numFmtId="3" fontId="72" fillId="0" borderId="0" xfId="205" applyNumberFormat="1" applyFont="1" applyFill="1" applyAlignment="1">
      <alignment horizontal="left"/>
    </xf>
    <xf numFmtId="3" fontId="70" fillId="0" borderId="0" xfId="205" applyNumberFormat="1" applyFont="1" applyFill="1"/>
    <xf numFmtId="0" fontId="15" fillId="0" borderId="19" xfId="173" applyFont="1" applyFill="1" applyBorder="1"/>
    <xf numFmtId="0" fontId="15" fillId="0" borderId="0" xfId="173" applyFont="1" applyFill="1"/>
    <xf numFmtId="0" fontId="72" fillId="0" borderId="135" xfId="0" applyFont="1" applyFill="1" applyBorder="1" applyAlignment="1">
      <alignment horizontal="center" vertical="center" wrapText="1"/>
    </xf>
    <xf numFmtId="0" fontId="13" fillId="0" borderId="0" xfId="196" applyFill="1"/>
    <xf numFmtId="0" fontId="13" fillId="0" borderId="0" xfId="196" applyFill="1" applyAlignment="1">
      <alignment vertical="center"/>
    </xf>
    <xf numFmtId="0" fontId="14" fillId="0" borderId="24" xfId="196" applyFont="1" applyFill="1" applyBorder="1" applyAlignment="1">
      <alignment horizontal="center" vertical="center" wrapText="1"/>
    </xf>
    <xf numFmtId="0" fontId="13" fillId="0" borderId="24" xfId="196" applyFill="1" applyBorder="1" applyAlignment="1">
      <alignment vertical="center"/>
    </xf>
    <xf numFmtId="0" fontId="13" fillId="0" borderId="24" xfId="196" applyFill="1" applyBorder="1" applyAlignment="1">
      <alignment vertical="center" wrapText="1"/>
    </xf>
    <xf numFmtId="0" fontId="13" fillId="0" borderId="24" xfId="196" applyFill="1" applyBorder="1" applyAlignment="1">
      <alignment horizontal="center" vertical="center"/>
    </xf>
    <xf numFmtId="3" fontId="13" fillId="0" borderId="24" xfId="196" applyNumberFormat="1" applyFill="1" applyBorder="1" applyAlignment="1">
      <alignment vertical="center"/>
    </xf>
    <xf numFmtId="3" fontId="13" fillId="0" borderId="24" xfId="196" applyNumberFormat="1" applyFill="1" applyBorder="1" applyAlignment="1">
      <alignment horizontal="center" vertical="center"/>
    </xf>
    <xf numFmtId="3" fontId="13" fillId="0" borderId="0" xfId="196" applyNumberFormat="1" applyFill="1" applyAlignment="1">
      <alignment vertical="center"/>
    </xf>
    <xf numFmtId="3" fontId="13" fillId="0" borderId="24" xfId="196" applyNumberFormat="1" applyFill="1" applyBorder="1" applyAlignment="1">
      <alignment horizontal="right" vertical="center" wrapText="1"/>
    </xf>
    <xf numFmtId="4" fontId="13" fillId="0" borderId="24" xfId="196" applyNumberFormat="1" applyFill="1" applyBorder="1" applyAlignment="1">
      <alignment horizontal="center" vertical="center"/>
    </xf>
    <xf numFmtId="0" fontId="14" fillId="0" borderId="24" xfId="196" applyFont="1" applyFill="1" applyBorder="1" applyAlignment="1">
      <alignment vertical="center"/>
    </xf>
    <xf numFmtId="0" fontId="14" fillId="0" borderId="24" xfId="196" applyFont="1" applyFill="1" applyBorder="1" applyAlignment="1">
      <alignment vertical="center" wrapText="1"/>
    </xf>
    <xf numFmtId="3" fontId="14" fillId="0" borderId="24" xfId="196" applyNumberFormat="1" applyFont="1" applyFill="1" applyBorder="1" applyAlignment="1">
      <alignment vertical="center"/>
    </xf>
    <xf numFmtId="0" fontId="14" fillId="0" borderId="0" xfId="196" applyFont="1" applyFill="1" applyBorder="1" applyAlignment="1">
      <alignment vertical="center"/>
    </xf>
    <xf numFmtId="0" fontId="14" fillId="0" borderId="0" xfId="196" applyFont="1" applyFill="1" applyBorder="1" applyAlignment="1">
      <alignment vertical="center" wrapText="1"/>
    </xf>
    <xf numFmtId="3" fontId="14" fillId="0" borderId="0" xfId="196" applyNumberFormat="1" applyFont="1" applyFill="1" applyBorder="1" applyAlignment="1">
      <alignment vertical="center"/>
    </xf>
    <xf numFmtId="0" fontId="13" fillId="0" borderId="0" xfId="196" applyFill="1" applyAlignment="1">
      <alignment wrapText="1"/>
    </xf>
    <xf numFmtId="0" fontId="14" fillId="0" borderId="0" xfId="196" applyFont="1" applyFill="1" applyAlignment="1">
      <alignment vertical="center"/>
    </xf>
    <xf numFmtId="0" fontId="13" fillId="0" borderId="24" xfId="196" applyFill="1" applyBorder="1" applyAlignment="1">
      <alignment horizontal="left" vertical="center" wrapText="1"/>
    </xf>
    <xf numFmtId="0" fontId="13" fillId="0" borderId="0" xfId="196" applyFill="1" applyAlignment="1">
      <alignment horizontal="right" vertical="center" wrapText="1"/>
    </xf>
    <xf numFmtId="0" fontId="13" fillId="0" borderId="0" xfId="196" applyFill="1" applyAlignment="1">
      <alignment horizontal="right" vertical="center"/>
    </xf>
    <xf numFmtId="0" fontId="13" fillId="0" borderId="0" xfId="196" applyFill="1" applyAlignment="1">
      <alignment vertical="center" wrapText="1"/>
    </xf>
    <xf numFmtId="3" fontId="13" fillId="0" borderId="0" xfId="196" applyNumberFormat="1" applyFill="1"/>
    <xf numFmtId="0" fontId="14" fillId="0" borderId="24" xfId="196" applyFont="1" applyFill="1" applyBorder="1"/>
    <xf numFmtId="3" fontId="14" fillId="0" borderId="24" xfId="196" applyNumberFormat="1" applyFont="1" applyFill="1" applyBorder="1"/>
    <xf numFmtId="3" fontId="14" fillId="0" borderId="0" xfId="196" applyNumberFormat="1" applyFont="1" applyFill="1"/>
    <xf numFmtId="0" fontId="14" fillId="0" borderId="0" xfId="196" applyFont="1" applyFill="1"/>
    <xf numFmtId="3" fontId="71" fillId="0" borderId="0" xfId="270" applyNumberFormat="1" applyFont="1" applyFill="1"/>
    <xf numFmtId="3" fontId="71" fillId="0" borderId="0" xfId="270" applyNumberFormat="1" applyFont="1" applyFill="1" applyAlignment="1">
      <alignment horizontal="right"/>
    </xf>
    <xf numFmtId="3" fontId="60" fillId="0" borderId="60" xfId="200" applyNumberFormat="1" applyFont="1" applyFill="1" applyBorder="1" applyAlignment="1">
      <alignment horizontal="center" vertical="center" wrapText="1"/>
    </xf>
    <xf numFmtId="3" fontId="60" fillId="0" borderId="114" xfId="200" applyNumberFormat="1" applyFont="1" applyFill="1" applyBorder="1" applyAlignment="1">
      <alignment horizontal="center" vertical="center" wrapText="1"/>
    </xf>
    <xf numFmtId="3" fontId="60" fillId="0" borderId="88" xfId="200" applyNumberFormat="1" applyFont="1" applyFill="1" applyBorder="1" applyAlignment="1">
      <alignment horizontal="center" vertical="center" wrapText="1"/>
    </xf>
    <xf numFmtId="3" fontId="60" fillId="0" borderId="41" xfId="200" applyNumberFormat="1" applyFont="1" applyFill="1" applyBorder="1" applyAlignment="1">
      <alignment horizontal="center" vertical="center" wrapText="1"/>
    </xf>
    <xf numFmtId="3" fontId="58" fillId="0" borderId="41" xfId="200" applyNumberFormat="1" applyFont="1" applyFill="1" applyBorder="1" applyAlignment="1">
      <alignment horizontal="center" vertical="center" wrapText="1"/>
    </xf>
    <xf numFmtId="3" fontId="61" fillId="0" borderId="41" xfId="200" applyNumberFormat="1" applyFont="1" applyFill="1" applyBorder="1" applyAlignment="1">
      <alignment horizontal="center" vertical="center" wrapText="1"/>
    </xf>
    <xf numFmtId="3" fontId="60" fillId="0" borderId="40" xfId="200" applyNumberFormat="1" applyFont="1" applyFill="1" applyBorder="1" applyAlignment="1">
      <alignment horizontal="center" vertical="center" wrapText="1"/>
    </xf>
    <xf numFmtId="3" fontId="44" fillId="0" borderId="10" xfId="200" applyNumberFormat="1" applyFont="1" applyFill="1" applyBorder="1" applyAlignment="1">
      <alignment horizontal="right"/>
    </xf>
    <xf numFmtId="3" fontId="59" fillId="0" borderId="14" xfId="199" applyNumberFormat="1" applyFont="1" applyFill="1" applyBorder="1" applyAlignment="1">
      <alignment horizontal="center" wrapText="1"/>
    </xf>
    <xf numFmtId="3" fontId="58" fillId="0" borderId="41" xfId="200" applyNumberFormat="1" applyFont="1" applyFill="1" applyBorder="1" applyAlignment="1">
      <alignment horizontal="center"/>
    </xf>
    <xf numFmtId="3" fontId="58" fillId="0" borderId="10" xfId="200" applyNumberFormat="1" applyFont="1" applyFill="1" applyBorder="1" applyAlignment="1">
      <alignment horizontal="center"/>
    </xf>
    <xf numFmtId="3" fontId="44" fillId="0" borderId="36" xfId="200" applyNumberFormat="1" applyFont="1" applyFill="1" applyBorder="1" applyAlignment="1">
      <alignment horizontal="right"/>
    </xf>
    <xf numFmtId="3" fontId="55" fillId="0" borderId="21" xfId="199" applyNumberFormat="1" applyFill="1" applyBorder="1" applyAlignment="1">
      <alignment wrapText="1"/>
    </xf>
    <xf numFmtId="3" fontId="55" fillId="0" borderId="39" xfId="199" applyNumberFormat="1" applyFill="1" applyBorder="1" applyAlignment="1">
      <alignment wrapText="1"/>
    </xf>
    <xf numFmtId="3" fontId="52" fillId="0" borderId="36" xfId="200" applyNumberFormat="1" applyFont="1" applyFill="1" applyBorder="1" applyAlignment="1">
      <alignment horizontal="right"/>
    </xf>
    <xf numFmtId="3" fontId="15" fillId="0" borderId="39" xfId="199" applyNumberFormat="1" applyFont="1" applyFill="1" applyBorder="1" applyAlignment="1">
      <alignment wrapText="1"/>
    </xf>
    <xf numFmtId="3" fontId="57" fillId="0" borderId="39" xfId="199" applyNumberFormat="1" applyFont="1" applyFill="1" applyBorder="1" applyAlignment="1">
      <alignment wrapText="1"/>
    </xf>
    <xf numFmtId="3" fontId="75" fillId="0" borderId="0" xfId="270" applyNumberFormat="1" applyFont="1" applyFill="1"/>
    <xf numFmtId="3" fontId="13" fillId="0" borderId="39" xfId="199" applyNumberFormat="1" applyFont="1" applyFill="1" applyBorder="1" applyAlignment="1">
      <alignment wrapText="1"/>
    </xf>
    <xf numFmtId="0" fontId="55" fillId="0" borderId="39" xfId="199" applyFill="1" applyBorder="1" applyAlignment="1">
      <alignment wrapText="1"/>
    </xf>
    <xf numFmtId="3" fontId="56" fillId="0" borderId="14" xfId="199" applyNumberFormat="1" applyFont="1" applyFill="1" applyBorder="1" applyAlignment="1">
      <alignment wrapText="1"/>
    </xf>
    <xf numFmtId="3" fontId="55" fillId="0" borderId="37" xfId="199" applyNumberFormat="1" applyFill="1" applyBorder="1" applyAlignment="1">
      <alignment wrapText="1"/>
    </xf>
    <xf numFmtId="3" fontId="44" fillId="0" borderId="11" xfId="200" applyNumberFormat="1" applyFont="1" applyFill="1" applyBorder="1" applyAlignment="1">
      <alignment horizontal="right"/>
    </xf>
    <xf numFmtId="3" fontId="52" fillId="0" borderId="11" xfId="200" applyNumberFormat="1" applyFont="1" applyFill="1" applyBorder="1" applyAlignment="1">
      <alignment horizontal="right"/>
    </xf>
    <xf numFmtId="3" fontId="15" fillId="0" borderId="21" xfId="199" applyNumberFormat="1" applyFont="1" applyFill="1" applyBorder="1" applyAlignment="1">
      <alignment wrapText="1"/>
    </xf>
    <xf numFmtId="3" fontId="57" fillId="0" borderId="21" xfId="199" applyNumberFormat="1" applyFont="1" applyFill="1" applyBorder="1" applyAlignment="1">
      <alignment wrapText="1"/>
    </xf>
    <xf numFmtId="3" fontId="13" fillId="0" borderId="21" xfId="199" applyNumberFormat="1" applyFont="1" applyFill="1" applyBorder="1" applyAlignment="1">
      <alignment wrapText="1"/>
    </xf>
    <xf numFmtId="3" fontId="52" fillId="0" borderId="83" xfId="200" applyNumberFormat="1" applyFont="1" applyFill="1" applyBorder="1" applyAlignment="1">
      <alignment horizontal="right"/>
    </xf>
    <xf numFmtId="3" fontId="13" fillId="0" borderId="48" xfId="199" applyNumberFormat="1" applyFont="1" applyFill="1" applyBorder="1" applyAlignment="1">
      <alignment wrapText="1"/>
    </xf>
    <xf numFmtId="3" fontId="13" fillId="0" borderId="11" xfId="199" applyNumberFormat="1" applyFont="1" applyFill="1" applyBorder="1" applyAlignment="1">
      <alignment wrapText="1"/>
    </xf>
    <xf numFmtId="3" fontId="44" fillId="0" borderId="83" xfId="200" applyNumberFormat="1" applyFont="1" applyFill="1" applyBorder="1" applyAlignment="1">
      <alignment horizontal="right"/>
    </xf>
    <xf numFmtId="3" fontId="15" fillId="0" borderId="48" xfId="199" applyNumberFormat="1" applyFont="1" applyFill="1" applyBorder="1" applyAlignment="1">
      <alignment wrapText="1"/>
    </xf>
    <xf numFmtId="3" fontId="55" fillId="0" borderId="48" xfId="199" applyNumberFormat="1" applyFill="1" applyBorder="1" applyAlignment="1">
      <alignment wrapText="1"/>
    </xf>
    <xf numFmtId="0" fontId="55" fillId="0" borderId="11" xfId="199" applyFill="1" applyBorder="1" applyAlignment="1">
      <alignment wrapText="1"/>
    </xf>
    <xf numFmtId="3" fontId="55" fillId="0" borderId="43" xfId="199" applyNumberFormat="1" applyFill="1" applyBorder="1" applyAlignment="1">
      <alignment wrapText="1"/>
    </xf>
    <xf numFmtId="3" fontId="55" fillId="0" borderId="38" xfId="199" applyNumberFormat="1" applyFill="1" applyBorder="1" applyAlignment="1">
      <alignment wrapText="1"/>
    </xf>
    <xf numFmtId="3" fontId="57" fillId="0" borderId="38" xfId="199" applyNumberFormat="1" applyFont="1" applyFill="1" applyBorder="1" applyAlignment="1">
      <alignment wrapText="1"/>
    </xf>
    <xf numFmtId="3" fontId="13" fillId="0" borderId="38" xfId="199" applyNumberFormat="1" applyFont="1" applyFill="1" applyBorder="1" applyAlignment="1">
      <alignment wrapText="1"/>
    </xf>
    <xf numFmtId="3" fontId="15" fillId="0" borderId="38" xfId="199" applyNumberFormat="1" applyFont="1" applyFill="1" applyBorder="1" applyAlignment="1">
      <alignment wrapText="1"/>
    </xf>
    <xf numFmtId="3" fontId="15" fillId="0" borderId="11" xfId="199" applyNumberFormat="1" applyFont="1" applyFill="1" applyBorder="1" applyAlignment="1">
      <alignment wrapText="1"/>
    </xf>
    <xf numFmtId="3" fontId="55" fillId="0" borderId="104" xfId="199" applyNumberFormat="1" applyFill="1" applyBorder="1" applyAlignment="1">
      <alignment wrapText="1"/>
    </xf>
    <xf numFmtId="3" fontId="57" fillId="0" borderId="11" xfId="199" applyNumberFormat="1" applyFont="1" applyFill="1" applyBorder="1" applyAlignment="1">
      <alignment wrapText="1"/>
    </xf>
    <xf numFmtId="3" fontId="44" fillId="0" borderId="43" xfId="200" applyNumberFormat="1" applyFont="1" applyFill="1" applyBorder="1" applyAlignment="1">
      <alignment horizontal="right"/>
    </xf>
    <xf numFmtId="3" fontId="56" fillId="0" borderId="104" xfId="199" applyNumberFormat="1" applyFont="1" applyFill="1" applyBorder="1" applyAlignment="1">
      <alignment wrapText="1"/>
    </xf>
    <xf numFmtId="3" fontId="55" fillId="0" borderId="11" xfId="199" applyNumberFormat="1" applyFill="1" applyBorder="1" applyAlignment="1">
      <alignment wrapText="1"/>
    </xf>
    <xf numFmtId="3" fontId="43" fillId="0" borderId="11" xfId="200" applyNumberFormat="1" applyFont="1" applyFill="1" applyBorder="1" applyAlignment="1">
      <alignment horizontal="right"/>
    </xf>
    <xf numFmtId="3" fontId="46" fillId="0" borderId="104" xfId="199" applyNumberFormat="1" applyFont="1" applyFill="1" applyBorder="1" applyAlignment="1">
      <alignment wrapText="1"/>
    </xf>
    <xf numFmtId="3" fontId="43" fillId="0" borderId="36" xfId="200" applyNumberFormat="1" applyFont="1" applyFill="1" applyBorder="1" applyAlignment="1">
      <alignment horizontal="right"/>
    </xf>
    <xf numFmtId="3" fontId="14" fillId="0" borderId="39" xfId="199" applyNumberFormat="1" applyFont="1" applyFill="1" applyBorder="1" applyAlignment="1">
      <alignment wrapText="1"/>
    </xf>
    <xf numFmtId="3" fontId="56" fillId="0" borderId="39" xfId="199" applyNumberFormat="1" applyFont="1" applyFill="1" applyBorder="1" applyAlignment="1">
      <alignment wrapText="1"/>
    </xf>
    <xf numFmtId="3" fontId="73" fillId="0" borderId="0" xfId="270" applyNumberFormat="1" applyFont="1" applyFill="1"/>
    <xf numFmtId="3" fontId="46" fillId="0" borderId="39" xfId="199" applyNumberFormat="1" applyFont="1" applyFill="1" applyBorder="1" applyAlignment="1">
      <alignment wrapText="1"/>
    </xf>
    <xf numFmtId="0" fontId="36" fillId="0" borderId="10" xfId="200" applyFont="1" applyFill="1" applyBorder="1" applyAlignment="1">
      <alignment horizontal="center"/>
    </xf>
    <xf numFmtId="0" fontId="60" fillId="0" borderId="14" xfId="199" applyFont="1" applyFill="1" applyBorder="1" applyAlignment="1">
      <alignment horizontal="center" vertical="center" wrapText="1"/>
    </xf>
    <xf numFmtId="3" fontId="60" fillId="0" borderId="14" xfId="200" applyNumberFormat="1" applyFont="1" applyFill="1" applyBorder="1" applyAlignment="1">
      <alignment horizontal="center" vertical="center" wrapText="1"/>
    </xf>
    <xf numFmtId="3" fontId="60" fillId="0" borderId="10" xfId="200" applyNumberFormat="1" applyFont="1" applyFill="1" applyBorder="1" applyAlignment="1">
      <alignment horizontal="center" vertical="center" wrapText="1"/>
    </xf>
    <xf numFmtId="3" fontId="60" fillId="0" borderId="35" xfId="200" applyNumberFormat="1" applyFont="1" applyFill="1" applyBorder="1" applyAlignment="1">
      <alignment horizontal="center" vertical="center" wrapText="1"/>
    </xf>
    <xf numFmtId="3" fontId="60" fillId="0" borderId="80" xfId="200" applyNumberFormat="1" applyFont="1" applyFill="1" applyBorder="1" applyAlignment="1">
      <alignment horizontal="center" vertical="center" wrapText="1"/>
    </xf>
    <xf numFmtId="0" fontId="60" fillId="0" borderId="10" xfId="200" applyFont="1" applyFill="1" applyBorder="1" applyAlignment="1">
      <alignment horizontal="center" vertical="center" wrapText="1"/>
    </xf>
    <xf numFmtId="0" fontId="65" fillId="0" borderId="10" xfId="200" applyFont="1" applyFill="1" applyBorder="1" applyAlignment="1">
      <alignment horizontal="center"/>
    </xf>
    <xf numFmtId="0" fontId="59" fillId="0" borderId="14" xfId="199" applyFont="1" applyFill="1" applyBorder="1" applyAlignment="1">
      <alignment horizontal="center" wrapText="1"/>
    </xf>
    <xf numFmtId="3" fontId="59" fillId="0" borderId="10" xfId="200" applyNumberFormat="1" applyFont="1" applyFill="1" applyBorder="1" applyAlignment="1">
      <alignment horizontal="center"/>
    </xf>
    <xf numFmtId="3" fontId="59" fillId="0" borderId="35" xfId="200" applyNumberFormat="1" applyFont="1" applyFill="1" applyBorder="1" applyAlignment="1">
      <alignment horizontal="center"/>
    </xf>
    <xf numFmtId="3" fontId="64" fillId="0" borderId="10" xfId="200" applyNumberFormat="1" applyFont="1" applyFill="1" applyBorder="1" applyAlignment="1">
      <alignment horizontal="center"/>
    </xf>
    <xf numFmtId="3" fontId="59" fillId="0" borderId="14" xfId="200" applyNumberFormat="1" applyFont="1" applyFill="1" applyBorder="1" applyAlignment="1">
      <alignment horizontal="center"/>
    </xf>
    <xf numFmtId="0" fontId="63" fillId="0" borderId="0" xfId="196" applyFont="1" applyFill="1" applyAlignment="1">
      <alignment horizontal="center"/>
    </xf>
    <xf numFmtId="0" fontId="44" fillId="0" borderId="36" xfId="200" applyFont="1" applyFill="1" applyBorder="1"/>
    <xf numFmtId="0" fontId="55" fillId="0" borderId="21" xfId="199" applyFill="1" applyBorder="1" applyAlignment="1">
      <alignment wrapText="1"/>
    </xf>
    <xf numFmtId="3" fontId="55" fillId="0" borderId="34" xfId="200" applyNumberFormat="1" applyFill="1" applyBorder="1"/>
    <xf numFmtId="3" fontId="55" fillId="0" borderId="24" xfId="200" applyNumberFormat="1" applyFill="1" applyBorder="1"/>
    <xf numFmtId="3" fontId="55" fillId="0" borderId="65" xfId="200" applyNumberFormat="1" applyFill="1" applyBorder="1"/>
    <xf numFmtId="3" fontId="55" fillId="0" borderId="11" xfId="200" applyNumberFormat="1" applyFill="1" applyBorder="1"/>
    <xf numFmtId="3" fontId="55" fillId="0" borderId="20" xfId="200" applyNumberFormat="1" applyFill="1" applyBorder="1"/>
    <xf numFmtId="3" fontId="55" fillId="0" borderId="38" xfId="200" applyNumberFormat="1" applyFill="1" applyBorder="1"/>
    <xf numFmtId="0" fontId="15" fillId="0" borderId="36" xfId="200" applyFont="1" applyFill="1" applyBorder="1"/>
    <xf numFmtId="0" fontId="15" fillId="0" borderId="39" xfId="199" applyFont="1" applyFill="1" applyBorder="1" applyAlignment="1">
      <alignment wrapText="1"/>
    </xf>
    <xf numFmtId="3" fontId="15" fillId="0" borderId="34" xfId="200" applyNumberFormat="1" applyFont="1" applyFill="1" applyBorder="1"/>
    <xf numFmtId="3" fontId="15" fillId="0" borderId="24" xfId="200" applyNumberFormat="1" applyFont="1" applyFill="1" applyBorder="1"/>
    <xf numFmtId="3" fontId="15" fillId="0" borderId="65" xfId="200" applyNumberFormat="1" applyFont="1" applyFill="1" applyBorder="1"/>
    <xf numFmtId="3" fontId="15" fillId="0" borderId="11" xfId="200" applyNumberFormat="1" applyFont="1" applyFill="1" applyBorder="1"/>
    <xf numFmtId="3" fontId="15" fillId="0" borderId="81" xfId="200" applyNumberFormat="1" applyFont="1" applyFill="1" applyBorder="1"/>
    <xf numFmtId="3" fontId="15" fillId="0" borderId="74" xfId="200" applyNumberFormat="1" applyFont="1" applyFill="1" applyBorder="1"/>
    <xf numFmtId="3" fontId="15" fillId="0" borderId="38" xfId="200" applyNumberFormat="1" applyFont="1" applyFill="1" applyBorder="1"/>
    <xf numFmtId="0" fontId="15" fillId="0" borderId="0" xfId="196" applyFont="1" applyFill="1"/>
    <xf numFmtId="3" fontId="55" fillId="0" borderId="81" xfId="200" applyNumberFormat="1" applyFill="1" applyBorder="1"/>
    <xf numFmtId="3" fontId="55" fillId="0" borderId="74" xfId="200" applyNumberFormat="1" applyFill="1" applyBorder="1"/>
    <xf numFmtId="0" fontId="44" fillId="0" borderId="10" xfId="200" applyFont="1" applyFill="1" applyBorder="1"/>
    <xf numFmtId="0" fontId="56" fillId="0" borderId="14" xfId="199" applyFont="1" applyFill="1" applyBorder="1" applyAlignment="1">
      <alignment wrapText="1"/>
    </xf>
    <xf numFmtId="3" fontId="56" fillId="0" borderId="10" xfId="200" applyNumberFormat="1" applyFont="1" applyFill="1" applyBorder="1"/>
    <xf numFmtId="3" fontId="15" fillId="0" borderId="20" xfId="200" applyNumberFormat="1" applyFont="1" applyFill="1" applyBorder="1"/>
    <xf numFmtId="0" fontId="44" fillId="0" borderId="11" xfId="200" applyFont="1" applyFill="1" applyBorder="1"/>
    <xf numFmtId="0" fontId="15" fillId="0" borderId="21" xfId="199" applyFont="1" applyFill="1" applyBorder="1" applyAlignment="1">
      <alignment wrapText="1"/>
    </xf>
    <xf numFmtId="3" fontId="13" fillId="0" borderId="11" xfId="200" applyNumberFormat="1" applyFont="1" applyFill="1" applyBorder="1"/>
    <xf numFmtId="3" fontId="13" fillId="0" borderId="38" xfId="200" applyNumberFormat="1" applyFont="1" applyFill="1" applyBorder="1"/>
    <xf numFmtId="0" fontId="55" fillId="0" borderId="37" xfId="199" applyFill="1" applyBorder="1" applyAlignment="1">
      <alignment wrapText="1"/>
    </xf>
    <xf numFmtId="3" fontId="55" fillId="0" borderId="63" xfId="200" applyNumberFormat="1" applyFill="1" applyBorder="1"/>
    <xf numFmtId="3" fontId="55" fillId="0" borderId="23" xfId="200" applyNumberFormat="1" applyFill="1" applyBorder="1"/>
    <xf numFmtId="3" fontId="55" fillId="0" borderId="19" xfId="200" applyNumberFormat="1" applyFill="1" applyBorder="1"/>
    <xf numFmtId="3" fontId="55" fillId="0" borderId="64" xfId="200" applyNumberFormat="1" applyFill="1" applyBorder="1"/>
    <xf numFmtId="3" fontId="55" fillId="0" borderId="36" xfId="200" applyNumberFormat="1" applyFill="1" applyBorder="1"/>
    <xf numFmtId="3" fontId="15" fillId="0" borderId="63" xfId="200" applyNumberFormat="1" applyFont="1" applyFill="1" applyBorder="1"/>
    <xf numFmtId="3" fontId="15" fillId="0" borderId="23" xfId="200" applyNumberFormat="1" applyFont="1" applyFill="1" applyBorder="1"/>
    <xf numFmtId="3" fontId="15" fillId="0" borderId="36" xfId="200" applyNumberFormat="1" applyFont="1" applyFill="1" applyBorder="1"/>
    <xf numFmtId="3" fontId="13" fillId="0" borderId="36" xfId="200" applyNumberFormat="1" applyFont="1" applyFill="1" applyBorder="1"/>
    <xf numFmtId="0" fontId="13" fillId="0" borderId="36" xfId="200" applyFont="1" applyFill="1" applyBorder="1"/>
    <xf numFmtId="3" fontId="13" fillId="0" borderId="34" xfId="200" applyNumberFormat="1" applyFont="1" applyFill="1" applyBorder="1"/>
    <xf numFmtId="3" fontId="13" fillId="0" borderId="24" xfId="200" applyNumberFormat="1" applyFont="1" applyFill="1" applyBorder="1"/>
    <xf numFmtId="3" fontId="13" fillId="0" borderId="65" xfId="200" applyNumberFormat="1" applyFont="1" applyFill="1" applyBorder="1"/>
    <xf numFmtId="3" fontId="13" fillId="0" borderId="81" xfId="200" applyNumberFormat="1" applyFont="1" applyFill="1" applyBorder="1"/>
    <xf numFmtId="3" fontId="13" fillId="0" borderId="74" xfId="200" applyNumberFormat="1" applyFont="1" applyFill="1" applyBorder="1"/>
    <xf numFmtId="3" fontId="13" fillId="0" borderId="20" xfId="200" applyNumberFormat="1" applyFont="1" applyFill="1" applyBorder="1"/>
    <xf numFmtId="0" fontId="15" fillId="0" borderId="11" xfId="200" applyFont="1" applyFill="1" applyBorder="1"/>
    <xf numFmtId="0" fontId="44" fillId="0" borderId="43" xfId="200" applyFont="1" applyFill="1" applyBorder="1"/>
    <xf numFmtId="0" fontId="55" fillId="0" borderId="104" xfId="199" applyFill="1" applyBorder="1" applyAlignment="1">
      <alignment wrapText="1"/>
    </xf>
    <xf numFmtId="3" fontId="55" fillId="0" borderId="110" xfId="200" applyNumberFormat="1" applyFill="1" applyBorder="1"/>
    <xf numFmtId="3" fontId="55" fillId="0" borderId="17" xfId="200" applyNumberFormat="1" applyFill="1" applyBorder="1"/>
    <xf numFmtId="3" fontId="55" fillId="0" borderId="97" xfId="200" applyNumberFormat="1" applyFill="1" applyBorder="1"/>
    <xf numFmtId="3" fontId="55" fillId="0" borderId="43" xfId="200" applyNumberFormat="1" applyFill="1" applyBorder="1"/>
    <xf numFmtId="3" fontId="55" fillId="0" borderId="86" xfId="200" applyNumberFormat="1" applyFill="1" applyBorder="1"/>
    <xf numFmtId="0" fontId="56" fillId="0" borderId="104" xfId="199" applyFont="1" applyFill="1" applyBorder="1" applyAlignment="1">
      <alignment wrapText="1"/>
    </xf>
    <xf numFmtId="3" fontId="56" fillId="0" borderId="86" xfId="200" applyNumberFormat="1" applyFont="1" applyFill="1" applyBorder="1"/>
    <xf numFmtId="3" fontId="56" fillId="0" borderId="17" xfId="200" applyNumberFormat="1" applyFont="1" applyFill="1" applyBorder="1"/>
    <xf numFmtId="3" fontId="56" fillId="0" borderId="97" xfId="200" applyNumberFormat="1" applyFont="1" applyFill="1" applyBorder="1"/>
    <xf numFmtId="3" fontId="56" fillId="0" borderId="43" xfId="200" applyNumberFormat="1" applyFont="1" applyFill="1" applyBorder="1"/>
    <xf numFmtId="3" fontId="56" fillId="0" borderId="110" xfId="200" applyNumberFormat="1" applyFont="1" applyFill="1" applyBorder="1"/>
    <xf numFmtId="0" fontId="55" fillId="0" borderId="48" xfId="199" applyFill="1" applyBorder="1" applyAlignment="1">
      <alignment wrapText="1"/>
    </xf>
    <xf numFmtId="3" fontId="15" fillId="0" borderId="116" xfId="200" applyNumberFormat="1" applyFont="1" applyFill="1" applyBorder="1"/>
    <xf numFmtId="3" fontId="55" fillId="0" borderId="72" xfId="200" applyNumberFormat="1" applyFill="1" applyBorder="1"/>
    <xf numFmtId="3" fontId="55" fillId="0" borderId="73" xfId="200" applyNumberFormat="1" applyFill="1" applyBorder="1"/>
    <xf numFmtId="3" fontId="15" fillId="0" borderId="64" xfId="200" applyNumberFormat="1" applyFont="1" applyFill="1" applyBorder="1"/>
    <xf numFmtId="3" fontId="13" fillId="0" borderId="63" xfId="200" applyNumberFormat="1" applyFont="1" applyFill="1" applyBorder="1"/>
    <xf numFmtId="3" fontId="13" fillId="0" borderId="23" xfId="200" applyNumberFormat="1" applyFont="1" applyFill="1" applyBorder="1"/>
    <xf numFmtId="3" fontId="13" fillId="0" borderId="64" xfId="200" applyNumberFormat="1" applyFont="1" applyFill="1" applyBorder="1"/>
    <xf numFmtId="0" fontId="56" fillId="0" borderId="10" xfId="199" applyFont="1" applyFill="1" applyBorder="1" applyAlignment="1">
      <alignment wrapText="1"/>
    </xf>
    <xf numFmtId="3" fontId="56" fillId="0" borderId="14" xfId="200" applyNumberFormat="1" applyFont="1" applyFill="1" applyBorder="1"/>
    <xf numFmtId="3" fontId="15" fillId="0" borderId="25" xfId="200" applyNumberFormat="1" applyFont="1" applyFill="1" applyBorder="1"/>
    <xf numFmtId="3" fontId="15" fillId="0" borderId="21" xfId="200" applyNumberFormat="1" applyFont="1" applyFill="1" applyBorder="1"/>
    <xf numFmtId="3" fontId="15" fillId="0" borderId="26" xfId="200" applyNumberFormat="1" applyFont="1" applyFill="1" applyBorder="1"/>
    <xf numFmtId="3" fontId="13" fillId="0" borderId="26" xfId="200" applyNumberFormat="1" applyFont="1" applyFill="1" applyBorder="1"/>
    <xf numFmtId="3" fontId="13" fillId="0" borderId="21" xfId="200" applyNumberFormat="1" applyFont="1" applyFill="1" applyBorder="1"/>
    <xf numFmtId="3" fontId="13" fillId="0" borderId="25" xfId="200" applyNumberFormat="1" applyFont="1" applyFill="1" applyBorder="1"/>
    <xf numFmtId="0" fontId="15" fillId="0" borderId="83" xfId="200" applyFont="1" applyFill="1" applyBorder="1"/>
    <xf numFmtId="3" fontId="15" fillId="0" borderId="117" xfId="200" applyNumberFormat="1" applyFont="1" applyFill="1" applyBorder="1"/>
    <xf numFmtId="3" fontId="15" fillId="0" borderId="115" xfId="200" applyNumberFormat="1" applyFont="1" applyFill="1" applyBorder="1"/>
    <xf numFmtId="3" fontId="15" fillId="0" borderId="73" xfId="200" applyNumberFormat="1" applyFont="1" applyFill="1" applyBorder="1"/>
    <xf numFmtId="0" fontId="13" fillId="0" borderId="11" xfId="200" applyFont="1" applyFill="1" applyBorder="1"/>
    <xf numFmtId="0" fontId="13" fillId="0" borderId="39" xfId="199" applyFont="1" applyFill="1" applyBorder="1" applyAlignment="1">
      <alignment wrapText="1"/>
    </xf>
    <xf numFmtId="3" fontId="30" fillId="0" borderId="0" xfId="196" applyNumberFormat="1" applyFont="1" applyFill="1"/>
    <xf numFmtId="0" fontId="30" fillId="0" borderId="0" xfId="196" applyFont="1" applyFill="1"/>
    <xf numFmtId="0" fontId="46" fillId="0" borderId="104" xfId="199" applyFont="1" applyFill="1" applyBorder="1" applyAlignment="1">
      <alignment wrapText="1"/>
    </xf>
    <xf numFmtId="0" fontId="14" fillId="0" borderId="11" xfId="200" applyFont="1" applyFill="1" applyBorder="1"/>
    <xf numFmtId="0" fontId="14" fillId="0" borderId="39" xfId="199" applyFont="1" applyFill="1" applyBorder="1" applyAlignment="1">
      <alignment wrapText="1"/>
    </xf>
    <xf numFmtId="3" fontId="14" fillId="0" borderId="34" xfId="200" applyNumberFormat="1" applyFont="1" applyFill="1" applyBorder="1"/>
    <xf numFmtId="3" fontId="14" fillId="0" borderId="11" xfId="200" applyNumberFormat="1" applyFont="1" applyFill="1" applyBorder="1"/>
    <xf numFmtId="3" fontId="46" fillId="0" borderId="21" xfId="199" applyNumberFormat="1" applyFont="1" applyFill="1" applyBorder="1" applyAlignment="1">
      <alignment wrapText="1"/>
    </xf>
    <xf numFmtId="3" fontId="14" fillId="0" borderId="65" xfId="200" applyNumberFormat="1" applyFont="1" applyFill="1" applyBorder="1"/>
    <xf numFmtId="3" fontId="14" fillId="0" borderId="20" xfId="200" applyNumberFormat="1" applyFont="1" applyFill="1" applyBorder="1"/>
    <xf numFmtId="0" fontId="46" fillId="0" borderId="39" xfId="199" applyFont="1" applyFill="1" applyBorder="1" applyAlignment="1">
      <alignment wrapText="1"/>
    </xf>
    <xf numFmtId="0" fontId="71" fillId="0" borderId="0" xfId="271" applyFont="1" applyFill="1"/>
    <xf numFmtId="0" fontId="60" fillId="0" borderId="53" xfId="199" applyFont="1" applyFill="1" applyBorder="1" applyAlignment="1">
      <alignment horizontal="center" vertical="center" wrapText="1"/>
    </xf>
    <xf numFmtId="3" fontId="39" fillId="0" borderId="136" xfId="265" applyNumberFormat="1" applyFont="1" applyFill="1" applyBorder="1" applyAlignment="1">
      <alignment horizontal="left"/>
    </xf>
    <xf numFmtId="2" fontId="39" fillId="0" borderId="46" xfId="265" applyNumberFormat="1" applyFont="1" applyFill="1" applyBorder="1" applyAlignment="1">
      <alignment horizontal="center"/>
    </xf>
    <xf numFmtId="2" fontId="70" fillId="0" borderId="46" xfId="265" applyNumberFormat="1" applyFont="1" applyFill="1" applyBorder="1" applyAlignment="1">
      <alignment horizontal="center"/>
    </xf>
    <xf numFmtId="2" fontId="74" fillId="0" borderId="46" xfId="265" applyNumberFormat="1" applyFont="1" applyFill="1" applyBorder="1" applyAlignment="1">
      <alignment horizontal="center"/>
    </xf>
    <xf numFmtId="2" fontId="74" fillId="0" borderId="114" xfId="265" applyNumberFormat="1" applyFont="1" applyFill="1" applyBorder="1" applyAlignment="1">
      <alignment horizontal="center"/>
    </xf>
    <xf numFmtId="3" fontId="39" fillId="0" borderId="64" xfId="265" applyNumberFormat="1" applyFont="1" applyFill="1" applyBorder="1" applyAlignment="1">
      <alignment horizontal="left"/>
    </xf>
    <xf numFmtId="2" fontId="39" fillId="0" borderId="33" xfId="265" applyNumberFormat="1" applyFont="1" applyFill="1" applyBorder="1" applyAlignment="1">
      <alignment horizontal="center"/>
    </xf>
    <xf numFmtId="2" fontId="70" fillId="0" borderId="33" xfId="265" applyNumberFormat="1" applyFont="1" applyFill="1" applyBorder="1" applyAlignment="1">
      <alignment horizontal="center"/>
    </xf>
    <xf numFmtId="2" fontId="74" fillId="0" borderId="33" xfId="265" applyNumberFormat="1" applyFont="1" applyFill="1" applyBorder="1" applyAlignment="1">
      <alignment horizontal="center"/>
    </xf>
    <xf numFmtId="2" fontId="74" fillId="0" borderId="33" xfId="265" applyNumberFormat="1" applyFont="1" applyFill="1" applyBorder="1" applyAlignment="1">
      <alignment horizontal="center" wrapText="1"/>
    </xf>
    <xf numFmtId="3" fontId="40" fillId="0" borderId="36" xfId="265" applyNumberFormat="1" applyFont="1" applyFill="1" applyBorder="1" applyAlignment="1">
      <alignment horizontal="left"/>
    </xf>
    <xf numFmtId="4" fontId="40" fillId="0" borderId="36" xfId="272" applyNumberFormat="1" applyFont="1" applyFill="1" applyBorder="1" applyAlignment="1">
      <alignment horizontal="center"/>
    </xf>
    <xf numFmtId="4" fontId="40" fillId="0" borderId="37" xfId="272" applyNumberFormat="1" applyFont="1" applyFill="1" applyBorder="1" applyAlignment="1">
      <alignment horizontal="center"/>
    </xf>
    <xf numFmtId="3" fontId="40" fillId="0" borderId="11" xfId="265" applyNumberFormat="1" applyFont="1" applyFill="1" applyBorder="1" applyAlignment="1">
      <alignment horizontal="left" wrapText="1"/>
    </xf>
    <xf numFmtId="4" fontId="40" fillId="0" borderId="11" xfId="272" applyNumberFormat="1" applyFont="1" applyFill="1" applyBorder="1" applyAlignment="1">
      <alignment horizontal="center"/>
    </xf>
    <xf numFmtId="4" fontId="40" fillId="0" borderId="21" xfId="272" applyNumberFormat="1" applyFont="1" applyFill="1" applyBorder="1" applyAlignment="1">
      <alignment horizontal="center"/>
    </xf>
    <xf numFmtId="3" fontId="39" fillId="0" borderId="10" xfId="265" applyNumberFormat="1" applyFont="1" applyFill="1" applyBorder="1" applyAlignment="1">
      <alignment horizontal="left"/>
    </xf>
    <xf numFmtId="4" fontId="39" fillId="0" borderId="10" xfId="265" applyNumberFormat="1" applyFont="1" applyFill="1" applyBorder="1" applyAlignment="1">
      <alignment horizontal="center"/>
    </xf>
    <xf numFmtId="3" fontId="40" fillId="0" borderId="11" xfId="265" applyNumberFormat="1" applyFont="1" applyFill="1" applyBorder="1" applyAlignment="1">
      <alignment horizontal="left"/>
    </xf>
    <xf numFmtId="4" fontId="40" fillId="0" borderId="15" xfId="272" applyNumberFormat="1" applyFont="1" applyFill="1" applyBorder="1" applyAlignment="1">
      <alignment horizontal="center"/>
    </xf>
    <xf numFmtId="4" fontId="40" fillId="0" borderId="43" xfId="272" applyNumberFormat="1" applyFont="1" applyFill="1" applyBorder="1" applyAlignment="1">
      <alignment horizontal="center"/>
    </xf>
    <xf numFmtId="3" fontId="40" fillId="0" borderId="11" xfId="265" applyNumberFormat="1" applyFont="1" applyFill="1" applyBorder="1"/>
    <xf numFmtId="4" fontId="39" fillId="0" borderId="10" xfId="265" applyNumberFormat="1" applyFont="1" applyFill="1" applyBorder="1" applyAlignment="1">
      <alignment horizontal="left"/>
    </xf>
    <xf numFmtId="3" fontId="40" fillId="0" borderId="22" xfId="265" applyNumberFormat="1" applyFont="1" applyFill="1" applyBorder="1" applyAlignment="1">
      <alignment horizontal="left"/>
    </xf>
    <xf numFmtId="2" fontId="40" fillId="0" borderId="11" xfId="265" applyNumberFormat="1" applyFont="1" applyFill="1" applyBorder="1" applyAlignment="1">
      <alignment horizontal="center"/>
    </xf>
    <xf numFmtId="3" fontId="40" fillId="0" borderId="0" xfId="265" applyNumberFormat="1" applyFont="1" applyFill="1" applyAlignment="1">
      <alignment horizontal="left"/>
    </xf>
    <xf numFmtId="0" fontId="13" fillId="0" borderId="0" xfId="206" applyFill="1"/>
    <xf numFmtId="3" fontId="40" fillId="0" borderId="118" xfId="0" applyNumberFormat="1" applyFont="1" applyFill="1" applyBorder="1"/>
    <xf numFmtId="3" fontId="40" fillId="0" borderId="31" xfId="0" applyNumberFormat="1" applyFont="1" applyFill="1" applyBorder="1"/>
    <xf numFmtId="3" fontId="0" fillId="0" borderId="69" xfId="0" applyNumberFormat="1" applyFont="1" applyFill="1" applyBorder="1" applyAlignment="1">
      <alignment vertical="top" wrapText="1"/>
    </xf>
    <xf numFmtId="0" fontId="40" fillId="0" borderId="31" xfId="196" applyFont="1" applyFill="1" applyBorder="1" applyAlignment="1">
      <alignment horizontal="left" vertical="top" wrapText="1"/>
    </xf>
    <xf numFmtId="0" fontId="40" fillId="0" borderId="31" xfId="196" applyFont="1" applyFill="1" applyBorder="1" applyAlignment="1">
      <alignment vertical="top" wrapText="1"/>
    </xf>
    <xf numFmtId="3" fontId="40" fillId="0" borderId="32" xfId="197" applyNumberFormat="1" applyFont="1" applyFill="1" applyBorder="1"/>
    <xf numFmtId="3" fontId="0" fillId="0" borderId="24" xfId="262" applyNumberFormat="1" applyFont="1" applyFill="1" applyBorder="1"/>
    <xf numFmtId="3" fontId="40" fillId="0" borderId="34" xfId="0" applyNumberFormat="1" applyFont="1" applyFill="1" applyBorder="1"/>
    <xf numFmtId="0" fontId="0" fillId="0" borderId="56" xfId="195" applyFont="1" applyFill="1" applyBorder="1" applyAlignment="1">
      <alignment wrapText="1"/>
    </xf>
    <xf numFmtId="0" fontId="0" fillId="0" borderId="56" xfId="157" applyFont="1" applyFill="1" applyBorder="1" applyAlignment="1">
      <alignment wrapText="1"/>
    </xf>
    <xf numFmtId="3" fontId="0" fillId="0" borderId="31" xfId="195" applyNumberFormat="1" applyFont="1" applyFill="1" applyBorder="1"/>
    <xf numFmtId="3" fontId="40" fillId="0" borderId="94" xfId="195" applyNumberFormat="1" applyFont="1" applyFill="1" applyBorder="1"/>
    <xf numFmtId="0" fontId="14" fillId="0" borderId="59" xfId="195" applyFont="1" applyFill="1" applyBorder="1" applyAlignment="1">
      <alignment wrapText="1"/>
    </xf>
    <xf numFmtId="0" fontId="39" fillId="0" borderId="59" xfId="196" applyFont="1" applyFill="1" applyBorder="1" applyAlignment="1">
      <alignment wrapText="1"/>
    </xf>
    <xf numFmtId="0" fontId="40" fillId="0" borderId="34" xfId="0" applyFont="1" applyFill="1" applyBorder="1" applyAlignment="1">
      <alignment wrapText="1"/>
    </xf>
    <xf numFmtId="0" fontId="1" fillId="0" borderId="0" xfId="271" applyFill="1"/>
    <xf numFmtId="3" fontId="70" fillId="0" borderId="33" xfId="265" applyNumberFormat="1" applyFont="1" applyFill="1" applyBorder="1" applyAlignment="1">
      <alignment horizontal="left" vertical="center" wrapText="1"/>
    </xf>
    <xf numFmtId="3" fontId="70" fillId="0" borderId="33" xfId="265" applyNumberFormat="1" applyFont="1" applyFill="1" applyBorder="1" applyAlignment="1">
      <alignment horizontal="center" vertical="center" wrapText="1"/>
    </xf>
    <xf numFmtId="0" fontId="40" fillId="0" borderId="57" xfId="199" applyFont="1" applyFill="1" applyBorder="1" applyAlignment="1">
      <alignment wrapText="1"/>
    </xf>
    <xf numFmtId="3" fontId="40" fillId="0" borderId="36" xfId="265" applyNumberFormat="1" applyFont="1" applyFill="1" applyBorder="1" applyAlignment="1">
      <alignment horizontal="right"/>
    </xf>
    <xf numFmtId="3" fontId="40" fillId="0" borderId="137" xfId="265" applyNumberFormat="1" applyFont="1" applyFill="1" applyBorder="1" applyAlignment="1">
      <alignment horizontal="right"/>
    </xf>
    <xf numFmtId="0" fontId="72" fillId="0" borderId="138" xfId="199" applyFont="1" applyFill="1" applyBorder="1" applyAlignment="1">
      <alignment wrapText="1"/>
    </xf>
    <xf numFmtId="0" fontId="39" fillId="0" borderId="139" xfId="199" applyFont="1" applyFill="1" applyBorder="1" applyAlignment="1">
      <alignment wrapText="1"/>
    </xf>
    <xf numFmtId="3" fontId="39" fillId="0" borderId="10" xfId="265" applyNumberFormat="1" applyFont="1" applyFill="1" applyBorder="1" applyAlignment="1">
      <alignment horizontal="right"/>
    </xf>
    <xf numFmtId="3" fontId="39" fillId="0" borderId="140" xfId="265" applyNumberFormat="1" applyFont="1" applyFill="1" applyBorder="1" applyAlignment="1">
      <alignment horizontal="right"/>
    </xf>
    <xf numFmtId="0" fontId="40" fillId="0" borderId="141" xfId="199" applyFont="1" applyFill="1" applyBorder="1" applyAlignment="1">
      <alignment wrapText="1"/>
    </xf>
    <xf numFmtId="0" fontId="72" fillId="0" borderId="141" xfId="199" applyFont="1" applyFill="1" applyBorder="1" applyAlignment="1">
      <alignment wrapText="1"/>
    </xf>
    <xf numFmtId="3" fontId="39" fillId="0" borderId="139" xfId="265" applyNumberFormat="1" applyFont="1" applyFill="1" applyBorder="1" applyAlignment="1">
      <alignment horizontal="left"/>
    </xf>
    <xf numFmtId="3" fontId="39" fillId="0" borderId="142" xfId="265" applyNumberFormat="1" applyFont="1" applyFill="1" applyBorder="1" applyAlignment="1">
      <alignment horizontal="left"/>
    </xf>
    <xf numFmtId="3" fontId="39" fillId="0" borderId="79" xfId="265" applyNumberFormat="1" applyFont="1" applyFill="1" applyBorder="1" applyAlignment="1">
      <alignment horizontal="right"/>
    </xf>
    <xf numFmtId="3" fontId="39" fillId="0" borderId="143" xfId="265" applyNumberFormat="1" applyFont="1" applyFill="1" applyBorder="1" applyAlignment="1">
      <alignment horizontal="right"/>
    </xf>
    <xf numFmtId="3" fontId="92" fillId="0" borderId="0" xfId="265" applyNumberFormat="1" applyFont="1" applyFill="1" applyAlignment="1">
      <alignment horizontal="left"/>
    </xf>
    <xf numFmtId="3" fontId="92" fillId="0" borderId="0" xfId="265" applyNumberFormat="1" applyFont="1" applyFill="1" applyAlignment="1">
      <alignment horizontal="right"/>
    </xf>
    <xf numFmtId="3" fontId="93" fillId="0" borderId="0" xfId="265" applyNumberFormat="1" applyFont="1" applyFill="1" applyAlignment="1">
      <alignment horizontal="left"/>
    </xf>
    <xf numFmtId="3" fontId="93" fillId="0" borderId="0" xfId="265" applyNumberFormat="1" applyFont="1" applyFill="1" applyAlignment="1">
      <alignment horizontal="right"/>
    </xf>
    <xf numFmtId="3" fontId="93" fillId="0" borderId="11" xfId="265" applyNumberFormat="1" applyFont="1" applyFill="1" applyBorder="1" applyAlignment="1">
      <alignment horizontal="left"/>
    </xf>
    <xf numFmtId="3" fontId="93" fillId="0" borderId="11" xfId="265" applyNumberFormat="1" applyFont="1" applyFill="1" applyBorder="1" applyAlignment="1">
      <alignment horizontal="right"/>
    </xf>
    <xf numFmtId="0" fontId="91" fillId="0" borderId="0" xfId="271" applyFont="1" applyFill="1" applyAlignment="1">
      <alignment horizontal="center" wrapText="1"/>
    </xf>
    <xf numFmtId="0" fontId="0" fillId="0" borderId="0" xfId="196" applyFont="1" applyFill="1" applyAlignment="1">
      <alignment vertical="center"/>
    </xf>
    <xf numFmtId="3" fontId="52" fillId="0" borderId="57" xfId="200" applyNumberFormat="1" applyFont="1" applyFill="1" applyBorder="1" applyAlignment="1">
      <alignment horizontal="right"/>
    </xf>
    <xf numFmtId="3" fontId="52" fillId="0" borderId="38" xfId="200" applyNumberFormat="1" applyFont="1" applyFill="1" applyBorder="1" applyAlignment="1">
      <alignment horizontal="right"/>
    </xf>
    <xf numFmtId="3" fontId="14" fillId="0" borderId="21" xfId="199" applyNumberFormat="1" applyFont="1" applyFill="1" applyBorder="1" applyAlignment="1">
      <alignment wrapText="1"/>
    </xf>
    <xf numFmtId="3" fontId="56" fillId="0" borderId="21" xfId="199" applyNumberFormat="1" applyFont="1" applyFill="1" applyBorder="1" applyAlignment="1">
      <alignment wrapText="1"/>
    </xf>
    <xf numFmtId="0" fontId="44" fillId="0" borderId="15" xfId="200" applyFont="1" applyFill="1" applyBorder="1"/>
    <xf numFmtId="0" fontId="55" fillId="0" borderId="98" xfId="199" applyFill="1" applyBorder="1" applyAlignment="1">
      <alignment wrapText="1"/>
    </xf>
    <xf numFmtId="3" fontId="55" fillId="0" borderId="111" xfId="200" applyNumberFormat="1" applyFill="1" applyBorder="1"/>
    <xf numFmtId="3" fontId="55" fillId="0" borderId="28" xfId="200" applyNumberFormat="1" applyFill="1" applyBorder="1"/>
    <xf numFmtId="3" fontId="55" fillId="0" borderId="144" xfId="200" applyNumberFormat="1" applyFill="1" applyBorder="1"/>
    <xf numFmtId="3" fontId="13" fillId="0" borderId="15" xfId="200" applyNumberFormat="1" applyFont="1" applyFill="1" applyBorder="1"/>
    <xf numFmtId="3" fontId="55" fillId="0" borderId="99" xfId="200" applyNumberFormat="1" applyFill="1" applyBorder="1"/>
    <xf numFmtId="3" fontId="55" fillId="0" borderId="15" xfId="200" applyNumberFormat="1" applyFill="1" applyBorder="1"/>
    <xf numFmtId="0" fontId="44" fillId="0" borderId="145" xfId="200" applyFont="1" applyFill="1" applyBorder="1"/>
    <xf numFmtId="0" fontId="55" fillId="0" borderId="56" xfId="199" applyFill="1" applyBorder="1" applyAlignment="1">
      <alignment wrapText="1"/>
    </xf>
    <xf numFmtId="3" fontId="55" fillId="0" borderId="56" xfId="200" applyNumberFormat="1" applyFill="1" applyBorder="1"/>
    <xf numFmtId="3" fontId="13" fillId="0" borderId="56" xfId="200" applyNumberFormat="1" applyFont="1" applyFill="1" applyBorder="1"/>
    <xf numFmtId="3" fontId="13" fillId="0" borderId="57" xfId="200" applyNumberFormat="1" applyFont="1" applyFill="1" applyBorder="1"/>
    <xf numFmtId="0" fontId="44" fillId="0" borderId="146" xfId="200" applyFont="1" applyFill="1" applyBorder="1"/>
    <xf numFmtId="0" fontId="55" fillId="0" borderId="147" xfId="199" applyFill="1" applyBorder="1" applyAlignment="1">
      <alignment wrapText="1"/>
    </xf>
    <xf numFmtId="3" fontId="55" fillId="0" borderId="147" xfId="200" applyNumberFormat="1" applyFill="1" applyBorder="1"/>
    <xf numFmtId="3" fontId="13" fillId="0" borderId="147" xfId="200" applyNumberFormat="1" applyFont="1" applyFill="1" applyBorder="1"/>
    <xf numFmtId="3" fontId="13" fillId="0" borderId="148" xfId="200" applyNumberFormat="1" applyFont="1" applyFill="1" applyBorder="1"/>
    <xf numFmtId="0" fontId="39" fillId="0" borderId="85" xfId="260" applyFont="1" applyFill="1" applyBorder="1"/>
    <xf numFmtId="3" fontId="39" fillId="0" borderId="94" xfId="260" applyNumberFormat="1" applyFont="1" applyFill="1" applyBorder="1"/>
    <xf numFmtId="0" fontId="39" fillId="0" borderId="149" xfId="260" applyFont="1" applyFill="1" applyBorder="1"/>
    <xf numFmtId="0" fontId="39" fillId="0" borderId="81" xfId="260" applyFont="1" applyFill="1" applyBorder="1" applyAlignment="1">
      <alignment wrapText="1"/>
    </xf>
    <xf numFmtId="3" fontId="39" fillId="0" borderId="81" xfId="260" applyNumberFormat="1" applyFont="1" applyFill="1" applyBorder="1"/>
    <xf numFmtId="3" fontId="39" fillId="0" borderId="121" xfId="260" applyNumberFormat="1" applyFont="1" applyFill="1" applyBorder="1"/>
    <xf numFmtId="0" fontId="39" fillId="0" borderId="34" xfId="260" applyFont="1" applyFill="1" applyBorder="1" applyAlignment="1">
      <alignment wrapText="1"/>
    </xf>
    <xf numFmtId="3" fontId="13" fillId="0" borderId="111" xfId="200" applyNumberFormat="1" applyFont="1" applyFill="1" applyBorder="1"/>
    <xf numFmtId="3" fontId="13" fillId="0" borderId="28" xfId="200" applyNumberFormat="1" applyFont="1" applyFill="1" applyBorder="1"/>
    <xf numFmtId="3" fontId="13" fillId="0" borderId="144" xfId="200" applyNumberFormat="1" applyFont="1" applyFill="1" applyBorder="1"/>
    <xf numFmtId="3" fontId="15" fillId="0" borderId="28" xfId="200" applyNumberFormat="1" applyFont="1" applyFill="1" applyBorder="1"/>
    <xf numFmtId="3" fontId="13" fillId="0" borderId="99" xfId="200" applyNumberFormat="1" applyFont="1" applyFill="1" applyBorder="1"/>
    <xf numFmtId="3" fontId="15" fillId="0" borderId="144" xfId="200" applyNumberFormat="1" applyFont="1" applyFill="1" applyBorder="1"/>
    <xf numFmtId="3" fontId="15" fillId="0" borderId="15" xfId="200" applyNumberFormat="1" applyFont="1" applyFill="1" applyBorder="1"/>
    <xf numFmtId="0" fontId="15" fillId="0" borderId="15" xfId="200" applyFont="1" applyFill="1" applyBorder="1"/>
    <xf numFmtId="0" fontId="14" fillId="0" borderId="21" xfId="199" applyFont="1" applyFill="1" applyBorder="1" applyAlignment="1">
      <alignment wrapText="1"/>
    </xf>
    <xf numFmtId="0" fontId="40" fillId="0" borderId="57" xfId="199" applyFont="1" applyFill="1" applyBorder="1" applyAlignment="1">
      <alignment horizontal="left" wrapText="1"/>
    </xf>
    <xf numFmtId="3" fontId="14" fillId="0" borderId="0" xfId="0" applyNumberFormat="1" applyFont="1" applyFill="1" applyAlignment="1">
      <alignment horizontal="center"/>
    </xf>
    <xf numFmtId="2" fontId="96" fillId="0" borderId="33" xfId="265" applyNumberFormat="1" applyFont="1" applyFill="1" applyBorder="1" applyAlignment="1">
      <alignment horizontal="center" wrapText="1"/>
    </xf>
    <xf numFmtId="3" fontId="15" fillId="0" borderId="31" xfId="0" applyNumberFormat="1" applyFont="1" applyFill="1" applyBorder="1" applyAlignment="1">
      <alignment wrapText="1"/>
    </xf>
    <xf numFmtId="0" fontId="34" fillId="0" borderId="81" xfId="0" applyFont="1" applyFill="1" applyBorder="1" applyAlignment="1">
      <alignment wrapText="1"/>
    </xf>
    <xf numFmtId="3" fontId="0" fillId="0" borderId="39" xfId="199" applyNumberFormat="1" applyFont="1" applyFill="1" applyBorder="1" applyAlignment="1">
      <alignment wrapText="1"/>
    </xf>
    <xf numFmtId="0" fontId="0" fillId="0" borderId="24" xfId="196" applyFont="1" applyFill="1" applyBorder="1" applyAlignment="1">
      <alignment vertical="center" wrapText="1"/>
    </xf>
    <xf numFmtId="3" fontId="14" fillId="0" borderId="35" xfId="174" applyNumberFormat="1" applyFont="1" applyFill="1" applyBorder="1" applyAlignment="1">
      <alignment horizontal="center"/>
    </xf>
    <xf numFmtId="3" fontId="14" fillId="0" borderId="80" xfId="174" applyNumberFormat="1" applyFont="1" applyFill="1" applyBorder="1" applyAlignment="1">
      <alignment horizontal="center"/>
    </xf>
    <xf numFmtId="3" fontId="14" fillId="0" borderId="14" xfId="174" applyNumberFormat="1" applyFont="1" applyFill="1" applyBorder="1" applyAlignment="1">
      <alignment horizontal="center"/>
    </xf>
    <xf numFmtId="3" fontId="14" fillId="0" borderId="35" xfId="174" applyNumberFormat="1" applyFont="1" applyFill="1" applyBorder="1" applyAlignment="1">
      <alignment horizontal="center" wrapText="1"/>
    </xf>
    <xf numFmtId="3" fontId="14" fillId="0" borderId="80" xfId="174" applyNumberFormat="1" applyFont="1" applyFill="1" applyBorder="1" applyAlignment="1">
      <alignment horizontal="center" wrapText="1"/>
    </xf>
    <xf numFmtId="3" fontId="14" fillId="0" borderId="14" xfId="174" applyNumberFormat="1" applyFont="1" applyFill="1" applyBorder="1" applyAlignment="1">
      <alignment horizontal="center" wrapText="1"/>
    </xf>
    <xf numFmtId="3" fontId="14" fillId="0" borderId="10" xfId="174" applyNumberFormat="1" applyFont="1" applyFill="1" applyBorder="1" applyAlignment="1">
      <alignment horizontal="center" wrapText="1"/>
    </xf>
    <xf numFmtId="3" fontId="14" fillId="0" borderId="10" xfId="174" applyNumberFormat="1" applyFont="1" applyFill="1" applyBorder="1" applyAlignment="1">
      <alignment horizontal="center"/>
    </xf>
    <xf numFmtId="0" fontId="39" fillId="0" borderId="0" xfId="172" applyFont="1" applyFill="1" applyAlignment="1">
      <alignment horizontal="center"/>
    </xf>
    <xf numFmtId="0" fontId="14" fillId="0" borderId="0" xfId="171" applyFont="1" applyFill="1" applyAlignment="1">
      <alignment horizontal="center"/>
    </xf>
    <xf numFmtId="3" fontId="43" fillId="0" borderId="10" xfId="171" applyNumberFormat="1" applyFont="1" applyFill="1" applyBorder="1" applyAlignment="1">
      <alignment horizontal="center"/>
    </xf>
    <xf numFmtId="3" fontId="43" fillId="0" borderId="10" xfId="171" applyNumberFormat="1" applyFont="1" applyFill="1" applyBorder="1" applyAlignment="1">
      <alignment horizontal="center" wrapText="1"/>
    </xf>
    <xf numFmtId="3" fontId="43" fillId="0" borderId="35" xfId="171" applyNumberFormat="1" applyFont="1" applyFill="1" applyBorder="1" applyAlignment="1">
      <alignment horizontal="center" wrapText="1"/>
    </xf>
    <xf numFmtId="3" fontId="43" fillId="0" borderId="80" xfId="171" applyNumberFormat="1" applyFont="1" applyFill="1" applyBorder="1" applyAlignment="1">
      <alignment horizontal="center" wrapText="1"/>
    </xf>
    <xf numFmtId="3" fontId="43" fillId="0" borderId="14" xfId="171" applyNumberFormat="1" applyFont="1" applyFill="1" applyBorder="1" applyAlignment="1">
      <alignment horizontal="center" wrapText="1"/>
    </xf>
    <xf numFmtId="0" fontId="43" fillId="0" borderId="87" xfId="174" applyFont="1" applyFill="1" applyBorder="1" applyAlignment="1">
      <alignment horizontal="center" wrapText="1"/>
    </xf>
    <xf numFmtId="0" fontId="43" fillId="0" borderId="40" xfId="174" applyFont="1" applyFill="1" applyBorder="1" applyAlignment="1">
      <alignment horizontal="center" wrapText="1"/>
    </xf>
    <xf numFmtId="0" fontId="43" fillId="0" borderId="87" xfId="171" applyFont="1" applyFill="1" applyBorder="1" applyAlignment="1">
      <alignment horizontal="center" wrapText="1"/>
    </xf>
    <xf numFmtId="0" fontId="43" fillId="0" borderId="40" xfId="171" applyFont="1" applyFill="1" applyBorder="1" applyAlignment="1">
      <alignment horizontal="center" wrapText="1"/>
    </xf>
    <xf numFmtId="3" fontId="43" fillId="0" borderId="35" xfId="171" applyNumberFormat="1" applyFont="1" applyFill="1" applyBorder="1" applyAlignment="1">
      <alignment horizontal="center"/>
    </xf>
    <xf numFmtId="3" fontId="43" fillId="0" borderId="80" xfId="171" applyNumberFormat="1" applyFont="1" applyFill="1" applyBorder="1" applyAlignment="1">
      <alignment horizontal="center"/>
    </xf>
    <xf numFmtId="3" fontId="43" fillId="0" borderId="14" xfId="171" applyNumberFormat="1" applyFont="1" applyFill="1" applyBorder="1" applyAlignment="1">
      <alignment horizontal="center"/>
    </xf>
    <xf numFmtId="0" fontId="14" fillId="0" borderId="24" xfId="196" applyFont="1" applyFill="1" applyBorder="1" applyAlignment="1">
      <alignment horizontal="center" vertical="center"/>
    </xf>
    <xf numFmtId="0" fontId="14" fillId="0" borderId="24" xfId="196" applyFont="1" applyFill="1" applyBorder="1" applyAlignment="1">
      <alignment horizontal="center" vertical="center" wrapText="1"/>
    </xf>
    <xf numFmtId="0" fontId="69" fillId="0" borderId="0" xfId="196" applyFont="1" applyFill="1" applyAlignment="1">
      <alignment horizontal="center" vertical="center"/>
    </xf>
    <xf numFmtId="3" fontId="58" fillId="0" borderId="35" xfId="200" applyNumberFormat="1" applyFont="1" applyFill="1" applyBorder="1" applyAlignment="1">
      <alignment horizontal="center"/>
    </xf>
    <xf numFmtId="3" fontId="58" fillId="0" borderId="14" xfId="200" applyNumberFormat="1" applyFont="1" applyFill="1" applyBorder="1" applyAlignment="1">
      <alignment horizontal="center"/>
    </xf>
    <xf numFmtId="3" fontId="90" fillId="0" borderId="0" xfId="270" applyNumberFormat="1" applyFont="1" applyFill="1" applyAlignment="1">
      <alignment horizontal="center"/>
    </xf>
    <xf numFmtId="3" fontId="60" fillId="0" borderId="88" xfId="200" applyNumberFormat="1" applyFont="1" applyFill="1" applyBorder="1" applyAlignment="1">
      <alignment horizontal="center" vertical="center" wrapText="1"/>
    </xf>
    <xf numFmtId="3" fontId="60" fillId="0" borderId="96" xfId="200" applyNumberFormat="1" applyFont="1" applyFill="1" applyBorder="1" applyAlignment="1">
      <alignment horizontal="center" vertical="center" wrapText="1"/>
    </xf>
    <xf numFmtId="3" fontId="71" fillId="0" borderId="88" xfId="270" applyNumberFormat="1" applyFont="1" applyFill="1" applyBorder="1" applyAlignment="1">
      <alignment horizontal="right"/>
    </xf>
    <xf numFmtId="3" fontId="71" fillId="0" borderId="101" xfId="270" applyNumberFormat="1" applyFont="1" applyFill="1" applyBorder="1" applyAlignment="1">
      <alignment horizontal="right"/>
    </xf>
    <xf numFmtId="3" fontId="71" fillId="0" borderId="96" xfId="270" applyNumberFormat="1" applyFont="1" applyFill="1" applyBorder="1" applyAlignment="1">
      <alignment horizontal="right"/>
    </xf>
    <xf numFmtId="3" fontId="62" fillId="0" borderId="60" xfId="200" applyNumberFormat="1" applyFont="1" applyFill="1" applyBorder="1" applyAlignment="1">
      <alignment horizontal="center"/>
    </xf>
    <xf numFmtId="3" fontId="62" fillId="0" borderId="61" xfId="200" applyNumberFormat="1" applyFont="1" applyFill="1" applyBorder="1" applyAlignment="1">
      <alignment horizontal="center"/>
    </xf>
    <xf numFmtId="3" fontId="60" fillId="0" borderId="100" xfId="200" applyNumberFormat="1" applyFont="1" applyFill="1" applyBorder="1" applyAlignment="1">
      <alignment horizontal="center" vertical="center" wrapText="1"/>
    </xf>
    <xf numFmtId="3" fontId="60" fillId="0" borderId="41" xfId="200" applyNumberFormat="1" applyFont="1" applyFill="1" applyBorder="1" applyAlignment="1">
      <alignment horizontal="center" vertical="center" wrapText="1"/>
    </xf>
    <xf numFmtId="0" fontId="14" fillId="0" borderId="0" xfId="196" applyFont="1" applyFill="1" applyAlignment="1">
      <alignment horizontal="center"/>
    </xf>
    <xf numFmtId="0" fontId="66" fillId="0" borderId="0" xfId="267" applyFont="1" applyFill="1" applyAlignment="1">
      <alignment horizontal="center" vertical="top"/>
    </xf>
    <xf numFmtId="2" fontId="39" fillId="0" borderId="129" xfId="265" applyNumberFormat="1" applyFont="1" applyFill="1" applyBorder="1" applyAlignment="1">
      <alignment horizontal="center" wrapText="1"/>
    </xf>
    <xf numFmtId="0" fontId="1" fillId="0" borderId="92" xfId="270" applyFill="1" applyBorder="1" applyAlignment="1">
      <alignment horizontal="center" wrapText="1"/>
    </xf>
    <xf numFmtId="3" fontId="14" fillId="0" borderId="0" xfId="0" applyNumberFormat="1" applyFont="1" applyFill="1" applyAlignment="1">
      <alignment horizontal="center"/>
    </xf>
    <xf numFmtId="0" fontId="66" fillId="0" borderId="0" xfId="157" applyFont="1" applyFill="1" applyAlignment="1">
      <alignment horizontal="center" wrapText="1"/>
    </xf>
    <xf numFmtId="0" fontId="39" fillId="0" borderId="0" xfId="196" applyFont="1" applyFill="1" applyAlignment="1">
      <alignment horizontal="center" wrapText="1"/>
    </xf>
    <xf numFmtId="0" fontId="13" fillId="0" borderId="0" xfId="0" applyFont="1" applyFill="1" applyAlignment="1">
      <alignment wrapText="1"/>
    </xf>
    <xf numFmtId="0" fontId="39" fillId="0" borderId="129" xfId="195" applyFont="1" applyFill="1" applyBorder="1" applyAlignment="1">
      <alignment horizontal="center" wrapText="1"/>
    </xf>
    <xf numFmtId="0" fontId="39" fillId="0" borderId="108" xfId="195" applyFont="1" applyFill="1" applyBorder="1" applyAlignment="1">
      <alignment horizontal="center" wrapText="1"/>
    </xf>
    <xf numFmtId="0" fontId="39" fillId="0" borderId="127" xfId="196" applyFont="1" applyFill="1" applyBorder="1" applyAlignment="1">
      <alignment horizontal="center" wrapText="1"/>
    </xf>
    <xf numFmtId="0" fontId="39" fillId="0" borderId="20" xfId="196" applyFont="1" applyFill="1" applyBorder="1" applyAlignment="1">
      <alignment horizontal="center" wrapText="1"/>
    </xf>
    <xf numFmtId="0" fontId="39" fillId="0" borderId="33" xfId="196" applyFont="1" applyFill="1" applyBorder="1" applyAlignment="1">
      <alignment horizontal="center" wrapText="1"/>
    </xf>
    <xf numFmtId="0" fontId="39" fillId="0" borderId="0" xfId="206" applyFont="1" applyFill="1" applyAlignment="1">
      <alignment horizontal="center" wrapText="1"/>
    </xf>
    <xf numFmtId="3" fontId="14" fillId="0" borderId="10" xfId="173" applyNumberFormat="1" applyFont="1" applyFill="1" applyBorder="1" applyAlignment="1">
      <alignment horizontal="center" wrapText="1"/>
    </xf>
    <xf numFmtId="3" fontId="45" fillId="0" borderId="10" xfId="173" applyNumberFormat="1" applyFont="1" applyFill="1" applyBorder="1" applyAlignment="1">
      <alignment horizontal="center" wrapText="1"/>
    </xf>
    <xf numFmtId="3" fontId="14" fillId="0" borderId="0" xfId="173" applyNumberFormat="1" applyFont="1" applyFill="1" applyAlignment="1">
      <alignment horizontal="center" wrapText="1"/>
    </xf>
    <xf numFmtId="0" fontId="45" fillId="0" borderId="87" xfId="173" applyFont="1" applyFill="1" applyBorder="1" applyAlignment="1">
      <alignment horizontal="center" wrapText="1"/>
    </xf>
    <xf numFmtId="0" fontId="45" fillId="0" borderId="83" xfId="173" applyFont="1" applyFill="1" applyBorder="1" applyAlignment="1">
      <alignment horizontal="center" wrapText="1"/>
    </xf>
    <xf numFmtId="0" fontId="45" fillId="0" borderId="40" xfId="173" applyFont="1" applyFill="1" applyBorder="1" applyAlignment="1">
      <alignment horizontal="center" wrapText="1"/>
    </xf>
    <xf numFmtId="0" fontId="46" fillId="0" borderId="87" xfId="173" applyFont="1" applyFill="1" applyBorder="1" applyAlignment="1">
      <alignment horizontal="center" wrapText="1"/>
    </xf>
    <xf numFmtId="0" fontId="46" fillId="0" borderId="83" xfId="173" applyFont="1" applyFill="1" applyBorder="1" applyAlignment="1">
      <alignment horizontal="center" wrapText="1"/>
    </xf>
    <xf numFmtId="0" fontId="46" fillId="0" borderId="40" xfId="173" applyFont="1" applyFill="1" applyBorder="1" applyAlignment="1">
      <alignment horizontal="center" wrapText="1"/>
    </xf>
    <xf numFmtId="0" fontId="66" fillId="0" borderId="0" xfId="257" applyFont="1" applyFill="1" applyAlignment="1">
      <alignment horizontal="center"/>
    </xf>
    <xf numFmtId="0" fontId="66" fillId="0" borderId="0" xfId="257" applyFont="1" applyFill="1" applyBorder="1" applyAlignment="1">
      <alignment horizontal="center"/>
    </xf>
    <xf numFmtId="3" fontId="39" fillId="0" borderId="0" xfId="265" applyNumberFormat="1" applyFont="1" applyFill="1" applyAlignment="1">
      <alignment horizontal="center" wrapText="1"/>
    </xf>
    <xf numFmtId="0" fontId="91" fillId="0" borderId="0" xfId="271" applyFont="1" applyFill="1" applyAlignment="1">
      <alignment horizontal="center" wrapText="1"/>
    </xf>
    <xf numFmtId="0" fontId="73" fillId="0" borderId="0" xfId="0" applyFont="1" applyBorder="1" applyAlignment="1">
      <alignment horizontal="center" wrapText="1"/>
    </xf>
    <xf numFmtId="0" fontId="70" fillId="0" borderId="88" xfId="0" applyFont="1" applyBorder="1" applyAlignment="1">
      <alignment horizontal="center" vertical="center" wrapText="1"/>
    </xf>
    <xf numFmtId="0" fontId="70" fillId="0" borderId="96" xfId="0" applyFont="1" applyBorder="1" applyAlignment="1">
      <alignment horizontal="center" vertical="center" wrapText="1"/>
    </xf>
    <xf numFmtId="0" fontId="80" fillId="0" borderId="134" xfId="260" quotePrefix="1" applyFont="1" applyFill="1" applyBorder="1" applyAlignment="1">
      <alignment horizontal="left" wrapText="1"/>
    </xf>
    <xf numFmtId="0" fontId="80" fillId="0" borderId="0" xfId="260" quotePrefix="1" applyFont="1" applyFill="1" applyAlignment="1">
      <alignment horizontal="left" wrapText="1"/>
    </xf>
    <xf numFmtId="0" fontId="39" fillId="0" borderId="85" xfId="260" applyFont="1" applyFill="1" applyBorder="1" applyAlignment="1">
      <alignment horizontal="left"/>
    </xf>
    <xf numFmtId="0" fontId="39" fillId="0" borderId="20" xfId="260" applyFont="1" applyFill="1" applyBorder="1" applyAlignment="1">
      <alignment horizontal="left"/>
    </xf>
    <xf numFmtId="0" fontId="39" fillId="0" borderId="94" xfId="260" applyFont="1" applyFill="1" applyBorder="1" applyAlignment="1">
      <alignment horizontal="left"/>
    </xf>
    <xf numFmtId="0" fontId="39" fillId="0" borderId="66" xfId="260" applyFont="1" applyFill="1" applyBorder="1" applyAlignment="1">
      <alignment horizontal="left"/>
    </xf>
    <xf numFmtId="0" fontId="39" fillId="0" borderId="133" xfId="260" applyFont="1" applyFill="1" applyBorder="1" applyAlignment="1">
      <alignment horizontal="left"/>
    </xf>
    <xf numFmtId="0" fontId="39" fillId="0" borderId="67" xfId="260" applyFont="1" applyFill="1" applyBorder="1" applyAlignment="1">
      <alignment horizontal="left"/>
    </xf>
  </cellXfs>
  <cellStyles count="273">
    <cellStyle name="20% - 1. jelölőszín" xfId="1" builtinId="30" customBuiltin="1"/>
    <cellStyle name="20% - 1. jelölőszín 2" xfId="2" xr:uid="{00000000-0005-0000-0000-000003000000}"/>
    <cellStyle name="20% - 1. jelölőszín 3" xfId="3" xr:uid="{00000000-0005-0000-0000-000004000000}"/>
    <cellStyle name="20% - 1. jelölőszín 4" xfId="209" xr:uid="{00000000-0005-0000-0000-000005000000}"/>
    <cellStyle name="20% - 2. jelölőszín" xfId="4" builtinId="34" customBuiltin="1"/>
    <cellStyle name="20% - 2. jelölőszín 2" xfId="5" xr:uid="{00000000-0005-0000-0000-000007000000}"/>
    <cellStyle name="20% - 2. jelölőszín 3" xfId="6" xr:uid="{00000000-0005-0000-0000-000008000000}"/>
    <cellStyle name="20% - 2. jelölőszín 4" xfId="210" xr:uid="{00000000-0005-0000-0000-000009000000}"/>
    <cellStyle name="20% - 3. jelölőszín" xfId="7" builtinId="38" customBuiltin="1"/>
    <cellStyle name="20% - 3. jelölőszín 2" xfId="8" xr:uid="{00000000-0005-0000-0000-00000B000000}"/>
    <cellStyle name="20% - 3. jelölőszín 3" xfId="9" xr:uid="{00000000-0005-0000-0000-00000C000000}"/>
    <cellStyle name="20% - 3. jelölőszín 4" xfId="211" xr:uid="{00000000-0005-0000-0000-00000D000000}"/>
    <cellStyle name="20% - 4. jelölőszín" xfId="10" builtinId="42" customBuiltin="1"/>
    <cellStyle name="20% - 4. jelölőszín 2" xfId="11" xr:uid="{00000000-0005-0000-0000-00000F000000}"/>
    <cellStyle name="20% - 4. jelölőszín 3" xfId="12" xr:uid="{00000000-0005-0000-0000-000010000000}"/>
    <cellStyle name="20% - 4. jelölőszín 4" xfId="212" xr:uid="{00000000-0005-0000-0000-000011000000}"/>
    <cellStyle name="20% - 5. jelölőszín" xfId="13" builtinId="46" customBuiltin="1"/>
    <cellStyle name="20% - 5. jelölőszín 2" xfId="14" xr:uid="{00000000-0005-0000-0000-000013000000}"/>
    <cellStyle name="20% - 5. jelölőszín 3" xfId="15" xr:uid="{00000000-0005-0000-0000-000014000000}"/>
    <cellStyle name="20% - 5. jelölőszín 4" xfId="213" xr:uid="{00000000-0005-0000-0000-000015000000}"/>
    <cellStyle name="20% - 6. jelölőszín" xfId="16" builtinId="50" customBuiltin="1"/>
    <cellStyle name="20% - 6. jelölőszín 2" xfId="17" xr:uid="{00000000-0005-0000-0000-000017000000}"/>
    <cellStyle name="20% - 6. jelölőszín 3" xfId="18" xr:uid="{00000000-0005-0000-0000-000018000000}"/>
    <cellStyle name="20% - 6. jelölőszín 4" xfId="214" xr:uid="{00000000-0005-0000-0000-000019000000}"/>
    <cellStyle name="20% - Accent1" xfId="19" xr:uid="{00000000-0005-0000-0000-00001A000000}"/>
    <cellStyle name="20% - Accent2" xfId="20" xr:uid="{00000000-0005-0000-0000-00001B000000}"/>
    <cellStyle name="20% - Accent3" xfId="21" xr:uid="{00000000-0005-0000-0000-00001C000000}"/>
    <cellStyle name="20% - Accent4" xfId="22" xr:uid="{00000000-0005-0000-0000-00001D000000}"/>
    <cellStyle name="20% - Accent5" xfId="23" xr:uid="{00000000-0005-0000-0000-00001E000000}"/>
    <cellStyle name="20% - Accent6" xfId="24" xr:uid="{00000000-0005-0000-0000-00001F000000}"/>
    <cellStyle name="40% - 1. jelölőszín" xfId="25" builtinId="31" customBuiltin="1"/>
    <cellStyle name="40% - 1. jelölőszín 2" xfId="26" xr:uid="{00000000-0005-0000-0000-000023000000}"/>
    <cellStyle name="40% - 1. jelölőszín 3" xfId="27" xr:uid="{00000000-0005-0000-0000-000024000000}"/>
    <cellStyle name="40% - 1. jelölőszín 4" xfId="215" xr:uid="{00000000-0005-0000-0000-000025000000}"/>
    <cellStyle name="40% - 2. jelölőszín" xfId="28" builtinId="35" customBuiltin="1"/>
    <cellStyle name="40% - 2. jelölőszín 2" xfId="29" xr:uid="{00000000-0005-0000-0000-000027000000}"/>
    <cellStyle name="40% - 2. jelölőszín 3" xfId="30" xr:uid="{00000000-0005-0000-0000-000028000000}"/>
    <cellStyle name="40% - 2. jelölőszín 4" xfId="216" xr:uid="{00000000-0005-0000-0000-000029000000}"/>
    <cellStyle name="40% - 3. jelölőszín" xfId="31" builtinId="39" customBuiltin="1"/>
    <cellStyle name="40% - 3. jelölőszín 2" xfId="32" xr:uid="{00000000-0005-0000-0000-00002B000000}"/>
    <cellStyle name="40% - 3. jelölőszín 3" xfId="33" xr:uid="{00000000-0005-0000-0000-00002C000000}"/>
    <cellStyle name="40% - 3. jelölőszín 4" xfId="217" xr:uid="{00000000-0005-0000-0000-00002D000000}"/>
    <cellStyle name="40% - 4. jelölőszín" xfId="34" builtinId="43" customBuiltin="1"/>
    <cellStyle name="40% - 4. jelölőszín 2" xfId="35" xr:uid="{00000000-0005-0000-0000-00002F000000}"/>
    <cellStyle name="40% - 4. jelölőszín 3" xfId="36" xr:uid="{00000000-0005-0000-0000-000030000000}"/>
    <cellStyle name="40% - 4. jelölőszín 4" xfId="218" xr:uid="{00000000-0005-0000-0000-000031000000}"/>
    <cellStyle name="40% - 5. jelölőszín" xfId="37" builtinId="47" customBuiltin="1"/>
    <cellStyle name="40% - 5. jelölőszín 2" xfId="38" xr:uid="{00000000-0005-0000-0000-000033000000}"/>
    <cellStyle name="40% - 5. jelölőszín 3" xfId="39" xr:uid="{00000000-0005-0000-0000-000034000000}"/>
    <cellStyle name="40% - 5. jelölőszín 4" xfId="219" xr:uid="{00000000-0005-0000-0000-000035000000}"/>
    <cellStyle name="40% - 6. jelölőszín" xfId="40" builtinId="51" customBuiltin="1"/>
    <cellStyle name="40% - 6. jelölőszín 2" xfId="41" xr:uid="{00000000-0005-0000-0000-000037000000}"/>
    <cellStyle name="40% - 6. jelölőszín 3" xfId="42" xr:uid="{00000000-0005-0000-0000-000038000000}"/>
    <cellStyle name="40% - 6. jelölőszín 4" xfId="220" xr:uid="{00000000-0005-0000-0000-000039000000}"/>
    <cellStyle name="40% - Accent1" xfId="43" xr:uid="{00000000-0005-0000-0000-00003A000000}"/>
    <cellStyle name="40% - Accent2" xfId="44" xr:uid="{00000000-0005-0000-0000-00003B000000}"/>
    <cellStyle name="40% - Accent3" xfId="45" xr:uid="{00000000-0005-0000-0000-00003C000000}"/>
    <cellStyle name="40% - Accent4" xfId="46" xr:uid="{00000000-0005-0000-0000-00003D000000}"/>
    <cellStyle name="40% - Accent5" xfId="47" xr:uid="{00000000-0005-0000-0000-00003E000000}"/>
    <cellStyle name="40% - Accent6" xfId="48" xr:uid="{00000000-0005-0000-0000-00003F000000}"/>
    <cellStyle name="60% - 1. jelölőszín" xfId="49" builtinId="32" customBuiltin="1"/>
    <cellStyle name="60% - 1. jelölőszín 2" xfId="50" xr:uid="{00000000-0005-0000-0000-000043000000}"/>
    <cellStyle name="60% - 1. jelölőszín 3" xfId="51" xr:uid="{00000000-0005-0000-0000-000044000000}"/>
    <cellStyle name="60% - 1. jelölőszín 4" xfId="221" xr:uid="{00000000-0005-0000-0000-000045000000}"/>
    <cellStyle name="60% - 2. jelölőszín" xfId="52" builtinId="36" customBuiltin="1"/>
    <cellStyle name="60% - 2. jelölőszín 2" xfId="53" xr:uid="{00000000-0005-0000-0000-000047000000}"/>
    <cellStyle name="60% - 2. jelölőszín 3" xfId="54" xr:uid="{00000000-0005-0000-0000-000048000000}"/>
    <cellStyle name="60% - 2. jelölőszín 4" xfId="222" xr:uid="{00000000-0005-0000-0000-000049000000}"/>
    <cellStyle name="60% - 3. jelölőszín" xfId="55" builtinId="40" customBuiltin="1"/>
    <cellStyle name="60% - 3. jelölőszín 2" xfId="56" xr:uid="{00000000-0005-0000-0000-00004B000000}"/>
    <cellStyle name="60% - 3. jelölőszín 3" xfId="57" xr:uid="{00000000-0005-0000-0000-00004C000000}"/>
    <cellStyle name="60% - 3. jelölőszín 4" xfId="223" xr:uid="{00000000-0005-0000-0000-00004D000000}"/>
    <cellStyle name="60% - 4. jelölőszín" xfId="58" builtinId="44" customBuiltin="1"/>
    <cellStyle name="60% - 4. jelölőszín 2" xfId="59" xr:uid="{00000000-0005-0000-0000-00004F000000}"/>
    <cellStyle name="60% - 4. jelölőszín 3" xfId="60" xr:uid="{00000000-0005-0000-0000-000050000000}"/>
    <cellStyle name="60% - 4. jelölőszín 4" xfId="224" xr:uid="{00000000-0005-0000-0000-000051000000}"/>
    <cellStyle name="60% - 5. jelölőszín" xfId="61" builtinId="48" customBuiltin="1"/>
    <cellStyle name="60% - 5. jelölőszín 2" xfId="62" xr:uid="{00000000-0005-0000-0000-000053000000}"/>
    <cellStyle name="60% - 5. jelölőszín 3" xfId="63" xr:uid="{00000000-0005-0000-0000-000054000000}"/>
    <cellStyle name="60% - 5. jelölőszín 4" xfId="225" xr:uid="{00000000-0005-0000-0000-000055000000}"/>
    <cellStyle name="60% - 6. jelölőszín" xfId="64" builtinId="52" customBuiltin="1"/>
    <cellStyle name="60% - 6. jelölőszín 2" xfId="65" xr:uid="{00000000-0005-0000-0000-000057000000}"/>
    <cellStyle name="60% - 6. jelölőszín 3" xfId="66" xr:uid="{00000000-0005-0000-0000-000058000000}"/>
    <cellStyle name="60% - 6. jelölőszín 4" xfId="226" xr:uid="{00000000-0005-0000-0000-000059000000}"/>
    <cellStyle name="60% - Accent1" xfId="67" xr:uid="{00000000-0005-0000-0000-00005A000000}"/>
    <cellStyle name="60% - Accent2" xfId="68" xr:uid="{00000000-0005-0000-0000-00005B000000}"/>
    <cellStyle name="60% - Accent3" xfId="69" xr:uid="{00000000-0005-0000-0000-00005C000000}"/>
    <cellStyle name="60% - Accent4" xfId="70" xr:uid="{00000000-0005-0000-0000-00005D000000}"/>
    <cellStyle name="60% - Accent5" xfId="71" xr:uid="{00000000-0005-0000-0000-00005E000000}"/>
    <cellStyle name="60% - Accent6" xfId="72" xr:uid="{00000000-0005-0000-0000-00005F000000}"/>
    <cellStyle name="Accent1" xfId="73" xr:uid="{00000000-0005-0000-0000-000060000000}"/>
    <cellStyle name="Accent2" xfId="74" xr:uid="{00000000-0005-0000-0000-000061000000}"/>
    <cellStyle name="Accent3" xfId="75" xr:uid="{00000000-0005-0000-0000-000062000000}"/>
    <cellStyle name="Accent4" xfId="76" xr:uid="{00000000-0005-0000-0000-000063000000}"/>
    <cellStyle name="Accent5" xfId="77" xr:uid="{00000000-0005-0000-0000-000064000000}"/>
    <cellStyle name="Accent6" xfId="78" xr:uid="{00000000-0005-0000-0000-000065000000}"/>
    <cellStyle name="Bad" xfId="79" xr:uid="{00000000-0005-0000-0000-000066000000}"/>
    <cellStyle name="Bevitel" xfId="80" builtinId="20" customBuiltin="1"/>
    <cellStyle name="Bevitel 2" xfId="81" xr:uid="{00000000-0005-0000-0000-000068000000}"/>
    <cellStyle name="Bevitel 3" xfId="82" xr:uid="{00000000-0005-0000-0000-000069000000}"/>
    <cellStyle name="Bevitel 4" xfId="227" xr:uid="{00000000-0005-0000-0000-00006A000000}"/>
    <cellStyle name="Calculation" xfId="83" xr:uid="{00000000-0005-0000-0000-00006B000000}"/>
    <cellStyle name="Check Cell" xfId="84" xr:uid="{00000000-0005-0000-0000-00006C000000}"/>
    <cellStyle name="Cím" xfId="85" builtinId="15" customBuiltin="1"/>
    <cellStyle name="Cím 2" xfId="86" xr:uid="{00000000-0005-0000-0000-00006E000000}"/>
    <cellStyle name="Cím 3" xfId="87" xr:uid="{00000000-0005-0000-0000-00006F000000}"/>
    <cellStyle name="Cím 4" xfId="228" xr:uid="{00000000-0005-0000-0000-000070000000}"/>
    <cellStyle name="Címsor 1" xfId="88" builtinId="16" customBuiltin="1"/>
    <cellStyle name="Címsor 1 2" xfId="89" xr:uid="{00000000-0005-0000-0000-000072000000}"/>
    <cellStyle name="Címsor 1 3" xfId="90" xr:uid="{00000000-0005-0000-0000-000073000000}"/>
    <cellStyle name="Címsor 1 4" xfId="229" xr:uid="{00000000-0005-0000-0000-000074000000}"/>
    <cellStyle name="Címsor 2" xfId="91" builtinId="17" customBuiltin="1"/>
    <cellStyle name="Címsor 2 2" xfId="92" xr:uid="{00000000-0005-0000-0000-000076000000}"/>
    <cellStyle name="Címsor 2 3" xfId="93" xr:uid="{00000000-0005-0000-0000-000077000000}"/>
    <cellStyle name="Címsor 2 4" xfId="230" xr:uid="{00000000-0005-0000-0000-000078000000}"/>
    <cellStyle name="Címsor 3" xfId="94" builtinId="18" customBuiltin="1"/>
    <cellStyle name="Címsor 3 2" xfId="95" xr:uid="{00000000-0005-0000-0000-00007A000000}"/>
    <cellStyle name="Címsor 3 3" xfId="96" xr:uid="{00000000-0005-0000-0000-00007B000000}"/>
    <cellStyle name="Címsor 3 4" xfId="231" xr:uid="{00000000-0005-0000-0000-00007C000000}"/>
    <cellStyle name="Címsor 4" xfId="97" builtinId="19" customBuiltin="1"/>
    <cellStyle name="Címsor 4 2" xfId="98" xr:uid="{00000000-0005-0000-0000-00007E000000}"/>
    <cellStyle name="Címsor 4 3" xfId="99" xr:uid="{00000000-0005-0000-0000-00007F000000}"/>
    <cellStyle name="Címsor 4 4" xfId="232" xr:uid="{00000000-0005-0000-0000-000080000000}"/>
    <cellStyle name="Ellenőrzőcella" xfId="100" builtinId="23" customBuiltin="1"/>
    <cellStyle name="Ellenőrzőcella 2" xfId="101" xr:uid="{00000000-0005-0000-0000-000082000000}"/>
    <cellStyle name="Ellenőrzőcella 3" xfId="102" xr:uid="{00000000-0005-0000-0000-000083000000}"/>
    <cellStyle name="Ellenőrzőcella 4" xfId="233" xr:uid="{00000000-0005-0000-0000-000084000000}"/>
    <cellStyle name="Explanatory Text" xfId="103" xr:uid="{00000000-0005-0000-0000-000085000000}"/>
    <cellStyle name="Ezres" xfId="254" builtinId="3"/>
    <cellStyle name="Ezres 2" xfId="104" xr:uid="{00000000-0005-0000-0000-000087000000}"/>
    <cellStyle name="Ezres 2 2" xfId="197" xr:uid="{00000000-0005-0000-0000-000088000000}"/>
    <cellStyle name="Ezres 3" xfId="105" xr:uid="{00000000-0005-0000-0000-000089000000}"/>
    <cellStyle name="Ezres 3 2" xfId="201" xr:uid="{00000000-0005-0000-0000-00008A000000}"/>
    <cellStyle name="Ezres 4" xfId="261" xr:uid="{00000000-0005-0000-0000-00008B000000}"/>
    <cellStyle name="Figyelmeztetés" xfId="106" builtinId="11" customBuiltin="1"/>
    <cellStyle name="Figyelmeztetés 2" xfId="107" xr:uid="{00000000-0005-0000-0000-00008D000000}"/>
    <cellStyle name="Figyelmeztetés 3" xfId="108" xr:uid="{00000000-0005-0000-0000-00008E000000}"/>
    <cellStyle name="Figyelmeztetés 4" xfId="234" xr:uid="{00000000-0005-0000-0000-00008F000000}"/>
    <cellStyle name="Good" xfId="109" xr:uid="{00000000-0005-0000-0000-000090000000}"/>
    <cellStyle name="Heading 1" xfId="110" xr:uid="{00000000-0005-0000-0000-000091000000}"/>
    <cellStyle name="Heading 2" xfId="111" xr:uid="{00000000-0005-0000-0000-000092000000}"/>
    <cellStyle name="Heading 3" xfId="112" xr:uid="{00000000-0005-0000-0000-000093000000}"/>
    <cellStyle name="Heading 4" xfId="113" xr:uid="{00000000-0005-0000-0000-000094000000}"/>
    <cellStyle name="Hivatkozott cella" xfId="114" builtinId="24" customBuiltin="1"/>
    <cellStyle name="Hivatkozott cella 2" xfId="115" xr:uid="{00000000-0005-0000-0000-000096000000}"/>
    <cellStyle name="Hivatkozott cella 3" xfId="116" xr:uid="{00000000-0005-0000-0000-000097000000}"/>
    <cellStyle name="Hivatkozott cella 4" xfId="235" xr:uid="{00000000-0005-0000-0000-000098000000}"/>
    <cellStyle name="Input" xfId="117" xr:uid="{00000000-0005-0000-0000-000099000000}"/>
    <cellStyle name="Jegyzet" xfId="118" builtinId="10" customBuiltin="1"/>
    <cellStyle name="Jegyzet 2" xfId="119" xr:uid="{00000000-0005-0000-0000-00009B000000}"/>
    <cellStyle name="Jegyzet 3" xfId="120" xr:uid="{00000000-0005-0000-0000-00009C000000}"/>
    <cellStyle name="Jegyzet 4" xfId="121" xr:uid="{00000000-0005-0000-0000-00009D000000}"/>
    <cellStyle name="Jegyzet 5" xfId="236" xr:uid="{00000000-0005-0000-0000-00009E000000}"/>
    <cellStyle name="Jelölőszín (1) 2" xfId="123" xr:uid="{00000000-0005-0000-0000-00009F000000}"/>
    <cellStyle name="Jelölőszín (1) 3" xfId="124" xr:uid="{00000000-0005-0000-0000-0000A0000000}"/>
    <cellStyle name="Jelölőszín (1) 4" xfId="237" xr:uid="{00000000-0005-0000-0000-0000A1000000}"/>
    <cellStyle name="Jelölőszín (2) 2" xfId="126" xr:uid="{00000000-0005-0000-0000-0000A2000000}"/>
    <cellStyle name="Jelölőszín (2) 3" xfId="127" xr:uid="{00000000-0005-0000-0000-0000A3000000}"/>
    <cellStyle name="Jelölőszín (2) 4" xfId="238" xr:uid="{00000000-0005-0000-0000-0000A4000000}"/>
    <cellStyle name="Jelölőszín (3) 2" xfId="129" xr:uid="{00000000-0005-0000-0000-0000A5000000}"/>
    <cellStyle name="Jelölőszín (3) 3" xfId="130" xr:uid="{00000000-0005-0000-0000-0000A6000000}"/>
    <cellStyle name="Jelölőszín (3) 4" xfId="239" xr:uid="{00000000-0005-0000-0000-0000A7000000}"/>
    <cellStyle name="Jelölőszín (4) 2" xfId="132" xr:uid="{00000000-0005-0000-0000-0000A8000000}"/>
    <cellStyle name="Jelölőszín (4) 3" xfId="133" xr:uid="{00000000-0005-0000-0000-0000A9000000}"/>
    <cellStyle name="Jelölőszín (4) 4" xfId="240" xr:uid="{00000000-0005-0000-0000-0000AA000000}"/>
    <cellStyle name="Jelölőszín (5) 2" xfId="135" xr:uid="{00000000-0005-0000-0000-0000AB000000}"/>
    <cellStyle name="Jelölőszín (5) 3" xfId="136" xr:uid="{00000000-0005-0000-0000-0000AC000000}"/>
    <cellStyle name="Jelölőszín (5) 4" xfId="241" xr:uid="{00000000-0005-0000-0000-0000AD000000}"/>
    <cellStyle name="Jelölőszín (6) 2" xfId="138" xr:uid="{00000000-0005-0000-0000-0000AE000000}"/>
    <cellStyle name="Jelölőszín (6) 3" xfId="139" xr:uid="{00000000-0005-0000-0000-0000AF000000}"/>
    <cellStyle name="Jelölőszín (6) 4" xfId="242" xr:uid="{00000000-0005-0000-0000-0000B0000000}"/>
    <cellStyle name="Jelölőszín 1" xfId="122" builtinId="29" customBuiltin="1"/>
    <cellStyle name="Jelölőszín 2" xfId="125" builtinId="33" customBuiltin="1"/>
    <cellStyle name="Jelölőszín 3" xfId="128" builtinId="37" customBuiltin="1"/>
    <cellStyle name="Jelölőszín 4" xfId="131" builtinId="41" customBuiltin="1"/>
    <cellStyle name="Jelölőszín 5" xfId="134" builtinId="45" customBuiltin="1"/>
    <cellStyle name="Jelölőszín 6" xfId="137" builtinId="49" customBuiltin="1"/>
    <cellStyle name="Jó" xfId="140" builtinId="26" customBuiltin="1"/>
    <cellStyle name="Jó 2" xfId="141" xr:uid="{00000000-0005-0000-0000-0000B2000000}"/>
    <cellStyle name="Jó 3" xfId="142" xr:uid="{00000000-0005-0000-0000-0000B3000000}"/>
    <cellStyle name="Jó 4" xfId="243" xr:uid="{00000000-0005-0000-0000-0000B4000000}"/>
    <cellStyle name="Kimenet" xfId="143" builtinId="21" customBuiltin="1"/>
    <cellStyle name="Kimenet 2" xfId="144" xr:uid="{00000000-0005-0000-0000-0000B6000000}"/>
    <cellStyle name="Kimenet 3" xfId="145" xr:uid="{00000000-0005-0000-0000-0000B7000000}"/>
    <cellStyle name="Kimenet 4" xfId="244" xr:uid="{00000000-0005-0000-0000-0000B8000000}"/>
    <cellStyle name="Linked Cell" xfId="146" xr:uid="{00000000-0005-0000-0000-0000B9000000}"/>
    <cellStyle name="Magyarázó szöveg" xfId="147" builtinId="53" customBuiltin="1"/>
    <cellStyle name="Magyarázó szöveg 2" xfId="148" xr:uid="{00000000-0005-0000-0000-0000BB000000}"/>
    <cellStyle name="Magyarázó szöveg 3" xfId="149" xr:uid="{00000000-0005-0000-0000-0000BC000000}"/>
    <cellStyle name="Magyarázó szöveg 4" xfId="245" xr:uid="{00000000-0005-0000-0000-0000BD000000}"/>
    <cellStyle name="Neutral" xfId="150" xr:uid="{00000000-0005-0000-0000-0000BE000000}"/>
    <cellStyle name="Normál" xfId="0" builtinId="0"/>
    <cellStyle name="Normál 10" xfId="151" xr:uid="{00000000-0005-0000-0000-0000C0000000}"/>
    <cellStyle name="Normál 11" xfId="198" xr:uid="{00000000-0005-0000-0000-0000C1000000}"/>
    <cellStyle name="Normál 11 2" xfId="202" xr:uid="{00000000-0005-0000-0000-0000C2000000}"/>
    <cellStyle name="Normál 11 3" xfId="251" xr:uid="{00000000-0005-0000-0000-0000C3000000}"/>
    <cellStyle name="Normál 11 4" xfId="253" xr:uid="{00000000-0005-0000-0000-0000C4000000}"/>
    <cellStyle name="Normál 11 5" xfId="255" xr:uid="{00000000-0005-0000-0000-0000C5000000}"/>
    <cellStyle name="Normál 11 6" xfId="263" xr:uid="{00000000-0005-0000-0000-0000C6000000}"/>
    <cellStyle name="Normál 11 7" xfId="269" xr:uid="{00000000-0005-0000-0000-0000C7000000}"/>
    <cellStyle name="Normál 11 7 2" xfId="270" xr:uid="{382691B0-10F8-4958-A436-B3B1F66C5FE5}"/>
    <cellStyle name="Normál 12" xfId="206" xr:uid="{00000000-0005-0000-0000-0000C8000000}"/>
    <cellStyle name="Normál 13" xfId="207" xr:uid="{00000000-0005-0000-0000-0000C9000000}"/>
    <cellStyle name="Normál 13 2" xfId="264" xr:uid="{00000000-0005-0000-0000-0000CA000000}"/>
    <cellStyle name="Normál 13 3" xfId="267" xr:uid="{00000000-0005-0000-0000-0000CB000000}"/>
    <cellStyle name="Normál 13 4" xfId="271" xr:uid="{5F9AF311-4555-4E8B-A772-5A5674A84B01}"/>
    <cellStyle name="Normál 2" xfId="152" xr:uid="{00000000-0005-0000-0000-0000CC000000}"/>
    <cellStyle name="Normál 2 2" xfId="153" xr:uid="{00000000-0005-0000-0000-0000CD000000}"/>
    <cellStyle name="Normál 2 3" xfId="154" xr:uid="{00000000-0005-0000-0000-0000CE000000}"/>
    <cellStyle name="Normál 2 4" xfId="155" xr:uid="{00000000-0005-0000-0000-0000CF000000}"/>
    <cellStyle name="Normál 2 5" xfId="196" xr:uid="{00000000-0005-0000-0000-0000D0000000}"/>
    <cellStyle name="Normál 2_11.sz.melléklet_többéves" xfId="156" xr:uid="{00000000-0005-0000-0000-0000D1000000}"/>
    <cellStyle name="Normál 3" xfId="157" xr:uid="{00000000-0005-0000-0000-0000D2000000}"/>
    <cellStyle name="Normál 3 2" xfId="158" xr:uid="{00000000-0005-0000-0000-0000D3000000}"/>
    <cellStyle name="Normál 3 2 2" xfId="159" xr:uid="{00000000-0005-0000-0000-0000D4000000}"/>
    <cellStyle name="Normál 3 2 2 2" xfId="204" xr:uid="{00000000-0005-0000-0000-0000D5000000}"/>
    <cellStyle name="Normál 3 2 3" xfId="208" xr:uid="{00000000-0005-0000-0000-0000D6000000}"/>
    <cellStyle name="Normál 3 2 3 2" xfId="266" xr:uid="{00000000-0005-0000-0000-0000D7000000}"/>
    <cellStyle name="Normál 3 2 3 3" xfId="268" xr:uid="{00000000-0005-0000-0000-0000D8000000}"/>
    <cellStyle name="Normál 3 2 3 4" xfId="272" xr:uid="{560B9C44-F1A4-4A25-A851-E0C90B22F46B}"/>
    <cellStyle name="Normál 3 2 4" xfId="250" xr:uid="{00000000-0005-0000-0000-0000D9000000}"/>
    <cellStyle name="Normál 3 2 5" xfId="252" xr:uid="{00000000-0005-0000-0000-0000DA000000}"/>
    <cellStyle name="Normál 4" xfId="160" xr:uid="{00000000-0005-0000-0000-0000DB000000}"/>
    <cellStyle name="Normál 5" xfId="161" xr:uid="{00000000-0005-0000-0000-0000DC000000}"/>
    <cellStyle name="Normál 5 2" xfId="162" xr:uid="{00000000-0005-0000-0000-0000DD000000}"/>
    <cellStyle name="Normál 5 2 2" xfId="163" xr:uid="{00000000-0005-0000-0000-0000DE000000}"/>
    <cellStyle name="Normál 5 3" xfId="164" xr:uid="{00000000-0005-0000-0000-0000DF000000}"/>
    <cellStyle name="Normál 5 4" xfId="203" xr:uid="{00000000-0005-0000-0000-0000E0000000}"/>
    <cellStyle name="Normál 5_11.sz.melléklet_többéves" xfId="165" xr:uid="{00000000-0005-0000-0000-0000E1000000}"/>
    <cellStyle name="Normál 6" xfId="166" xr:uid="{00000000-0005-0000-0000-0000E2000000}"/>
    <cellStyle name="Normál 6 2" xfId="167" xr:uid="{00000000-0005-0000-0000-0000E3000000}"/>
    <cellStyle name="Normál 7" xfId="168" xr:uid="{00000000-0005-0000-0000-0000E4000000}"/>
    <cellStyle name="Normál 8" xfId="169" xr:uid="{00000000-0005-0000-0000-0000E5000000}"/>
    <cellStyle name="Normál 9" xfId="170" xr:uid="{00000000-0005-0000-0000-0000E6000000}"/>
    <cellStyle name="Normál_2001bev jó" xfId="265" xr:uid="{00000000-0005-0000-0000-0000E8000000}"/>
    <cellStyle name="Normál_2003év kiadás" xfId="171" xr:uid="{00000000-0005-0000-0000-0000E9000000}"/>
    <cellStyle name="Normál_2003költségvet" xfId="172" xr:uid="{00000000-0005-0000-0000-0000EA000000}"/>
    <cellStyle name="Normál_2003ktvmod2fin" xfId="259" xr:uid="{00000000-0005-0000-0000-0000EB000000}"/>
    <cellStyle name="Normál_2003terv" xfId="256" xr:uid="{00000000-0005-0000-0000-0000EC000000}"/>
    <cellStyle name="Normál_2009éviköltségvetés-Móricz Károly 2" xfId="173" xr:uid="{00000000-0005-0000-0000-0000ED000000}"/>
    <cellStyle name="Normál_37-2010. évi III.rendmód 2 2" xfId="195" xr:uid="{00000000-0005-0000-0000-0000EE000000}"/>
    <cellStyle name="Normál_37-2010. évi III.rendmód_4. sz. melléklet 2" xfId="194" xr:uid="{00000000-0005-0000-0000-0000EF000000}"/>
    <cellStyle name="Normál_Áhttáblák_76-3-hiányzó mellékletek" xfId="258" xr:uid="{00000000-0005-0000-0000-0000F0000000}"/>
    <cellStyle name="Normál_bevétel_bevétel_1" xfId="174" xr:uid="{00000000-0005-0000-0000-0000F1000000}"/>
    <cellStyle name="Normál_bevétel_bevétel_1 2" xfId="175" xr:uid="{00000000-0005-0000-0000-0000F2000000}"/>
    <cellStyle name="Normál_bevétel_bevétel_1 2 2" xfId="176" xr:uid="{00000000-0005-0000-0000-0000F3000000}"/>
    <cellStyle name="Normál_fedezetes" xfId="262" xr:uid="{00000000-0005-0000-0000-0000F4000000}"/>
    <cellStyle name="Normál_finansz.2004" xfId="205" xr:uid="{00000000-0005-0000-0000-0000F5000000}"/>
    <cellStyle name="Normál_kiadás_1_2005aprilisrendmod" xfId="199" xr:uid="{00000000-0005-0000-0000-0000F6000000}"/>
    <cellStyle name="Normál_Környezetvédelmi Alap felosztása-01.21." xfId="260" xr:uid="{00000000-0005-0000-0000-0000F7000000}"/>
    <cellStyle name="Normál_kötelezettségváll 2009-ra" xfId="257" xr:uid="{00000000-0005-0000-0000-0000F8000000}"/>
    <cellStyle name="Normál_Munka2 (2)_1_2005aprilisrendmod" xfId="200" xr:uid="{00000000-0005-0000-0000-0000F9000000}"/>
    <cellStyle name="Note" xfId="177" xr:uid="{00000000-0005-0000-0000-0000FA000000}"/>
    <cellStyle name="Output" xfId="178" xr:uid="{00000000-0005-0000-0000-0000FB000000}"/>
    <cellStyle name="Összesen" xfId="179" builtinId="25" customBuiltin="1"/>
    <cellStyle name="Összesen 2" xfId="180" xr:uid="{00000000-0005-0000-0000-0000FD000000}"/>
    <cellStyle name="Összesen 3" xfId="181" xr:uid="{00000000-0005-0000-0000-0000FE000000}"/>
    <cellStyle name="Összesen 4" xfId="246" xr:uid="{00000000-0005-0000-0000-0000FF000000}"/>
    <cellStyle name="Rossz" xfId="182" builtinId="27" customBuiltin="1"/>
    <cellStyle name="Rossz 2" xfId="183" xr:uid="{00000000-0005-0000-0000-000001010000}"/>
    <cellStyle name="Rossz 3" xfId="184" xr:uid="{00000000-0005-0000-0000-000002010000}"/>
    <cellStyle name="Rossz 4" xfId="247" xr:uid="{00000000-0005-0000-0000-000003010000}"/>
    <cellStyle name="Semleges" xfId="185" builtinId="28" customBuiltin="1"/>
    <cellStyle name="Semleges 2" xfId="186" xr:uid="{00000000-0005-0000-0000-000005010000}"/>
    <cellStyle name="Semleges 3" xfId="187" xr:uid="{00000000-0005-0000-0000-000006010000}"/>
    <cellStyle name="Semleges 4" xfId="248" xr:uid="{00000000-0005-0000-0000-000007010000}"/>
    <cellStyle name="Számítás" xfId="188" builtinId="22" customBuiltin="1"/>
    <cellStyle name="Számítás 2" xfId="189" xr:uid="{00000000-0005-0000-0000-000009010000}"/>
    <cellStyle name="Számítás 3" xfId="190" xr:uid="{00000000-0005-0000-0000-00000A010000}"/>
    <cellStyle name="Számítás 4" xfId="249" xr:uid="{00000000-0005-0000-0000-00000B010000}"/>
    <cellStyle name="Title" xfId="191" xr:uid="{00000000-0005-0000-0000-00000C010000}"/>
    <cellStyle name="Total" xfId="192" xr:uid="{00000000-0005-0000-0000-00000D010000}"/>
    <cellStyle name="Warning Text" xfId="193" xr:uid="{00000000-0005-0000-0000-00000E01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/Private/2020/2020.%20&#233;vi%20%20int&#233;zm&#233;nyi%20tervez&#233;s%20el&#337;rehozott/2020%20Dologi%20tervez&#233;s/2020.%20&#233;vi%20int.dologi%20tervez&#233;s%20munkat&#225;bl&#225;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ia"/>
      <sheetName val="élelmezés"/>
      <sheetName val="dologiössz."/>
      <sheetName val="kiemelt"/>
      <sheetName val="összehasonlítás élelm. 2019-20"/>
      <sheetName val="összehasonlítás közmű. 2019-20"/>
    </sheetNames>
    <sheetDataSet>
      <sheetData sheetId="0"/>
      <sheetData sheetId="1">
        <row r="4">
          <cell r="B4">
            <v>11016</v>
          </cell>
          <cell r="C4">
            <v>2974</v>
          </cell>
        </row>
        <row r="6">
          <cell r="B6">
            <v>3450</v>
          </cell>
          <cell r="C6">
            <v>932</v>
          </cell>
        </row>
        <row r="7">
          <cell r="B7">
            <v>3477</v>
          </cell>
          <cell r="C7">
            <v>939</v>
          </cell>
        </row>
        <row r="8">
          <cell r="B8">
            <v>3427</v>
          </cell>
          <cell r="C8">
            <v>925</v>
          </cell>
        </row>
        <row r="9">
          <cell r="B9">
            <v>1438</v>
          </cell>
          <cell r="C9">
            <v>388</v>
          </cell>
        </row>
        <row r="10">
          <cell r="B10">
            <v>4274</v>
          </cell>
          <cell r="C10">
            <v>1154</v>
          </cell>
        </row>
        <row r="11">
          <cell r="B11">
            <v>3637</v>
          </cell>
          <cell r="C11">
            <v>982</v>
          </cell>
        </row>
        <row r="27">
          <cell r="B27">
            <v>206135</v>
          </cell>
          <cell r="C27">
            <v>55656</v>
          </cell>
        </row>
        <row r="29">
          <cell r="B29">
            <v>17360</v>
          </cell>
          <cell r="C29">
            <v>4687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949"/>
  <sheetViews>
    <sheetView zoomScale="70" zoomScaleNormal="70" workbookViewId="0">
      <pane xSplit="2" ySplit="8" topLeftCell="AA42" activePane="bottomRight" state="frozen"/>
      <selection sqref="A1:XFD1048576"/>
      <selection pane="topRight" sqref="A1:XFD1048576"/>
      <selection pane="bottomLeft" sqref="A1:XFD1048576"/>
      <selection pane="bottomRight" activeCell="AM43" sqref="AM43"/>
    </sheetView>
  </sheetViews>
  <sheetFormatPr defaultColWidth="9.25" defaultRowHeight="15.75" x14ac:dyDescent="0.25"/>
  <cols>
    <col min="1" max="1" width="37.5" style="155" customWidth="1"/>
    <col min="2" max="2" width="10.375" style="155" customWidth="1"/>
    <col min="3" max="3" width="12.625" style="13" customWidth="1"/>
    <col min="4" max="4" width="13.5" style="13" customWidth="1"/>
    <col min="5" max="5" width="14.5" style="13" customWidth="1"/>
    <col min="6" max="8" width="13.875" style="13" customWidth="1"/>
    <col min="9" max="9" width="15.25" style="13" customWidth="1"/>
    <col min="10" max="12" width="13.875" style="13" customWidth="1"/>
    <col min="13" max="13" width="15" style="13" customWidth="1"/>
    <col min="14" max="14" width="13.875" style="13" customWidth="1"/>
    <col min="15" max="15" width="12.875" style="13" customWidth="1"/>
    <col min="16" max="16" width="13.25" style="13" customWidth="1"/>
    <col min="17" max="17" width="16" style="13" customWidth="1"/>
    <col min="18" max="18" width="14.75" style="13" customWidth="1"/>
    <col min="19" max="20" width="12.625" style="13" customWidth="1"/>
    <col min="21" max="21" width="15.875" style="13" customWidth="1"/>
    <col min="22" max="22" width="14" style="13" customWidth="1"/>
    <col min="23" max="24" width="12.625" style="13" customWidth="1"/>
    <col min="25" max="25" width="15.625" style="13" customWidth="1"/>
    <col min="26" max="26" width="14.25" style="13" customWidth="1"/>
    <col min="27" max="27" width="13.125" style="13" customWidth="1"/>
    <col min="28" max="28" width="13.75" style="13" customWidth="1"/>
    <col min="29" max="29" width="15.25" style="13" customWidth="1"/>
    <col min="30" max="30" width="13.875" style="13" customWidth="1"/>
    <col min="31" max="31" width="13.125" style="13" customWidth="1"/>
    <col min="32" max="32" width="13.75" style="13" customWidth="1"/>
    <col min="33" max="33" width="15.25" style="13" customWidth="1"/>
    <col min="34" max="34" width="13.875" style="13" customWidth="1"/>
    <col min="35" max="35" width="13.125" style="13" customWidth="1"/>
    <col min="36" max="36" width="13.75" style="13" customWidth="1"/>
    <col min="37" max="37" width="15.25" style="13" customWidth="1"/>
    <col min="38" max="38" width="14.25" style="13" customWidth="1"/>
    <col min="39" max="16384" width="9.25" style="13"/>
  </cols>
  <sheetData>
    <row r="1" spans="1:38" x14ac:dyDescent="0.25">
      <c r="C1" s="984" t="s">
        <v>367</v>
      </c>
      <c r="D1" s="984"/>
      <c r="E1" s="984"/>
      <c r="F1" s="984"/>
      <c r="G1" s="984"/>
      <c r="H1" s="984"/>
      <c r="I1" s="984"/>
      <c r="J1" s="984"/>
      <c r="K1" s="984"/>
      <c r="L1" s="984"/>
      <c r="M1" s="984"/>
      <c r="N1" s="984"/>
      <c r="O1" s="984" t="s">
        <v>367</v>
      </c>
      <c r="P1" s="984"/>
      <c r="Q1" s="984"/>
      <c r="R1" s="984"/>
      <c r="S1" s="984"/>
      <c r="T1" s="984"/>
      <c r="U1" s="984"/>
      <c r="V1" s="984"/>
      <c r="W1" s="984"/>
      <c r="X1" s="984"/>
      <c r="Y1" s="984"/>
      <c r="Z1" s="984"/>
      <c r="AA1" s="984" t="s">
        <v>367</v>
      </c>
      <c r="AB1" s="984"/>
      <c r="AC1" s="984"/>
      <c r="AD1" s="984"/>
      <c r="AE1" s="984"/>
      <c r="AF1" s="984"/>
      <c r="AG1" s="984"/>
      <c r="AH1" s="984"/>
      <c r="AI1" s="984"/>
      <c r="AJ1" s="984"/>
      <c r="AK1" s="984"/>
      <c r="AL1" s="984"/>
    </row>
    <row r="2" spans="1:38" x14ac:dyDescent="0.25">
      <c r="C2" s="984" t="s">
        <v>770</v>
      </c>
      <c r="D2" s="984"/>
      <c r="E2" s="984"/>
      <c r="F2" s="984"/>
      <c r="G2" s="984"/>
      <c r="H2" s="984"/>
      <c r="I2" s="984"/>
      <c r="J2" s="984"/>
      <c r="K2" s="984"/>
      <c r="L2" s="984"/>
      <c r="M2" s="984"/>
      <c r="N2" s="984"/>
      <c r="O2" s="984" t="s">
        <v>770</v>
      </c>
      <c r="P2" s="984"/>
      <c r="Q2" s="984"/>
      <c r="R2" s="984"/>
      <c r="S2" s="984"/>
      <c r="T2" s="984"/>
      <c r="U2" s="984"/>
      <c r="V2" s="984"/>
      <c r="W2" s="984"/>
      <c r="X2" s="984"/>
      <c r="Y2" s="984"/>
      <c r="Z2" s="984"/>
      <c r="AA2" s="984" t="s">
        <v>770</v>
      </c>
      <c r="AB2" s="984"/>
      <c r="AC2" s="984"/>
      <c r="AD2" s="984"/>
      <c r="AE2" s="984"/>
      <c r="AF2" s="984"/>
      <c r="AG2" s="984"/>
      <c r="AH2" s="984"/>
      <c r="AI2" s="984"/>
      <c r="AJ2" s="984"/>
      <c r="AK2" s="984"/>
      <c r="AL2" s="984"/>
    </row>
    <row r="3" spans="1:38" x14ac:dyDescent="0.25">
      <c r="C3" s="984" t="s">
        <v>989</v>
      </c>
      <c r="D3" s="984"/>
      <c r="E3" s="984"/>
      <c r="F3" s="984"/>
      <c r="G3" s="984"/>
      <c r="H3" s="984"/>
      <c r="I3" s="984"/>
      <c r="J3" s="984"/>
      <c r="K3" s="984"/>
      <c r="L3" s="984"/>
      <c r="M3" s="984"/>
      <c r="N3" s="984"/>
      <c r="O3" s="984" t="s">
        <v>989</v>
      </c>
      <c r="P3" s="984"/>
      <c r="Q3" s="984"/>
      <c r="R3" s="984"/>
      <c r="S3" s="984"/>
      <c r="T3" s="984"/>
      <c r="U3" s="984"/>
      <c r="V3" s="984"/>
      <c r="W3" s="984"/>
      <c r="X3" s="984"/>
      <c r="Y3" s="984"/>
      <c r="Z3" s="984"/>
      <c r="AA3" s="984" t="s">
        <v>989</v>
      </c>
      <c r="AB3" s="984"/>
      <c r="AC3" s="984"/>
      <c r="AD3" s="984"/>
      <c r="AE3" s="984"/>
      <c r="AF3" s="984"/>
      <c r="AG3" s="984"/>
      <c r="AH3" s="984"/>
      <c r="AI3" s="984"/>
      <c r="AJ3" s="984"/>
      <c r="AK3" s="984"/>
      <c r="AL3" s="984"/>
    </row>
    <row r="4" spans="1:38" ht="16.5" thickBot="1" x14ac:dyDescent="0.3"/>
    <row r="5" spans="1:38" ht="87" customHeight="1" thickTop="1" thickBot="1" x14ac:dyDescent="0.3">
      <c r="A5" s="156"/>
      <c r="B5" s="157"/>
      <c r="C5" s="979" t="s">
        <v>22</v>
      </c>
      <c r="D5" s="980"/>
      <c r="E5" s="980"/>
      <c r="F5" s="980"/>
      <c r="G5" s="980"/>
      <c r="H5" s="980"/>
      <c r="I5" s="980"/>
      <c r="J5" s="980"/>
      <c r="K5" s="980"/>
      <c r="L5" s="980"/>
      <c r="M5" s="980"/>
      <c r="N5" s="981"/>
      <c r="O5" s="979" t="s">
        <v>23</v>
      </c>
      <c r="P5" s="980"/>
      <c r="Q5" s="980"/>
      <c r="R5" s="980"/>
      <c r="S5" s="980"/>
      <c r="T5" s="980"/>
      <c r="U5" s="980"/>
      <c r="V5" s="980"/>
      <c r="W5" s="980"/>
      <c r="X5" s="980"/>
      <c r="Y5" s="980"/>
      <c r="Z5" s="981"/>
      <c r="AA5" s="976" t="s">
        <v>143</v>
      </c>
      <c r="AB5" s="977"/>
      <c r="AC5" s="977"/>
      <c r="AD5" s="977"/>
      <c r="AE5" s="977"/>
      <c r="AF5" s="977"/>
      <c r="AG5" s="977"/>
      <c r="AH5" s="977"/>
      <c r="AI5" s="977"/>
      <c r="AJ5" s="977"/>
      <c r="AK5" s="977"/>
      <c r="AL5" s="978"/>
    </row>
    <row r="6" spans="1:38" ht="33" customHeight="1" thickTop="1" thickBot="1" x14ac:dyDescent="0.3">
      <c r="A6" s="156" t="s">
        <v>136</v>
      </c>
      <c r="B6" s="157" t="s">
        <v>153</v>
      </c>
      <c r="C6" s="979" t="s">
        <v>347</v>
      </c>
      <c r="D6" s="980"/>
      <c r="E6" s="980"/>
      <c r="F6" s="981"/>
      <c r="G6" s="979" t="s">
        <v>348</v>
      </c>
      <c r="H6" s="980"/>
      <c r="I6" s="980"/>
      <c r="J6" s="981"/>
      <c r="K6" s="979" t="s">
        <v>830</v>
      </c>
      <c r="L6" s="980"/>
      <c r="M6" s="980"/>
      <c r="N6" s="981"/>
      <c r="O6" s="979" t="s">
        <v>347</v>
      </c>
      <c r="P6" s="980"/>
      <c r="Q6" s="980"/>
      <c r="R6" s="981"/>
      <c r="S6" s="982" t="s">
        <v>348</v>
      </c>
      <c r="T6" s="982"/>
      <c r="U6" s="982"/>
      <c r="V6" s="982"/>
      <c r="W6" s="979" t="s">
        <v>830</v>
      </c>
      <c r="X6" s="980"/>
      <c r="Y6" s="980"/>
      <c r="Z6" s="981"/>
      <c r="AA6" s="979" t="s">
        <v>347</v>
      </c>
      <c r="AB6" s="980"/>
      <c r="AC6" s="980"/>
      <c r="AD6" s="981"/>
      <c r="AE6" s="979" t="s">
        <v>348</v>
      </c>
      <c r="AF6" s="980"/>
      <c r="AG6" s="980"/>
      <c r="AH6" s="981"/>
      <c r="AI6" s="979" t="s">
        <v>830</v>
      </c>
      <c r="AJ6" s="980"/>
      <c r="AK6" s="980"/>
      <c r="AL6" s="981"/>
    </row>
    <row r="7" spans="1:38" ht="33" thickTop="1" thickBot="1" x14ac:dyDescent="0.3">
      <c r="A7" s="156"/>
      <c r="B7" s="157"/>
      <c r="C7" s="664" t="s">
        <v>131</v>
      </c>
      <c r="D7" s="665" t="s">
        <v>132</v>
      </c>
      <c r="E7" s="665" t="s">
        <v>333</v>
      </c>
      <c r="F7" s="665" t="s">
        <v>143</v>
      </c>
      <c r="G7" s="664" t="s">
        <v>131</v>
      </c>
      <c r="H7" s="664" t="s">
        <v>132</v>
      </c>
      <c r="I7" s="664" t="s">
        <v>333</v>
      </c>
      <c r="J7" s="664" t="s">
        <v>143</v>
      </c>
      <c r="K7" s="664" t="s">
        <v>131</v>
      </c>
      <c r="L7" s="664" t="s">
        <v>132</v>
      </c>
      <c r="M7" s="664" t="s">
        <v>333</v>
      </c>
      <c r="N7" s="665" t="s">
        <v>143</v>
      </c>
      <c r="O7" s="664" t="s">
        <v>131</v>
      </c>
      <c r="P7" s="665" t="s">
        <v>132</v>
      </c>
      <c r="Q7" s="665" t="s">
        <v>333</v>
      </c>
      <c r="R7" s="665" t="s">
        <v>143</v>
      </c>
      <c r="S7" s="664" t="s">
        <v>131</v>
      </c>
      <c r="T7" s="664" t="s">
        <v>132</v>
      </c>
      <c r="U7" s="664" t="s">
        <v>333</v>
      </c>
      <c r="V7" s="664" t="s">
        <v>143</v>
      </c>
      <c r="W7" s="664" t="s">
        <v>131</v>
      </c>
      <c r="X7" s="664" t="s">
        <v>132</v>
      </c>
      <c r="Y7" s="664" t="s">
        <v>333</v>
      </c>
      <c r="Z7" s="665" t="s">
        <v>143</v>
      </c>
      <c r="AA7" s="664" t="s">
        <v>131</v>
      </c>
      <c r="AB7" s="665" t="s">
        <v>132</v>
      </c>
      <c r="AC7" s="665" t="s">
        <v>333</v>
      </c>
      <c r="AD7" s="665" t="s">
        <v>143</v>
      </c>
      <c r="AE7" s="664" t="s">
        <v>131</v>
      </c>
      <c r="AF7" s="665" t="s">
        <v>132</v>
      </c>
      <c r="AG7" s="665" t="s">
        <v>333</v>
      </c>
      <c r="AH7" s="665" t="s">
        <v>143</v>
      </c>
      <c r="AI7" s="664" t="s">
        <v>131</v>
      </c>
      <c r="AJ7" s="665" t="s">
        <v>132</v>
      </c>
      <c r="AK7" s="665" t="s">
        <v>333</v>
      </c>
      <c r="AL7" s="665" t="s">
        <v>143</v>
      </c>
    </row>
    <row r="8" spans="1:38" ht="17.25" thickTop="1" thickBot="1" x14ac:dyDescent="0.3">
      <c r="A8" s="156" t="s">
        <v>137</v>
      </c>
      <c r="B8" s="157"/>
      <c r="C8" s="979" t="s">
        <v>358</v>
      </c>
      <c r="D8" s="980"/>
      <c r="E8" s="980"/>
      <c r="F8" s="981"/>
      <c r="G8" s="982" t="s">
        <v>359</v>
      </c>
      <c r="H8" s="982"/>
      <c r="I8" s="982"/>
      <c r="J8" s="982"/>
      <c r="K8" s="982" t="s">
        <v>360</v>
      </c>
      <c r="L8" s="982"/>
      <c r="M8" s="982"/>
      <c r="N8" s="982"/>
      <c r="O8" s="976" t="s">
        <v>361</v>
      </c>
      <c r="P8" s="977"/>
      <c r="Q8" s="977"/>
      <c r="R8" s="978"/>
      <c r="S8" s="983" t="s">
        <v>362</v>
      </c>
      <c r="T8" s="983"/>
      <c r="U8" s="983"/>
      <c r="V8" s="983"/>
      <c r="W8" s="983" t="s">
        <v>363</v>
      </c>
      <c r="X8" s="983"/>
      <c r="Y8" s="983"/>
      <c r="Z8" s="983"/>
      <c r="AA8" s="976" t="s">
        <v>364</v>
      </c>
      <c r="AB8" s="977"/>
      <c r="AC8" s="977"/>
      <c r="AD8" s="978"/>
      <c r="AE8" s="976" t="s">
        <v>365</v>
      </c>
      <c r="AF8" s="977"/>
      <c r="AG8" s="977"/>
      <c r="AH8" s="978"/>
      <c r="AI8" s="976" t="s">
        <v>366</v>
      </c>
      <c r="AJ8" s="977"/>
      <c r="AK8" s="977"/>
      <c r="AL8" s="978"/>
    </row>
    <row r="9" spans="1:38" ht="32.25" thickTop="1" x14ac:dyDescent="0.25">
      <c r="A9" s="12" t="s">
        <v>185</v>
      </c>
      <c r="B9" s="60" t="s">
        <v>189</v>
      </c>
      <c r="C9" s="631">
        <v>3568</v>
      </c>
      <c r="D9" s="643">
        <v>130</v>
      </c>
      <c r="E9" s="5"/>
      <c r="F9" s="6">
        <f t="shared" ref="F9:F17" si="0">SUM(C9:E9)</f>
        <v>3698</v>
      </c>
      <c r="G9" s="6">
        <f>280+4866</f>
        <v>5146</v>
      </c>
      <c r="H9" s="6">
        <v>103</v>
      </c>
      <c r="I9" s="6"/>
      <c r="J9" s="6">
        <f>SUM(G9:I9)</f>
        <v>5249</v>
      </c>
      <c r="K9" s="6">
        <f t="shared" ref="K9:K11" si="1">SUM(G9+C9)</f>
        <v>8714</v>
      </c>
      <c r="L9" s="6">
        <f t="shared" ref="L9:L11" si="2">SUM(H9+D9)</f>
        <v>233</v>
      </c>
      <c r="M9" s="6">
        <f t="shared" ref="M9:M11" si="3">SUM(I9+E9)</f>
        <v>0</v>
      </c>
      <c r="N9" s="6">
        <f>SUM(K9:M9)</f>
        <v>8947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3">
        <f t="shared" ref="AA9:AC11" si="4">SUM(O9+C9)</f>
        <v>3568</v>
      </c>
      <c r="AB9" s="3">
        <f t="shared" si="4"/>
        <v>130</v>
      </c>
      <c r="AC9" s="3">
        <f t="shared" si="4"/>
        <v>0</v>
      </c>
      <c r="AD9" s="3">
        <f>SUM(AA9:AC9)</f>
        <v>3698</v>
      </c>
      <c r="AE9" s="3">
        <f>SUM(S9+G9)</f>
        <v>5146</v>
      </c>
      <c r="AF9" s="3">
        <f t="shared" ref="AE9:AG11" si="5">SUM(T9+H9)</f>
        <v>103</v>
      </c>
      <c r="AG9" s="3">
        <f t="shared" si="5"/>
        <v>0</v>
      </c>
      <c r="AH9" s="3">
        <f t="shared" ref="AH9:AH11" si="6">SUM(AE9:AG9)</f>
        <v>5249</v>
      </c>
      <c r="AI9" s="3">
        <f>SUM(W9+K9)</f>
        <v>8714</v>
      </c>
      <c r="AJ9" s="3">
        <f t="shared" ref="AI9:AK11" si="7">SUM(X9+L9)</f>
        <v>233</v>
      </c>
      <c r="AK9" s="3">
        <f t="shared" si="7"/>
        <v>0</v>
      </c>
      <c r="AL9" s="3">
        <f t="shared" ref="AL9:AL11" si="8">SUM(AI9:AK9)</f>
        <v>8947</v>
      </c>
    </row>
    <row r="10" spans="1:38" ht="31.5" x14ac:dyDescent="0.25">
      <c r="A10" s="12" t="s">
        <v>315</v>
      </c>
      <c r="B10" s="12" t="s">
        <v>190</v>
      </c>
      <c r="C10" s="5">
        <v>2022101</v>
      </c>
      <c r="D10" s="643"/>
      <c r="E10" s="5"/>
      <c r="F10" s="6">
        <f t="shared" si="0"/>
        <v>2022101</v>
      </c>
      <c r="G10" s="6">
        <v>165782</v>
      </c>
      <c r="H10" s="6"/>
      <c r="I10" s="6"/>
      <c r="J10" s="6">
        <f>SUM(G10:I10)</f>
        <v>165782</v>
      </c>
      <c r="K10" s="6">
        <f t="shared" si="1"/>
        <v>2187883</v>
      </c>
      <c r="L10" s="6">
        <f t="shared" si="2"/>
        <v>0</v>
      </c>
      <c r="M10" s="6">
        <f t="shared" si="3"/>
        <v>0</v>
      </c>
      <c r="N10" s="6">
        <f t="shared" ref="N10:N11" si="9">SUM(K10:M10)</f>
        <v>2187883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3">
        <f t="shared" si="4"/>
        <v>2022101</v>
      </c>
      <c r="AB10" s="3">
        <f t="shared" si="4"/>
        <v>0</v>
      </c>
      <c r="AC10" s="3">
        <f t="shared" si="4"/>
        <v>0</v>
      </c>
      <c r="AD10" s="3">
        <f>SUM(AA10:AC10)</f>
        <v>2022101</v>
      </c>
      <c r="AE10" s="3">
        <f t="shared" si="5"/>
        <v>165782</v>
      </c>
      <c r="AF10" s="3">
        <f t="shared" si="5"/>
        <v>0</v>
      </c>
      <c r="AG10" s="3">
        <f t="shared" si="5"/>
        <v>0</v>
      </c>
      <c r="AH10" s="3">
        <f t="shared" si="6"/>
        <v>165782</v>
      </c>
      <c r="AI10" s="3">
        <f t="shared" si="7"/>
        <v>2187883</v>
      </c>
      <c r="AJ10" s="3">
        <f t="shared" si="7"/>
        <v>0</v>
      </c>
      <c r="AK10" s="3">
        <f t="shared" si="7"/>
        <v>0</v>
      </c>
      <c r="AL10" s="3">
        <f t="shared" si="8"/>
        <v>2187883</v>
      </c>
    </row>
    <row r="11" spans="1:38" ht="47.25" x14ac:dyDescent="0.25">
      <c r="A11" s="103" t="s">
        <v>311</v>
      </c>
      <c r="B11" s="12" t="s">
        <v>191</v>
      </c>
      <c r="C11" s="5">
        <v>2045556</v>
      </c>
      <c r="D11" s="643"/>
      <c r="E11" s="5"/>
      <c r="F11" s="6">
        <f t="shared" si="0"/>
        <v>2045556</v>
      </c>
      <c r="G11" s="6">
        <v>150840</v>
      </c>
      <c r="H11" s="6"/>
      <c r="I11" s="6"/>
      <c r="J11" s="6">
        <f t="shared" ref="J11:J17" si="10">SUM(G11:I11)</f>
        <v>150840</v>
      </c>
      <c r="K11" s="5">
        <f t="shared" si="1"/>
        <v>2196396</v>
      </c>
      <c r="L11" s="6">
        <f t="shared" si="2"/>
        <v>0</v>
      </c>
      <c r="M11" s="6">
        <f t="shared" si="3"/>
        <v>0</v>
      </c>
      <c r="N11" s="6">
        <f t="shared" si="9"/>
        <v>2196396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3">
        <f t="shared" si="4"/>
        <v>2045556</v>
      </c>
      <c r="AB11" s="3">
        <f t="shared" si="4"/>
        <v>0</v>
      </c>
      <c r="AC11" s="3">
        <f t="shared" si="4"/>
        <v>0</v>
      </c>
      <c r="AD11" s="3">
        <f>SUM(AA11:AC11)</f>
        <v>2045556</v>
      </c>
      <c r="AE11" s="3">
        <f t="shared" si="5"/>
        <v>150840</v>
      </c>
      <c r="AF11" s="3">
        <f t="shared" si="5"/>
        <v>0</v>
      </c>
      <c r="AG11" s="3">
        <f t="shared" si="5"/>
        <v>0</v>
      </c>
      <c r="AH11" s="3">
        <f t="shared" si="6"/>
        <v>150840</v>
      </c>
      <c r="AI11" s="3">
        <f t="shared" si="7"/>
        <v>2196396</v>
      </c>
      <c r="AJ11" s="3">
        <f t="shared" si="7"/>
        <v>0</v>
      </c>
      <c r="AK11" s="3">
        <f t="shared" si="7"/>
        <v>0</v>
      </c>
      <c r="AL11" s="3">
        <f t="shared" si="8"/>
        <v>2196396</v>
      </c>
    </row>
    <row r="12" spans="1:38" ht="31.5" x14ac:dyDescent="0.25">
      <c r="A12" s="12" t="s">
        <v>186</v>
      </c>
      <c r="B12" s="12" t="s">
        <v>192</v>
      </c>
      <c r="C12" s="5">
        <v>549641</v>
      </c>
      <c r="D12" s="643">
        <v>529873</v>
      </c>
      <c r="E12" s="5"/>
      <c r="F12" s="6">
        <f t="shared" si="0"/>
        <v>1079514</v>
      </c>
      <c r="G12" s="6">
        <f>14070+36753</f>
        <v>50823</v>
      </c>
      <c r="H12" s="6">
        <f>-485391+28275</f>
        <v>-457116</v>
      </c>
      <c r="I12" s="6"/>
      <c r="J12" s="6">
        <f t="shared" si="10"/>
        <v>-406293</v>
      </c>
      <c r="K12" s="5">
        <f t="shared" ref="K12:K17" si="11">SUM(G12+C12)</f>
        <v>600464</v>
      </c>
      <c r="L12" s="6">
        <f t="shared" ref="L12:L17" si="12">SUM(H12+D12)</f>
        <v>72757</v>
      </c>
      <c r="M12" s="6">
        <f t="shared" ref="M12:M17" si="13">SUM(I12+E12)</f>
        <v>0</v>
      </c>
      <c r="N12" s="6">
        <f t="shared" ref="N12:N17" si="14">SUM(K12:M12)</f>
        <v>673221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3">
        <f t="shared" ref="AA12:AD17" si="15">SUM(C12+O12)</f>
        <v>549641</v>
      </c>
      <c r="AB12" s="3">
        <f t="shared" si="15"/>
        <v>529873</v>
      </c>
      <c r="AC12" s="3">
        <f t="shared" si="15"/>
        <v>0</v>
      </c>
      <c r="AD12" s="3">
        <f t="shared" si="15"/>
        <v>1079514</v>
      </c>
      <c r="AE12" s="3">
        <f t="shared" ref="AE12:AL17" si="16">SUM(G12+S12)</f>
        <v>50823</v>
      </c>
      <c r="AF12" s="3">
        <f t="shared" si="16"/>
        <v>-457116</v>
      </c>
      <c r="AG12" s="3">
        <f t="shared" si="16"/>
        <v>0</v>
      </c>
      <c r="AH12" s="3">
        <f t="shared" si="16"/>
        <v>-406293</v>
      </c>
      <c r="AI12" s="3">
        <f t="shared" si="16"/>
        <v>600464</v>
      </c>
      <c r="AJ12" s="3">
        <f t="shared" si="16"/>
        <v>72757</v>
      </c>
      <c r="AK12" s="3">
        <f t="shared" si="16"/>
        <v>0</v>
      </c>
      <c r="AL12" s="3">
        <f t="shared" si="16"/>
        <v>673221</v>
      </c>
    </row>
    <row r="13" spans="1:38" ht="31.5" x14ac:dyDescent="0.25">
      <c r="A13" s="12" t="s">
        <v>25</v>
      </c>
      <c r="B13" s="12"/>
      <c r="C13" s="5">
        <v>234160</v>
      </c>
      <c r="D13" s="643"/>
      <c r="E13" s="5"/>
      <c r="F13" s="6">
        <f t="shared" si="0"/>
        <v>234160</v>
      </c>
      <c r="G13" s="6"/>
      <c r="H13" s="6"/>
      <c r="I13" s="6"/>
      <c r="J13" s="6">
        <f t="shared" si="10"/>
        <v>0</v>
      </c>
      <c r="K13" s="5">
        <f t="shared" si="11"/>
        <v>234160</v>
      </c>
      <c r="L13" s="6">
        <f t="shared" si="12"/>
        <v>0</v>
      </c>
      <c r="M13" s="6">
        <f t="shared" si="13"/>
        <v>0</v>
      </c>
      <c r="N13" s="6">
        <f t="shared" si="14"/>
        <v>234160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3">
        <f t="shared" si="15"/>
        <v>234160</v>
      </c>
      <c r="AB13" s="3">
        <f t="shared" si="15"/>
        <v>0</v>
      </c>
      <c r="AC13" s="3">
        <f t="shared" si="15"/>
        <v>0</v>
      </c>
      <c r="AD13" s="3">
        <f t="shared" si="15"/>
        <v>234160</v>
      </c>
      <c r="AE13" s="3">
        <f t="shared" si="16"/>
        <v>0</v>
      </c>
      <c r="AF13" s="3">
        <f t="shared" si="16"/>
        <v>0</v>
      </c>
      <c r="AG13" s="3">
        <f t="shared" si="16"/>
        <v>0</v>
      </c>
      <c r="AH13" s="3">
        <f t="shared" si="16"/>
        <v>0</v>
      </c>
      <c r="AI13" s="3">
        <f t="shared" si="16"/>
        <v>234160</v>
      </c>
      <c r="AJ13" s="3">
        <f t="shared" si="16"/>
        <v>0</v>
      </c>
      <c r="AK13" s="3">
        <f t="shared" si="16"/>
        <v>0</v>
      </c>
      <c r="AL13" s="3">
        <f t="shared" si="16"/>
        <v>234160</v>
      </c>
    </row>
    <row r="14" spans="1:38" ht="31.5" x14ac:dyDescent="0.25">
      <c r="A14" s="12" t="s">
        <v>26</v>
      </c>
      <c r="B14" s="12"/>
      <c r="C14" s="5">
        <v>177000</v>
      </c>
      <c r="D14" s="643"/>
      <c r="E14" s="5"/>
      <c r="F14" s="6">
        <f t="shared" si="0"/>
        <v>177000</v>
      </c>
      <c r="G14" s="6"/>
      <c r="H14" s="6"/>
      <c r="I14" s="6"/>
      <c r="J14" s="6">
        <f t="shared" si="10"/>
        <v>0</v>
      </c>
      <c r="K14" s="5">
        <f t="shared" si="11"/>
        <v>177000</v>
      </c>
      <c r="L14" s="6">
        <f t="shared" si="12"/>
        <v>0</v>
      </c>
      <c r="M14" s="6">
        <f t="shared" si="13"/>
        <v>0</v>
      </c>
      <c r="N14" s="6">
        <f t="shared" si="14"/>
        <v>177000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3">
        <f t="shared" si="15"/>
        <v>177000</v>
      </c>
      <c r="AB14" s="3">
        <f t="shared" si="15"/>
        <v>0</v>
      </c>
      <c r="AC14" s="3">
        <f t="shared" si="15"/>
        <v>0</v>
      </c>
      <c r="AD14" s="3">
        <f t="shared" si="15"/>
        <v>177000</v>
      </c>
      <c r="AE14" s="3">
        <f t="shared" si="16"/>
        <v>0</v>
      </c>
      <c r="AF14" s="3">
        <f t="shared" si="16"/>
        <v>0</v>
      </c>
      <c r="AG14" s="3">
        <f t="shared" si="16"/>
        <v>0</v>
      </c>
      <c r="AH14" s="3">
        <f t="shared" si="16"/>
        <v>0</v>
      </c>
      <c r="AI14" s="3">
        <f t="shared" si="16"/>
        <v>177000</v>
      </c>
      <c r="AJ14" s="3">
        <f t="shared" si="16"/>
        <v>0</v>
      </c>
      <c r="AK14" s="3">
        <f t="shared" si="16"/>
        <v>0</v>
      </c>
      <c r="AL14" s="3">
        <f t="shared" si="16"/>
        <v>177000</v>
      </c>
    </row>
    <row r="15" spans="1:38" x14ac:dyDescent="0.25">
      <c r="A15" s="12" t="s">
        <v>785</v>
      </c>
      <c r="B15" s="12"/>
      <c r="C15" s="5"/>
      <c r="D15" s="643">
        <v>30000</v>
      </c>
      <c r="E15" s="5"/>
      <c r="F15" s="6">
        <f t="shared" ref="F15" si="17">SUM(C15:E15)</f>
        <v>30000</v>
      </c>
      <c r="G15" s="6"/>
      <c r="H15" s="6"/>
      <c r="I15" s="6"/>
      <c r="J15" s="6">
        <f t="shared" ref="J15" si="18">SUM(G15:I15)</f>
        <v>0</v>
      </c>
      <c r="K15" s="5">
        <f t="shared" ref="K15" si="19">SUM(G15+C15)</f>
        <v>0</v>
      </c>
      <c r="L15" s="6">
        <f t="shared" ref="L15" si="20">SUM(H15+D15)</f>
        <v>30000</v>
      </c>
      <c r="M15" s="6">
        <f t="shared" ref="M15" si="21">SUM(I15+E15)</f>
        <v>0</v>
      </c>
      <c r="N15" s="6">
        <f t="shared" ref="N15" si="22">SUM(K15:M15)</f>
        <v>30000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3">
        <f t="shared" ref="AA15" si="23">SUM(C15+O15)</f>
        <v>0</v>
      </c>
      <c r="AB15" s="3">
        <f t="shared" ref="AB15" si="24">SUM(D15+P15)</f>
        <v>30000</v>
      </c>
      <c r="AC15" s="3">
        <f t="shared" ref="AC15" si="25">SUM(E15+Q15)</f>
        <v>0</v>
      </c>
      <c r="AD15" s="3">
        <f t="shared" ref="AD15" si="26">SUM(F15+R15)</f>
        <v>30000</v>
      </c>
      <c r="AE15" s="3">
        <f t="shared" ref="AE15" si="27">SUM(G15+S15)</f>
        <v>0</v>
      </c>
      <c r="AF15" s="3">
        <f t="shared" ref="AF15" si="28">SUM(H15+T15)</f>
        <v>0</v>
      </c>
      <c r="AG15" s="3">
        <f t="shared" ref="AG15" si="29">SUM(I15+U15)</f>
        <v>0</v>
      </c>
      <c r="AH15" s="3">
        <f t="shared" ref="AH15" si="30">SUM(J15+V15)</f>
        <v>0</v>
      </c>
      <c r="AI15" s="3">
        <f t="shared" ref="AI15" si="31">SUM(K15+W15)</f>
        <v>0</v>
      </c>
      <c r="AJ15" s="3">
        <f t="shared" ref="AJ15" si="32">SUM(L15+X15)</f>
        <v>30000</v>
      </c>
      <c r="AK15" s="3">
        <f t="shared" ref="AK15" si="33">SUM(M15+Y15)</f>
        <v>0</v>
      </c>
      <c r="AL15" s="3">
        <f t="shared" ref="AL15" si="34">SUM(N15+Z15)</f>
        <v>30000</v>
      </c>
    </row>
    <row r="16" spans="1:38" x14ac:dyDescent="0.25">
      <c r="A16" s="12" t="s">
        <v>27</v>
      </c>
      <c r="B16" s="12"/>
      <c r="C16" s="5"/>
      <c r="D16" s="643">
        <v>485391</v>
      </c>
      <c r="E16" s="5"/>
      <c r="F16" s="6">
        <f t="shared" si="0"/>
        <v>485391</v>
      </c>
      <c r="G16" s="6"/>
      <c r="H16" s="6">
        <v>-485391</v>
      </c>
      <c r="I16" s="6"/>
      <c r="J16" s="6">
        <f t="shared" si="10"/>
        <v>-485391</v>
      </c>
      <c r="K16" s="5">
        <f t="shared" si="11"/>
        <v>0</v>
      </c>
      <c r="L16" s="6">
        <f t="shared" si="12"/>
        <v>0</v>
      </c>
      <c r="M16" s="6">
        <f t="shared" si="13"/>
        <v>0</v>
      </c>
      <c r="N16" s="6">
        <f t="shared" si="14"/>
        <v>0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3">
        <f t="shared" si="15"/>
        <v>0</v>
      </c>
      <c r="AB16" s="3">
        <f t="shared" si="15"/>
        <v>485391</v>
      </c>
      <c r="AC16" s="3">
        <f t="shared" si="15"/>
        <v>0</v>
      </c>
      <c r="AD16" s="3">
        <f t="shared" si="15"/>
        <v>485391</v>
      </c>
      <c r="AE16" s="3">
        <f t="shared" si="16"/>
        <v>0</v>
      </c>
      <c r="AF16" s="3">
        <f t="shared" si="16"/>
        <v>-485391</v>
      </c>
      <c r="AG16" s="3">
        <f t="shared" si="16"/>
        <v>0</v>
      </c>
      <c r="AH16" s="3">
        <f t="shared" si="16"/>
        <v>-485391</v>
      </c>
      <c r="AI16" s="3">
        <f t="shared" si="16"/>
        <v>0</v>
      </c>
      <c r="AJ16" s="3">
        <f t="shared" si="16"/>
        <v>0</v>
      </c>
      <c r="AK16" s="3">
        <f t="shared" si="16"/>
        <v>0</v>
      </c>
      <c r="AL16" s="3">
        <f t="shared" si="16"/>
        <v>0</v>
      </c>
    </row>
    <row r="17" spans="1:38" ht="36.75" customHeight="1" x14ac:dyDescent="0.25">
      <c r="A17" s="12" t="s">
        <v>187</v>
      </c>
      <c r="B17" s="12" t="s">
        <v>193</v>
      </c>
      <c r="C17" s="5"/>
      <c r="D17" s="643"/>
      <c r="E17" s="5"/>
      <c r="F17" s="6">
        <f t="shared" si="0"/>
        <v>0</v>
      </c>
      <c r="G17" s="6">
        <v>208290</v>
      </c>
      <c r="H17" s="6"/>
      <c r="I17" s="6"/>
      <c r="J17" s="6">
        <f t="shared" si="10"/>
        <v>208290</v>
      </c>
      <c r="K17" s="5">
        <f t="shared" si="11"/>
        <v>208290</v>
      </c>
      <c r="L17" s="6">
        <f t="shared" si="12"/>
        <v>0</v>
      </c>
      <c r="M17" s="6">
        <f t="shared" si="13"/>
        <v>0</v>
      </c>
      <c r="N17" s="6">
        <f t="shared" si="14"/>
        <v>208290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3">
        <f t="shared" si="15"/>
        <v>0</v>
      </c>
      <c r="AB17" s="3">
        <f t="shared" si="15"/>
        <v>0</v>
      </c>
      <c r="AC17" s="3">
        <f t="shared" si="15"/>
        <v>0</v>
      </c>
      <c r="AD17" s="3">
        <f t="shared" si="15"/>
        <v>0</v>
      </c>
      <c r="AE17" s="3">
        <f t="shared" si="16"/>
        <v>208290</v>
      </c>
      <c r="AF17" s="3">
        <f t="shared" si="16"/>
        <v>0</v>
      </c>
      <c r="AG17" s="3">
        <f t="shared" si="16"/>
        <v>0</v>
      </c>
      <c r="AH17" s="3">
        <f t="shared" si="16"/>
        <v>208290</v>
      </c>
      <c r="AI17" s="3">
        <f t="shared" si="16"/>
        <v>208290</v>
      </c>
      <c r="AJ17" s="3">
        <f t="shared" si="16"/>
        <v>0</v>
      </c>
      <c r="AK17" s="3">
        <f t="shared" si="16"/>
        <v>0</v>
      </c>
      <c r="AL17" s="3">
        <f t="shared" si="16"/>
        <v>208290</v>
      </c>
    </row>
    <row r="18" spans="1:38" s="159" customFormat="1" ht="31.5" x14ac:dyDescent="0.25">
      <c r="A18" s="158" t="s">
        <v>188</v>
      </c>
      <c r="B18" s="158" t="s">
        <v>194</v>
      </c>
      <c r="C18" s="7">
        <f t="shared" ref="C18:F18" si="35">SUM(C9:C11,C12,C17)</f>
        <v>4620866</v>
      </c>
      <c r="D18" s="7">
        <f t="shared" si="35"/>
        <v>530003</v>
      </c>
      <c r="E18" s="7">
        <f t="shared" si="35"/>
        <v>0</v>
      </c>
      <c r="F18" s="7">
        <f t="shared" si="35"/>
        <v>5150869</v>
      </c>
      <c r="G18" s="7">
        <f t="shared" ref="G18:AD18" si="36">SUM(G9:G11,G12,G17)</f>
        <v>580881</v>
      </c>
      <c r="H18" s="7">
        <f t="shared" si="36"/>
        <v>-457013</v>
      </c>
      <c r="I18" s="7">
        <f t="shared" si="36"/>
        <v>0</v>
      </c>
      <c r="J18" s="7">
        <f t="shared" si="36"/>
        <v>123868</v>
      </c>
      <c r="K18" s="7">
        <f t="shared" si="36"/>
        <v>5201747</v>
      </c>
      <c r="L18" s="7">
        <f t="shared" si="36"/>
        <v>72990</v>
      </c>
      <c r="M18" s="7">
        <f t="shared" si="36"/>
        <v>0</v>
      </c>
      <c r="N18" s="7">
        <f t="shared" si="36"/>
        <v>5274737</v>
      </c>
      <c r="O18" s="7">
        <f t="shared" si="36"/>
        <v>0</v>
      </c>
      <c r="P18" s="7">
        <f t="shared" si="36"/>
        <v>0</v>
      </c>
      <c r="Q18" s="7">
        <f t="shared" si="36"/>
        <v>0</v>
      </c>
      <c r="R18" s="7">
        <f t="shared" si="36"/>
        <v>0</v>
      </c>
      <c r="S18" s="7">
        <f t="shared" si="36"/>
        <v>0</v>
      </c>
      <c r="T18" s="7">
        <f t="shared" si="36"/>
        <v>0</v>
      </c>
      <c r="U18" s="7">
        <f t="shared" si="36"/>
        <v>0</v>
      </c>
      <c r="V18" s="7">
        <f t="shared" si="36"/>
        <v>0</v>
      </c>
      <c r="W18" s="7">
        <f t="shared" si="36"/>
        <v>0</v>
      </c>
      <c r="X18" s="7">
        <f t="shared" si="36"/>
        <v>0</v>
      </c>
      <c r="Y18" s="7">
        <f t="shared" si="36"/>
        <v>0</v>
      </c>
      <c r="Z18" s="7">
        <f t="shared" si="36"/>
        <v>0</v>
      </c>
      <c r="AA18" s="7">
        <f t="shared" si="36"/>
        <v>4620866</v>
      </c>
      <c r="AB18" s="7">
        <f t="shared" si="36"/>
        <v>530003</v>
      </c>
      <c r="AC18" s="7">
        <f t="shared" si="36"/>
        <v>0</v>
      </c>
      <c r="AD18" s="7">
        <f t="shared" si="36"/>
        <v>5150869</v>
      </c>
      <c r="AE18" s="7">
        <f t="shared" ref="AE18:AL18" si="37">SUM(AE9:AE11,AE12,AE17)</f>
        <v>580881</v>
      </c>
      <c r="AF18" s="7">
        <f t="shared" si="37"/>
        <v>-457013</v>
      </c>
      <c r="AG18" s="7">
        <f t="shared" si="37"/>
        <v>0</v>
      </c>
      <c r="AH18" s="7">
        <f t="shared" si="37"/>
        <v>123868</v>
      </c>
      <c r="AI18" s="7">
        <f t="shared" si="37"/>
        <v>5201747</v>
      </c>
      <c r="AJ18" s="7">
        <f t="shared" si="37"/>
        <v>72990</v>
      </c>
      <c r="AK18" s="7">
        <f t="shared" si="37"/>
        <v>0</v>
      </c>
      <c r="AL18" s="7">
        <f t="shared" si="37"/>
        <v>5274737</v>
      </c>
    </row>
    <row r="19" spans="1:38" s="159" customFormat="1" ht="31.5" x14ac:dyDescent="0.25">
      <c r="A19" s="158" t="s">
        <v>226</v>
      </c>
      <c r="B19" s="158" t="s">
        <v>227</v>
      </c>
      <c r="C19" s="7">
        <v>42896</v>
      </c>
      <c r="D19" s="7">
        <v>27782</v>
      </c>
      <c r="E19" s="7"/>
      <c r="F19" s="7">
        <f>SUM(C19:E19)</f>
        <v>70678</v>
      </c>
      <c r="G19" s="7">
        <v>3514</v>
      </c>
      <c r="H19" s="7">
        <f>1612184-375500-750000-1844</f>
        <v>484840</v>
      </c>
      <c r="I19" s="7"/>
      <c r="J19" s="7">
        <f>SUM(G19:I19)</f>
        <v>488354</v>
      </c>
      <c r="K19" s="7">
        <f t="shared" ref="K19" si="38">SUM(G19+C19)</f>
        <v>46410</v>
      </c>
      <c r="L19" s="7">
        <f t="shared" ref="L19" si="39">SUM(H19+D19)</f>
        <v>512622</v>
      </c>
      <c r="M19" s="7">
        <f t="shared" ref="M19" si="40">SUM(I19+E19)</f>
        <v>0</v>
      </c>
      <c r="N19" s="7">
        <f t="shared" ref="N19" si="41">SUM(K19:M19)</f>
        <v>559032</v>
      </c>
      <c r="O19" s="7">
        <v>978104</v>
      </c>
      <c r="P19" s="7">
        <v>232472</v>
      </c>
      <c r="Q19" s="7">
        <v>74317</v>
      </c>
      <c r="R19" s="7">
        <f>SUM(O19:Q19)</f>
        <v>1284893</v>
      </c>
      <c r="S19" s="7">
        <v>68927</v>
      </c>
      <c r="T19" s="7">
        <v>129630</v>
      </c>
      <c r="U19" s="7">
        <v>307</v>
      </c>
      <c r="V19" s="7">
        <f>SUM(S19:U19)</f>
        <v>198864</v>
      </c>
      <c r="W19" s="7">
        <f>SUM(S19+O19)</f>
        <v>1047031</v>
      </c>
      <c r="X19" s="7">
        <f>SUM(T19+P19)</f>
        <v>362102</v>
      </c>
      <c r="Y19" s="7">
        <f>SUM(Q19+U19)</f>
        <v>74624</v>
      </c>
      <c r="Z19" s="7">
        <f>SUM(W19:Y19)</f>
        <v>1483757</v>
      </c>
      <c r="AA19" s="3">
        <f>SUM(C19+O19)</f>
        <v>1021000</v>
      </c>
      <c r="AB19" s="3">
        <f>SUM(D19+P19)</f>
        <v>260254</v>
      </c>
      <c r="AC19" s="3">
        <f>SUM(E19+Q19)</f>
        <v>74317</v>
      </c>
      <c r="AD19" s="3">
        <f>SUM(F19+R19)</f>
        <v>1355571</v>
      </c>
      <c r="AE19" s="3">
        <f t="shared" ref="AE19:AL19" si="42">SUM(G19+S19)</f>
        <v>72441</v>
      </c>
      <c r="AF19" s="3">
        <f t="shared" si="42"/>
        <v>614470</v>
      </c>
      <c r="AG19" s="3">
        <f t="shared" si="42"/>
        <v>307</v>
      </c>
      <c r="AH19" s="3">
        <f t="shared" si="42"/>
        <v>687218</v>
      </c>
      <c r="AI19" s="3">
        <f t="shared" si="42"/>
        <v>1093441</v>
      </c>
      <c r="AJ19" s="3">
        <f t="shared" si="42"/>
        <v>874724</v>
      </c>
      <c r="AK19" s="3">
        <f t="shared" si="42"/>
        <v>74624</v>
      </c>
      <c r="AL19" s="3">
        <f t="shared" si="42"/>
        <v>2042789</v>
      </c>
    </row>
    <row r="20" spans="1:38" ht="31.5" x14ac:dyDescent="0.25">
      <c r="A20" s="160" t="s">
        <v>228</v>
      </c>
      <c r="B20" s="160" t="s">
        <v>164</v>
      </c>
      <c r="C20" s="3">
        <f>SUM(C18+C19)</f>
        <v>4663762</v>
      </c>
      <c r="D20" s="3">
        <f t="shared" ref="D20:F20" si="43">SUM(D18+D19)</f>
        <v>557785</v>
      </c>
      <c r="E20" s="3">
        <f t="shared" si="43"/>
        <v>0</v>
      </c>
      <c r="F20" s="3">
        <f t="shared" si="43"/>
        <v>5221547</v>
      </c>
      <c r="G20" s="3">
        <f t="shared" ref="G20:AD20" si="44">SUM(G18+G19)</f>
        <v>584395</v>
      </c>
      <c r="H20" s="3">
        <f t="shared" si="44"/>
        <v>27827</v>
      </c>
      <c r="I20" s="3">
        <f t="shared" si="44"/>
        <v>0</v>
      </c>
      <c r="J20" s="3">
        <f t="shared" si="44"/>
        <v>612222</v>
      </c>
      <c r="K20" s="3">
        <f t="shared" si="44"/>
        <v>5248157</v>
      </c>
      <c r="L20" s="3">
        <f t="shared" si="44"/>
        <v>585612</v>
      </c>
      <c r="M20" s="3">
        <f t="shared" si="44"/>
        <v>0</v>
      </c>
      <c r="N20" s="3">
        <f t="shared" si="44"/>
        <v>5833769</v>
      </c>
      <c r="O20" s="3">
        <f t="shared" si="44"/>
        <v>978104</v>
      </c>
      <c r="P20" s="3">
        <f t="shared" si="44"/>
        <v>232472</v>
      </c>
      <c r="Q20" s="3">
        <f t="shared" si="44"/>
        <v>74317</v>
      </c>
      <c r="R20" s="3">
        <f t="shared" si="44"/>
        <v>1284893</v>
      </c>
      <c r="S20" s="3">
        <f t="shared" si="44"/>
        <v>68927</v>
      </c>
      <c r="T20" s="3">
        <f t="shared" si="44"/>
        <v>129630</v>
      </c>
      <c r="U20" s="3">
        <f t="shared" si="44"/>
        <v>307</v>
      </c>
      <c r="V20" s="3">
        <f t="shared" si="44"/>
        <v>198864</v>
      </c>
      <c r="W20" s="3">
        <f t="shared" si="44"/>
        <v>1047031</v>
      </c>
      <c r="X20" s="3">
        <f t="shared" si="44"/>
        <v>362102</v>
      </c>
      <c r="Y20" s="3">
        <f t="shared" si="44"/>
        <v>74624</v>
      </c>
      <c r="Z20" s="3">
        <f t="shared" si="44"/>
        <v>1483757</v>
      </c>
      <c r="AA20" s="3">
        <f t="shared" si="44"/>
        <v>5641866</v>
      </c>
      <c r="AB20" s="3">
        <f t="shared" si="44"/>
        <v>790257</v>
      </c>
      <c r="AC20" s="3">
        <f t="shared" si="44"/>
        <v>74317</v>
      </c>
      <c r="AD20" s="3">
        <f t="shared" si="44"/>
        <v>6506440</v>
      </c>
      <c r="AE20" s="3">
        <f t="shared" ref="AE20:AL20" si="45">SUM(AE18+AE19)</f>
        <v>653322</v>
      </c>
      <c r="AF20" s="3">
        <f t="shared" si="45"/>
        <v>157457</v>
      </c>
      <c r="AG20" s="3">
        <f t="shared" si="45"/>
        <v>307</v>
      </c>
      <c r="AH20" s="3">
        <f t="shared" si="45"/>
        <v>811086</v>
      </c>
      <c r="AI20" s="3">
        <f t="shared" si="45"/>
        <v>6295188</v>
      </c>
      <c r="AJ20" s="3">
        <f t="shared" si="45"/>
        <v>947714</v>
      </c>
      <c r="AK20" s="3">
        <f t="shared" si="45"/>
        <v>74624</v>
      </c>
      <c r="AL20" s="3">
        <f t="shared" si="45"/>
        <v>7317526</v>
      </c>
    </row>
    <row r="21" spans="1:38" s="162" customFormat="1" ht="31.5" x14ac:dyDescent="0.25">
      <c r="A21" s="158" t="s">
        <v>229</v>
      </c>
      <c r="B21" s="161" t="s">
        <v>195</v>
      </c>
      <c r="C21" s="17"/>
      <c r="D21" s="644"/>
      <c r="E21" s="17">
        <v>0</v>
      </c>
      <c r="F21" s="18">
        <f>SUM(C21:E21)</f>
        <v>0</v>
      </c>
      <c r="G21" s="18"/>
      <c r="H21" s="18"/>
      <c r="I21" s="18"/>
      <c r="J21" s="18">
        <f>SUM(G21:I21)</f>
        <v>0</v>
      </c>
      <c r="K21" s="17">
        <f t="shared" ref="K21:K22" si="46">SUM(G21+C21)</f>
        <v>0</v>
      </c>
      <c r="L21" s="18">
        <f t="shared" ref="L21:L22" si="47">SUM(H21+D21)</f>
        <v>0</v>
      </c>
      <c r="M21" s="18">
        <f t="shared" ref="M21:M22" si="48">SUM(I21+E21)</f>
        <v>0</v>
      </c>
      <c r="N21" s="18">
        <f t="shared" ref="N21:N22" si="49">SUM(K21:M21)</f>
        <v>0</v>
      </c>
      <c r="O21" s="17"/>
      <c r="P21" s="17"/>
      <c r="Q21" s="17"/>
      <c r="R21" s="17">
        <f>SUM(O21:Q21)</f>
        <v>0</v>
      </c>
      <c r="S21" s="17"/>
      <c r="T21" s="17"/>
      <c r="U21" s="17"/>
      <c r="V21" s="17">
        <f>SUM(S21:U21)</f>
        <v>0</v>
      </c>
      <c r="W21" s="17">
        <f>SUM(S21+O21)</f>
        <v>0</v>
      </c>
      <c r="X21" s="17">
        <f>SUM(T21+P21)</f>
        <v>0</v>
      </c>
      <c r="Y21" s="17">
        <f>SUM(Q21+U21)</f>
        <v>0</v>
      </c>
      <c r="Z21" s="17">
        <f>SUM(W21:Y21)</f>
        <v>0</v>
      </c>
      <c r="AA21" s="3">
        <f t="shared" ref="AA21:AD22" si="50">SUM(C21+O21)</f>
        <v>0</v>
      </c>
      <c r="AB21" s="3">
        <f t="shared" si="50"/>
        <v>0</v>
      </c>
      <c r="AC21" s="3">
        <f t="shared" si="50"/>
        <v>0</v>
      </c>
      <c r="AD21" s="3">
        <f t="shared" si="50"/>
        <v>0</v>
      </c>
      <c r="AE21" s="3">
        <f t="shared" ref="AE21:AL22" si="51">SUM(G21+S21)</f>
        <v>0</v>
      </c>
      <c r="AF21" s="3">
        <f t="shared" si="51"/>
        <v>0</v>
      </c>
      <c r="AG21" s="3">
        <f t="shared" si="51"/>
        <v>0</v>
      </c>
      <c r="AH21" s="3">
        <f t="shared" si="51"/>
        <v>0</v>
      </c>
      <c r="AI21" s="3">
        <f t="shared" si="51"/>
        <v>0</v>
      </c>
      <c r="AJ21" s="3">
        <f t="shared" si="51"/>
        <v>0</v>
      </c>
      <c r="AK21" s="3">
        <f t="shared" si="51"/>
        <v>0</v>
      </c>
      <c r="AL21" s="3">
        <f t="shared" si="51"/>
        <v>0</v>
      </c>
    </row>
    <row r="22" spans="1:38" s="162" customFormat="1" ht="31.5" x14ac:dyDescent="0.25">
      <c r="A22" s="158" t="s">
        <v>231</v>
      </c>
      <c r="B22" s="161" t="s">
        <v>230</v>
      </c>
      <c r="C22" s="17">
        <v>8757551</v>
      </c>
      <c r="D22" s="644">
        <v>1847285</v>
      </c>
      <c r="E22" s="17">
        <v>0</v>
      </c>
      <c r="F22" s="18">
        <f>SUM(C22:E22)</f>
        <v>10604836</v>
      </c>
      <c r="G22" s="18">
        <f>-3995582-62420-9034</f>
        <v>-4067036</v>
      </c>
      <c r="H22" s="18">
        <f>-172659+375500+750000+1844</f>
        <v>954685</v>
      </c>
      <c r="I22" s="18"/>
      <c r="J22" s="18">
        <f>SUM(G22:I22)</f>
        <v>-3112351</v>
      </c>
      <c r="K22" s="17">
        <f t="shared" si="46"/>
        <v>4690515</v>
      </c>
      <c r="L22" s="18">
        <f t="shared" si="47"/>
        <v>2801970</v>
      </c>
      <c r="M22" s="18">
        <f t="shared" si="48"/>
        <v>0</v>
      </c>
      <c r="N22" s="18">
        <f t="shared" si="49"/>
        <v>7492485</v>
      </c>
      <c r="O22" s="17"/>
      <c r="P22" s="17"/>
      <c r="Q22" s="17"/>
      <c r="R22" s="17">
        <f>SUM(O22:Q22)</f>
        <v>0</v>
      </c>
      <c r="S22" s="17"/>
      <c r="T22" s="17">
        <v>2866</v>
      </c>
      <c r="U22" s="17"/>
      <c r="V22" s="17">
        <f>SUM(S22:U22)</f>
        <v>2866</v>
      </c>
      <c r="W22" s="17">
        <f>SUM(S22+O22)</f>
        <v>0</v>
      </c>
      <c r="X22" s="17">
        <f>SUM(T22+P22)</f>
        <v>2866</v>
      </c>
      <c r="Y22" s="17">
        <f>SUM(Q22+U22)</f>
        <v>0</v>
      </c>
      <c r="Z22" s="17">
        <f>SUM(W22:Y22)</f>
        <v>2866</v>
      </c>
      <c r="AA22" s="3">
        <f t="shared" si="50"/>
        <v>8757551</v>
      </c>
      <c r="AB22" s="3">
        <f t="shared" si="50"/>
        <v>1847285</v>
      </c>
      <c r="AC22" s="3">
        <f t="shared" si="50"/>
        <v>0</v>
      </c>
      <c r="AD22" s="3">
        <f t="shared" si="50"/>
        <v>10604836</v>
      </c>
      <c r="AE22" s="3">
        <f t="shared" si="51"/>
        <v>-4067036</v>
      </c>
      <c r="AF22" s="3">
        <f t="shared" si="51"/>
        <v>957551</v>
      </c>
      <c r="AG22" s="3">
        <f t="shared" si="51"/>
        <v>0</v>
      </c>
      <c r="AH22" s="3">
        <f t="shared" si="51"/>
        <v>-3109485</v>
      </c>
      <c r="AI22" s="3">
        <f t="shared" si="51"/>
        <v>4690515</v>
      </c>
      <c r="AJ22" s="3">
        <f t="shared" si="51"/>
        <v>2804836</v>
      </c>
      <c r="AK22" s="3">
        <f t="shared" si="51"/>
        <v>0</v>
      </c>
      <c r="AL22" s="3">
        <f t="shared" si="51"/>
        <v>7495351</v>
      </c>
    </row>
    <row r="23" spans="1:38" s="164" customFormat="1" ht="31.5" x14ac:dyDescent="0.25">
      <c r="A23" s="160" t="s">
        <v>232</v>
      </c>
      <c r="B23" s="163" t="s">
        <v>165</v>
      </c>
      <c r="C23" s="19">
        <f>SUM(C21+C22)</f>
        <v>8757551</v>
      </c>
      <c r="D23" s="19">
        <f t="shared" ref="D23:F23" si="52">SUM(D21+D22)</f>
        <v>1847285</v>
      </c>
      <c r="E23" s="19">
        <f t="shared" si="52"/>
        <v>0</v>
      </c>
      <c r="F23" s="19">
        <f t="shared" si="52"/>
        <v>10604836</v>
      </c>
      <c r="G23" s="19">
        <f t="shared" ref="G23:AD23" si="53">SUM(G21+G22)</f>
        <v>-4067036</v>
      </c>
      <c r="H23" s="19">
        <f t="shared" si="53"/>
        <v>954685</v>
      </c>
      <c r="I23" s="19">
        <f t="shared" si="53"/>
        <v>0</v>
      </c>
      <c r="J23" s="19">
        <f t="shared" si="53"/>
        <v>-3112351</v>
      </c>
      <c r="K23" s="19">
        <f t="shared" si="53"/>
        <v>4690515</v>
      </c>
      <c r="L23" s="19">
        <f t="shared" si="53"/>
        <v>2801970</v>
      </c>
      <c r="M23" s="19">
        <f t="shared" si="53"/>
        <v>0</v>
      </c>
      <c r="N23" s="19">
        <f t="shared" si="53"/>
        <v>7492485</v>
      </c>
      <c r="O23" s="19">
        <f t="shared" si="53"/>
        <v>0</v>
      </c>
      <c r="P23" s="19">
        <f t="shared" si="53"/>
        <v>0</v>
      </c>
      <c r="Q23" s="19">
        <f t="shared" si="53"/>
        <v>0</v>
      </c>
      <c r="R23" s="19">
        <f t="shared" si="53"/>
        <v>0</v>
      </c>
      <c r="S23" s="19">
        <f t="shared" si="53"/>
        <v>0</v>
      </c>
      <c r="T23" s="19">
        <f t="shared" si="53"/>
        <v>2866</v>
      </c>
      <c r="U23" s="19">
        <f t="shared" si="53"/>
        <v>0</v>
      </c>
      <c r="V23" s="19">
        <f t="shared" si="53"/>
        <v>2866</v>
      </c>
      <c r="W23" s="19">
        <f t="shared" si="53"/>
        <v>0</v>
      </c>
      <c r="X23" s="19">
        <f t="shared" si="53"/>
        <v>2866</v>
      </c>
      <c r="Y23" s="19">
        <f t="shared" si="53"/>
        <v>0</v>
      </c>
      <c r="Z23" s="19">
        <f t="shared" si="53"/>
        <v>2866</v>
      </c>
      <c r="AA23" s="19">
        <f t="shared" si="53"/>
        <v>8757551</v>
      </c>
      <c r="AB23" s="19">
        <f t="shared" si="53"/>
        <v>1847285</v>
      </c>
      <c r="AC23" s="19">
        <f t="shared" si="53"/>
        <v>0</v>
      </c>
      <c r="AD23" s="19">
        <f t="shared" si="53"/>
        <v>10604836</v>
      </c>
      <c r="AE23" s="19">
        <f t="shared" ref="AE23:AL23" si="54">SUM(AE21+AE22)</f>
        <v>-4067036</v>
      </c>
      <c r="AF23" s="19">
        <f t="shared" si="54"/>
        <v>957551</v>
      </c>
      <c r="AG23" s="19">
        <f t="shared" si="54"/>
        <v>0</v>
      </c>
      <c r="AH23" s="19">
        <f t="shared" si="54"/>
        <v>-3109485</v>
      </c>
      <c r="AI23" s="19">
        <f t="shared" si="54"/>
        <v>4690515</v>
      </c>
      <c r="AJ23" s="19">
        <f t="shared" si="54"/>
        <v>2804836</v>
      </c>
      <c r="AK23" s="19">
        <f t="shared" si="54"/>
        <v>0</v>
      </c>
      <c r="AL23" s="19">
        <f t="shared" si="54"/>
        <v>7495351</v>
      </c>
    </row>
    <row r="24" spans="1:38" ht="31.5" x14ac:dyDescent="0.25">
      <c r="A24" s="160" t="s">
        <v>1299</v>
      </c>
      <c r="B24" s="12" t="s">
        <v>1300</v>
      </c>
      <c r="C24" s="2">
        <v>0</v>
      </c>
      <c r="D24" s="645"/>
      <c r="E24" s="2"/>
      <c r="F24" s="6">
        <f>SUM(C24:E24)</f>
        <v>0</v>
      </c>
      <c r="G24" s="6">
        <v>130</v>
      </c>
      <c r="H24" s="6"/>
      <c r="I24" s="6"/>
      <c r="J24" s="6">
        <f>SUM(G24:I24)</f>
        <v>130</v>
      </c>
      <c r="K24" s="5">
        <f t="shared" ref="K24" si="55">SUM(G24+C24)</f>
        <v>130</v>
      </c>
      <c r="L24" s="6">
        <f t="shared" ref="L24" si="56">SUM(H24+D24)</f>
        <v>0</v>
      </c>
      <c r="M24" s="6">
        <f t="shared" ref="M24" si="57">SUM(I24+E24)</f>
        <v>0</v>
      </c>
      <c r="N24" s="6">
        <f t="shared" ref="N24" si="58">SUM(K24:M24)</f>
        <v>130</v>
      </c>
      <c r="O24" s="2"/>
      <c r="P24" s="2"/>
      <c r="Q24" s="2"/>
      <c r="R24" s="2">
        <f>SUM(O24:Q24)</f>
        <v>0</v>
      </c>
      <c r="S24" s="2"/>
      <c r="T24" s="2"/>
      <c r="U24" s="2"/>
      <c r="V24" s="2">
        <f>SUM(S24:U24)</f>
        <v>0</v>
      </c>
      <c r="W24" s="2">
        <f>SUM(S24+O24)</f>
        <v>0</v>
      </c>
      <c r="X24" s="2">
        <f>SUM(T24+P24)</f>
        <v>0</v>
      </c>
      <c r="Y24" s="2">
        <f>SUM(Q24+U24)</f>
        <v>0</v>
      </c>
      <c r="Z24" s="2">
        <f>SUM(W24:Y24)</f>
        <v>0</v>
      </c>
      <c r="AA24" s="3">
        <f t="shared" ref="AA24:AC25" si="59">SUM(O24+C24)</f>
        <v>0</v>
      </c>
      <c r="AB24" s="2">
        <f t="shared" si="59"/>
        <v>0</v>
      </c>
      <c r="AC24" s="2">
        <f t="shared" si="59"/>
        <v>0</v>
      </c>
      <c r="AD24" s="2">
        <f>SUM(AA24:AC24)</f>
        <v>0</v>
      </c>
      <c r="AE24" s="3">
        <f t="shared" ref="AE24" si="60">SUM(S24+G24)</f>
        <v>130</v>
      </c>
      <c r="AF24" s="2">
        <f t="shared" ref="AF24" si="61">SUM(T24+H24)</f>
        <v>0</v>
      </c>
      <c r="AG24" s="2">
        <f t="shared" ref="AG24" si="62">SUM(U24+I24)</f>
        <v>0</v>
      </c>
      <c r="AH24" s="2">
        <f t="shared" ref="AH24" si="63">SUM(AE24:AG24)</f>
        <v>130</v>
      </c>
      <c r="AI24" s="3">
        <f t="shared" ref="AI24" si="64">SUM(W24+K24)</f>
        <v>130</v>
      </c>
      <c r="AJ24" s="2">
        <f t="shared" ref="AJ24" si="65">SUM(X24+L24)</f>
        <v>0</v>
      </c>
      <c r="AK24" s="2">
        <f t="shared" ref="AK24" si="66">SUM(Y24+M24)</f>
        <v>0</v>
      </c>
      <c r="AL24" s="2">
        <f t="shared" ref="AL24" si="67">SUM(AI24:AK24)</f>
        <v>130</v>
      </c>
    </row>
    <row r="25" spans="1:38" x14ac:dyDescent="0.25">
      <c r="A25" s="12" t="s">
        <v>1301</v>
      </c>
      <c r="B25" s="12" t="s">
        <v>196</v>
      </c>
      <c r="C25" s="2">
        <v>2300000</v>
      </c>
      <c r="D25" s="645"/>
      <c r="E25" s="2"/>
      <c r="F25" s="6">
        <f>SUM(C25:E25)</f>
        <v>2300000</v>
      </c>
      <c r="G25" s="6"/>
      <c r="H25" s="6"/>
      <c r="I25" s="6"/>
      <c r="J25" s="6">
        <f>SUM(G25:I25)</f>
        <v>0</v>
      </c>
      <c r="K25" s="5">
        <f t="shared" ref="K25" si="68">SUM(G25+C25)</f>
        <v>2300000</v>
      </c>
      <c r="L25" s="6">
        <f t="shared" ref="L25" si="69">SUM(H25+D25)</f>
        <v>0</v>
      </c>
      <c r="M25" s="6">
        <f t="shared" ref="M25" si="70">SUM(I25+E25)</f>
        <v>0</v>
      </c>
      <c r="N25" s="6">
        <f t="shared" ref="N25" si="71">SUM(K25:M25)</f>
        <v>2300000</v>
      </c>
      <c r="O25" s="2"/>
      <c r="P25" s="2"/>
      <c r="Q25" s="2"/>
      <c r="R25" s="2">
        <f>SUM(O25:Q25)</f>
        <v>0</v>
      </c>
      <c r="S25" s="2"/>
      <c r="T25" s="2"/>
      <c r="U25" s="2"/>
      <c r="V25" s="2">
        <f>SUM(S25:U25)</f>
        <v>0</v>
      </c>
      <c r="W25" s="2">
        <f>SUM(S25+O25)</f>
        <v>0</v>
      </c>
      <c r="X25" s="2">
        <f>SUM(T25+P25)</f>
        <v>0</v>
      </c>
      <c r="Y25" s="2">
        <f>SUM(Q25+U25)</f>
        <v>0</v>
      </c>
      <c r="Z25" s="2">
        <f>SUM(W25:Y25)</f>
        <v>0</v>
      </c>
      <c r="AA25" s="3">
        <f t="shared" si="59"/>
        <v>2300000</v>
      </c>
      <c r="AB25" s="2">
        <f t="shared" si="59"/>
        <v>0</v>
      </c>
      <c r="AC25" s="2">
        <f t="shared" si="59"/>
        <v>0</v>
      </c>
      <c r="AD25" s="2">
        <f>SUM(AA25:AC25)</f>
        <v>2300000</v>
      </c>
      <c r="AE25" s="3">
        <f t="shared" ref="AE25:AG25" si="72">SUM(S25+G25)</f>
        <v>0</v>
      </c>
      <c r="AF25" s="2">
        <f t="shared" si="72"/>
        <v>0</v>
      </c>
      <c r="AG25" s="2">
        <f t="shared" si="72"/>
        <v>0</v>
      </c>
      <c r="AH25" s="2">
        <f t="shared" ref="AH25" si="73">SUM(AE25:AG25)</f>
        <v>0</v>
      </c>
      <c r="AI25" s="3">
        <f t="shared" ref="AI25:AK25" si="74">SUM(W25+K25)</f>
        <v>2300000</v>
      </c>
      <c r="AJ25" s="2">
        <f t="shared" si="74"/>
        <v>0</v>
      </c>
      <c r="AK25" s="2">
        <f t="shared" si="74"/>
        <v>0</v>
      </c>
      <c r="AL25" s="2">
        <f t="shared" ref="AL25" si="75">SUM(AI25:AK25)</f>
        <v>2300000</v>
      </c>
    </row>
    <row r="26" spans="1:38" s="159" customFormat="1" x14ac:dyDescent="0.25">
      <c r="A26" s="158" t="s">
        <v>1302</v>
      </c>
      <c r="B26" s="158" t="s">
        <v>196</v>
      </c>
      <c r="C26" s="7">
        <f t="shared" ref="C26:F26" si="76">SUM(C25:C25)</f>
        <v>2300000</v>
      </c>
      <c r="D26" s="7">
        <f t="shared" si="76"/>
        <v>0</v>
      </c>
      <c r="E26" s="7">
        <f t="shared" si="76"/>
        <v>0</v>
      </c>
      <c r="F26" s="7">
        <f t="shared" si="76"/>
        <v>2300000</v>
      </c>
      <c r="G26" s="7">
        <f t="shared" ref="G26:AD26" si="77">SUM(G25:G25)</f>
        <v>0</v>
      </c>
      <c r="H26" s="7">
        <f t="shared" si="77"/>
        <v>0</v>
      </c>
      <c r="I26" s="7">
        <f t="shared" si="77"/>
        <v>0</v>
      </c>
      <c r="J26" s="7">
        <f t="shared" si="77"/>
        <v>0</v>
      </c>
      <c r="K26" s="7">
        <f t="shared" si="77"/>
        <v>2300000</v>
      </c>
      <c r="L26" s="7">
        <f t="shared" si="77"/>
        <v>0</v>
      </c>
      <c r="M26" s="7">
        <f t="shared" si="77"/>
        <v>0</v>
      </c>
      <c r="N26" s="7">
        <f t="shared" si="77"/>
        <v>2300000</v>
      </c>
      <c r="O26" s="7">
        <f t="shared" si="77"/>
        <v>0</v>
      </c>
      <c r="P26" s="7">
        <f t="shared" si="77"/>
        <v>0</v>
      </c>
      <c r="Q26" s="7">
        <f t="shared" si="77"/>
        <v>0</v>
      </c>
      <c r="R26" s="7">
        <f t="shared" si="77"/>
        <v>0</v>
      </c>
      <c r="S26" s="7">
        <f t="shared" si="77"/>
        <v>0</v>
      </c>
      <c r="T26" s="7">
        <f t="shared" si="77"/>
        <v>0</v>
      </c>
      <c r="U26" s="7">
        <f t="shared" si="77"/>
        <v>0</v>
      </c>
      <c r="V26" s="7">
        <f t="shared" si="77"/>
        <v>0</v>
      </c>
      <c r="W26" s="7">
        <f t="shared" si="77"/>
        <v>0</v>
      </c>
      <c r="X26" s="7">
        <f t="shared" si="77"/>
        <v>0</v>
      </c>
      <c r="Y26" s="7">
        <f t="shared" si="77"/>
        <v>0</v>
      </c>
      <c r="Z26" s="7">
        <f t="shared" si="77"/>
        <v>0</v>
      </c>
      <c r="AA26" s="7">
        <f t="shared" si="77"/>
        <v>2300000</v>
      </c>
      <c r="AB26" s="7">
        <f t="shared" si="77"/>
        <v>0</v>
      </c>
      <c r="AC26" s="7">
        <f t="shared" si="77"/>
        <v>0</v>
      </c>
      <c r="AD26" s="7">
        <f t="shared" si="77"/>
        <v>2300000</v>
      </c>
      <c r="AE26" s="7">
        <f t="shared" ref="AE26:AL26" si="78">SUM(AE25:AE25)</f>
        <v>0</v>
      </c>
      <c r="AF26" s="7">
        <f t="shared" si="78"/>
        <v>0</v>
      </c>
      <c r="AG26" s="7">
        <f t="shared" si="78"/>
        <v>0</v>
      </c>
      <c r="AH26" s="7">
        <f t="shared" si="78"/>
        <v>0</v>
      </c>
      <c r="AI26" s="7">
        <f t="shared" si="78"/>
        <v>2300000</v>
      </c>
      <c r="AJ26" s="7">
        <f t="shared" si="78"/>
        <v>0</v>
      </c>
      <c r="AK26" s="7">
        <f t="shared" si="78"/>
        <v>0</v>
      </c>
      <c r="AL26" s="7">
        <f t="shared" si="78"/>
        <v>2300000</v>
      </c>
    </row>
    <row r="27" spans="1:38" x14ac:dyDescent="0.25">
      <c r="A27" s="12" t="s">
        <v>1303</v>
      </c>
      <c r="B27" s="12" t="s">
        <v>197</v>
      </c>
      <c r="C27" s="2">
        <v>14100000</v>
      </c>
      <c r="D27" s="645"/>
      <c r="E27" s="2"/>
      <c r="F27" s="6">
        <f>SUM(C27:E27)</f>
        <v>14100000</v>
      </c>
      <c r="G27" s="6">
        <v>1402195</v>
      </c>
      <c r="H27" s="6"/>
      <c r="I27" s="6"/>
      <c r="J27" s="6">
        <f>SUM(G27:I27)</f>
        <v>1402195</v>
      </c>
      <c r="K27" s="5">
        <f t="shared" ref="K27" si="79">SUM(G27+C27)</f>
        <v>15502195</v>
      </c>
      <c r="L27" s="6">
        <f t="shared" ref="L27" si="80">SUM(H27+D27)</f>
        <v>0</v>
      </c>
      <c r="M27" s="6">
        <f t="shared" ref="M27" si="81">SUM(I27+E27)</f>
        <v>0</v>
      </c>
      <c r="N27" s="6">
        <f t="shared" ref="N27" si="82">SUM(K27:M27)</f>
        <v>15502195</v>
      </c>
      <c r="O27" s="2"/>
      <c r="P27" s="2"/>
      <c r="Q27" s="2"/>
      <c r="R27" s="2">
        <f>SUM(O27:Q27)</f>
        <v>0</v>
      </c>
      <c r="S27" s="2"/>
      <c r="T27" s="2"/>
      <c r="U27" s="2"/>
      <c r="V27" s="2">
        <f>SUM(S27:U27)</f>
        <v>0</v>
      </c>
      <c r="W27" s="2">
        <f>SUM(S27+O27)</f>
        <v>0</v>
      </c>
      <c r="X27" s="2">
        <f>SUM(T27+P27)</f>
        <v>0</v>
      </c>
      <c r="Y27" s="2">
        <f>SUM(Q27+U27)</f>
        <v>0</v>
      </c>
      <c r="Z27" s="2">
        <f>SUM(W27:Y27)</f>
        <v>0</v>
      </c>
      <c r="AA27" s="3">
        <f>SUM(O27+C27)</f>
        <v>14100000</v>
      </c>
      <c r="AB27" s="2">
        <f>SUM(P27+D27)</f>
        <v>0</v>
      </c>
      <c r="AC27" s="2">
        <f>SUM(Q27+E27)</f>
        <v>0</v>
      </c>
      <c r="AD27" s="2">
        <f>SUM(AA27:AC27)</f>
        <v>14100000</v>
      </c>
      <c r="AE27" s="3">
        <f t="shared" ref="AE27:AG27" si="83">SUM(S27+G27)</f>
        <v>1402195</v>
      </c>
      <c r="AF27" s="2">
        <f t="shared" si="83"/>
        <v>0</v>
      </c>
      <c r="AG27" s="2">
        <f t="shared" si="83"/>
        <v>0</v>
      </c>
      <c r="AH27" s="2">
        <f t="shared" ref="AH27" si="84">SUM(AE27:AG27)</f>
        <v>1402195</v>
      </c>
      <c r="AI27" s="3">
        <f t="shared" ref="AI27:AK27" si="85">SUM(W27+K27)</f>
        <v>15502195</v>
      </c>
      <c r="AJ27" s="2">
        <f t="shared" si="85"/>
        <v>0</v>
      </c>
      <c r="AK27" s="2">
        <f t="shared" si="85"/>
        <v>0</v>
      </c>
      <c r="AL27" s="2">
        <f t="shared" ref="AL27" si="86">SUM(AI27:AK27)</f>
        <v>15502195</v>
      </c>
    </row>
    <row r="28" spans="1:38" s="162" customFormat="1" x14ac:dyDescent="0.25">
      <c r="A28" s="158" t="s">
        <v>1304</v>
      </c>
      <c r="B28" s="158" t="s">
        <v>197</v>
      </c>
      <c r="C28" s="7">
        <f>SUM(C27)</f>
        <v>14100000</v>
      </c>
      <c r="D28" s="7">
        <f t="shared" ref="D28:F28" si="87">SUM(D27)</f>
        <v>0</v>
      </c>
      <c r="E28" s="7">
        <f t="shared" si="87"/>
        <v>0</v>
      </c>
      <c r="F28" s="7">
        <f t="shared" si="87"/>
        <v>14100000</v>
      </c>
      <c r="G28" s="7">
        <f t="shared" ref="G28:AD28" si="88">SUM(G27)</f>
        <v>1402195</v>
      </c>
      <c r="H28" s="7">
        <f t="shared" si="88"/>
        <v>0</v>
      </c>
      <c r="I28" s="7">
        <f t="shared" si="88"/>
        <v>0</v>
      </c>
      <c r="J28" s="7">
        <f t="shared" si="88"/>
        <v>1402195</v>
      </c>
      <c r="K28" s="7">
        <f t="shared" si="88"/>
        <v>15502195</v>
      </c>
      <c r="L28" s="7">
        <f t="shared" si="88"/>
        <v>0</v>
      </c>
      <c r="M28" s="7">
        <f t="shared" si="88"/>
        <v>0</v>
      </c>
      <c r="N28" s="7">
        <f t="shared" si="88"/>
        <v>15502195</v>
      </c>
      <c r="O28" s="7">
        <f t="shared" ref="O28:Q28" si="89">SUM(O27)</f>
        <v>0</v>
      </c>
      <c r="P28" s="7">
        <f t="shared" si="89"/>
        <v>0</v>
      </c>
      <c r="Q28" s="7">
        <f t="shared" si="89"/>
        <v>0</v>
      </c>
      <c r="R28" s="7">
        <f t="shared" si="88"/>
        <v>0</v>
      </c>
      <c r="S28" s="7">
        <f t="shared" si="88"/>
        <v>0</v>
      </c>
      <c r="T28" s="7">
        <f t="shared" si="88"/>
        <v>0</v>
      </c>
      <c r="U28" s="7">
        <f t="shared" si="88"/>
        <v>0</v>
      </c>
      <c r="V28" s="7">
        <f t="shared" si="88"/>
        <v>0</v>
      </c>
      <c r="W28" s="7">
        <f t="shared" si="88"/>
        <v>0</v>
      </c>
      <c r="X28" s="7">
        <f t="shared" si="88"/>
        <v>0</v>
      </c>
      <c r="Y28" s="7">
        <f t="shared" si="88"/>
        <v>0</v>
      </c>
      <c r="Z28" s="7">
        <f t="shared" si="88"/>
        <v>0</v>
      </c>
      <c r="AA28" s="7">
        <f t="shared" si="88"/>
        <v>14100000</v>
      </c>
      <c r="AB28" s="7">
        <f t="shared" si="88"/>
        <v>0</v>
      </c>
      <c r="AC28" s="7">
        <f t="shared" si="88"/>
        <v>0</v>
      </c>
      <c r="AD28" s="7">
        <f t="shared" si="88"/>
        <v>14100000</v>
      </c>
      <c r="AE28" s="7">
        <f t="shared" ref="AE28:AL28" si="90">SUM(AE27)</f>
        <v>1402195</v>
      </c>
      <c r="AF28" s="7">
        <f t="shared" si="90"/>
        <v>0</v>
      </c>
      <c r="AG28" s="7">
        <f t="shared" si="90"/>
        <v>0</v>
      </c>
      <c r="AH28" s="7">
        <f t="shared" si="90"/>
        <v>1402195</v>
      </c>
      <c r="AI28" s="7">
        <f t="shared" si="90"/>
        <v>15502195</v>
      </c>
      <c r="AJ28" s="7">
        <f t="shared" si="90"/>
        <v>0</v>
      </c>
      <c r="AK28" s="7">
        <f t="shared" si="90"/>
        <v>0</v>
      </c>
      <c r="AL28" s="7">
        <f t="shared" si="90"/>
        <v>15502195</v>
      </c>
    </row>
    <row r="29" spans="1:38" s="162" customFormat="1" x14ac:dyDescent="0.25">
      <c r="A29" s="158" t="s">
        <v>1305</v>
      </c>
      <c r="B29" s="158" t="s">
        <v>198</v>
      </c>
      <c r="C29" s="7">
        <v>0</v>
      </c>
      <c r="D29" s="646"/>
      <c r="E29" s="7"/>
      <c r="F29" s="10">
        <f>SUM(C29:E29)</f>
        <v>0</v>
      </c>
      <c r="G29" s="10"/>
      <c r="H29" s="10"/>
      <c r="I29" s="10"/>
      <c r="J29" s="10">
        <f>SUM(G29:I29)</f>
        <v>0</v>
      </c>
      <c r="K29" s="7">
        <f t="shared" ref="K29:K30" si="91">SUM(G29+C29)</f>
        <v>0</v>
      </c>
      <c r="L29" s="10">
        <f t="shared" ref="L29:L30" si="92">SUM(H29+D29)</f>
        <v>0</v>
      </c>
      <c r="M29" s="10">
        <f t="shared" ref="M29:M30" si="93">SUM(I29+E29)</f>
        <v>0</v>
      </c>
      <c r="N29" s="10">
        <f t="shared" ref="N29:N30" si="94">SUM(K29:M29)</f>
        <v>0</v>
      </c>
      <c r="O29" s="11"/>
      <c r="P29" s="11"/>
      <c r="Q29" s="11"/>
      <c r="R29" s="11"/>
      <c r="S29" s="11"/>
      <c r="T29" s="11"/>
      <c r="U29" s="11"/>
      <c r="V29" s="11">
        <f>SUM(S29:U29)</f>
        <v>0</v>
      </c>
      <c r="W29" s="11">
        <f t="shared" ref="W29:W30" si="95">SUM(S29+O29)</f>
        <v>0</v>
      </c>
      <c r="X29" s="11">
        <f t="shared" ref="X29:X30" si="96">SUM(T29+P29)</f>
        <v>0</v>
      </c>
      <c r="Y29" s="11">
        <f t="shared" ref="Y29:Y30" si="97">SUM(Q29+U29)</f>
        <v>0</v>
      </c>
      <c r="Z29" s="11">
        <f t="shared" ref="Z29:Z30" si="98">SUM(W29:Y29)</f>
        <v>0</v>
      </c>
      <c r="AA29" s="7">
        <f t="shared" ref="AA29:AC30" si="99">SUM(O29+C29)</f>
        <v>0</v>
      </c>
      <c r="AB29" s="11">
        <f t="shared" si="99"/>
        <v>0</v>
      </c>
      <c r="AC29" s="11">
        <f t="shared" si="99"/>
        <v>0</v>
      </c>
      <c r="AD29" s="11">
        <f>SUM(AA29:AC29)</f>
        <v>0</v>
      </c>
      <c r="AE29" s="7">
        <f t="shared" ref="AE29:AG30" si="100">SUM(S29+G29)</f>
        <v>0</v>
      </c>
      <c r="AF29" s="11">
        <f t="shared" si="100"/>
        <v>0</v>
      </c>
      <c r="AG29" s="11">
        <f t="shared" si="100"/>
        <v>0</v>
      </c>
      <c r="AH29" s="11">
        <f t="shared" ref="AH29:AH30" si="101">SUM(AE29:AG29)</f>
        <v>0</v>
      </c>
      <c r="AI29" s="7">
        <f t="shared" ref="AI29:AK30" si="102">SUM(W29+K29)</f>
        <v>0</v>
      </c>
      <c r="AJ29" s="11">
        <f t="shared" si="102"/>
        <v>0</v>
      </c>
      <c r="AK29" s="11">
        <f t="shared" si="102"/>
        <v>0</v>
      </c>
      <c r="AL29" s="11">
        <f t="shared" ref="AL29:AL30" si="103">SUM(AI29:AK29)</f>
        <v>0</v>
      </c>
    </row>
    <row r="30" spans="1:38" x14ac:dyDescent="0.25">
      <c r="A30" s="12" t="s">
        <v>1306</v>
      </c>
      <c r="B30" s="12" t="s">
        <v>199</v>
      </c>
      <c r="C30" s="2">
        <v>13698</v>
      </c>
      <c r="D30" s="645"/>
      <c r="E30" s="2"/>
      <c r="F30" s="6">
        <f>SUM(C30:E30)</f>
        <v>13698</v>
      </c>
      <c r="G30" s="6">
        <v>2384</v>
      </c>
      <c r="H30" s="6"/>
      <c r="I30" s="6"/>
      <c r="J30" s="6">
        <f>SUM(G30:I30)</f>
        <v>2384</v>
      </c>
      <c r="K30" s="5">
        <f t="shared" si="91"/>
        <v>16082</v>
      </c>
      <c r="L30" s="6">
        <f t="shared" si="92"/>
        <v>0</v>
      </c>
      <c r="M30" s="6">
        <f t="shared" si="93"/>
        <v>0</v>
      </c>
      <c r="N30" s="6">
        <f t="shared" si="94"/>
        <v>16082</v>
      </c>
      <c r="O30" s="2"/>
      <c r="P30" s="2"/>
      <c r="Q30" s="2"/>
      <c r="R30" s="2">
        <f>SUM(O30:Q30)</f>
        <v>0</v>
      </c>
      <c r="S30" s="2"/>
      <c r="T30" s="2"/>
      <c r="U30" s="2"/>
      <c r="V30" s="2">
        <f>SUM(S30:U30)</f>
        <v>0</v>
      </c>
      <c r="W30" s="2">
        <f t="shared" si="95"/>
        <v>0</v>
      </c>
      <c r="X30" s="2">
        <f t="shared" si="96"/>
        <v>0</v>
      </c>
      <c r="Y30" s="2">
        <f t="shared" si="97"/>
        <v>0</v>
      </c>
      <c r="Z30" s="2">
        <f t="shared" si="98"/>
        <v>0</v>
      </c>
      <c r="AA30" s="3">
        <f t="shared" si="99"/>
        <v>13698</v>
      </c>
      <c r="AB30" s="2">
        <f t="shared" si="99"/>
        <v>0</v>
      </c>
      <c r="AC30" s="2">
        <f t="shared" si="99"/>
        <v>0</v>
      </c>
      <c r="AD30" s="3">
        <f>SUM(AA30:AC30)</f>
        <v>13698</v>
      </c>
      <c r="AE30" s="3">
        <f t="shared" si="100"/>
        <v>2384</v>
      </c>
      <c r="AF30" s="2">
        <f t="shared" si="100"/>
        <v>0</v>
      </c>
      <c r="AG30" s="2">
        <f t="shared" si="100"/>
        <v>0</v>
      </c>
      <c r="AH30" s="2">
        <f t="shared" si="101"/>
        <v>2384</v>
      </c>
      <c r="AI30" s="3">
        <f t="shared" si="102"/>
        <v>16082</v>
      </c>
      <c r="AJ30" s="2">
        <f t="shared" si="102"/>
        <v>0</v>
      </c>
      <c r="AK30" s="2">
        <f t="shared" si="102"/>
        <v>0</v>
      </c>
      <c r="AL30" s="2">
        <f t="shared" si="103"/>
        <v>16082</v>
      </c>
    </row>
    <row r="31" spans="1:38" x14ac:dyDescent="0.25">
      <c r="A31" s="12" t="s">
        <v>1307</v>
      </c>
      <c r="B31" s="12" t="s">
        <v>199</v>
      </c>
      <c r="C31" s="2">
        <v>9000</v>
      </c>
      <c r="D31" s="645"/>
      <c r="E31" s="2"/>
      <c r="F31" s="6">
        <f>SUM(C31:E31)</f>
        <v>9000</v>
      </c>
      <c r="G31" s="6">
        <v>-9000</v>
      </c>
      <c r="H31" s="6"/>
      <c r="I31" s="6"/>
      <c r="J31" s="6">
        <f>SUM(G31:I31)</f>
        <v>-9000</v>
      </c>
      <c r="K31" s="5">
        <f t="shared" ref="K31" si="104">SUM(G31+C31)</f>
        <v>0</v>
      </c>
      <c r="L31" s="6">
        <f t="shared" ref="L31" si="105">SUM(H31+D31)</f>
        <v>0</v>
      </c>
      <c r="M31" s="6">
        <f t="shared" ref="M31" si="106">SUM(I31+E31)</f>
        <v>0</v>
      </c>
      <c r="N31" s="6">
        <f t="shared" ref="N31" si="107">SUM(K31:M31)</f>
        <v>0</v>
      </c>
      <c r="O31" s="2"/>
      <c r="P31" s="2"/>
      <c r="Q31" s="2"/>
      <c r="R31" s="2">
        <f>SUM(O31:Q31)</f>
        <v>0</v>
      </c>
      <c r="S31" s="2"/>
      <c r="T31" s="2"/>
      <c r="U31" s="2"/>
      <c r="V31" s="2">
        <f>SUM(S31:U31)</f>
        <v>0</v>
      </c>
      <c r="W31" s="2">
        <f t="shared" ref="W31" si="108">SUM(S31+O31)</f>
        <v>0</v>
      </c>
      <c r="X31" s="2">
        <f t="shared" ref="X31" si="109">SUM(T31+P31)</f>
        <v>0</v>
      </c>
      <c r="Y31" s="2">
        <f t="shared" ref="Y31" si="110">SUM(Q31+U31)</f>
        <v>0</v>
      </c>
      <c r="Z31" s="2">
        <f t="shared" ref="Z31" si="111">SUM(W31:Y31)</f>
        <v>0</v>
      </c>
      <c r="AA31" s="3">
        <f t="shared" ref="AA31" si="112">SUM(O31+C31)</f>
        <v>9000</v>
      </c>
      <c r="AB31" s="2">
        <f t="shared" ref="AB31" si="113">SUM(P31+D31)</f>
        <v>0</v>
      </c>
      <c r="AC31" s="2">
        <f t="shared" ref="AC31" si="114">SUM(Q31+E31)</f>
        <v>0</v>
      </c>
      <c r="AD31" s="3">
        <f>SUM(AA31:AC31)</f>
        <v>9000</v>
      </c>
      <c r="AE31" s="3">
        <f t="shared" ref="AE31" si="115">SUM(S31+G31)</f>
        <v>-9000</v>
      </c>
      <c r="AF31" s="2">
        <f t="shared" ref="AF31" si="116">SUM(T31+H31)</f>
        <v>0</v>
      </c>
      <c r="AG31" s="2">
        <f t="shared" ref="AG31" si="117">SUM(U31+I31)</f>
        <v>0</v>
      </c>
      <c r="AH31" s="2">
        <f t="shared" ref="AH31" si="118">SUM(AE31:AG31)</f>
        <v>-9000</v>
      </c>
      <c r="AI31" s="3">
        <f t="shared" ref="AI31" si="119">SUM(W31+K31)</f>
        <v>0</v>
      </c>
      <c r="AJ31" s="2">
        <f t="shared" ref="AJ31" si="120">SUM(X31+L31)</f>
        <v>0</v>
      </c>
      <c r="AK31" s="2">
        <f t="shared" ref="AK31" si="121">SUM(Y31+M31)</f>
        <v>0</v>
      </c>
      <c r="AL31" s="2">
        <f t="shared" ref="AL31" si="122">SUM(AI31:AK31)</f>
        <v>0</v>
      </c>
    </row>
    <row r="32" spans="1:38" s="162" customFormat="1" ht="31.5" x14ac:dyDescent="0.25">
      <c r="A32" s="158" t="s">
        <v>1308</v>
      </c>
      <c r="B32" s="158" t="s">
        <v>199</v>
      </c>
      <c r="C32" s="7">
        <f>SUM(C30:C31)</f>
        <v>22698</v>
      </c>
      <c r="D32" s="7">
        <f t="shared" ref="D32:F32" si="123">SUM(D30:D31)</f>
        <v>0</v>
      </c>
      <c r="E32" s="7">
        <f t="shared" si="123"/>
        <v>0</v>
      </c>
      <c r="F32" s="7">
        <f t="shared" si="123"/>
        <v>22698</v>
      </c>
      <c r="G32" s="7">
        <f>SUM(G30:G31)</f>
        <v>-6616</v>
      </c>
      <c r="H32" s="7">
        <f t="shared" ref="H32:J32" si="124">SUM(H30:H31)</f>
        <v>0</v>
      </c>
      <c r="I32" s="7">
        <f t="shared" si="124"/>
        <v>0</v>
      </c>
      <c r="J32" s="7">
        <f t="shared" si="124"/>
        <v>-6616</v>
      </c>
      <c r="K32" s="7">
        <f>SUM(K30:K31)</f>
        <v>16082</v>
      </c>
      <c r="L32" s="7">
        <f t="shared" ref="L32:N32" si="125">SUM(L30:L31)</f>
        <v>0</v>
      </c>
      <c r="M32" s="7">
        <f t="shared" si="125"/>
        <v>0</v>
      </c>
      <c r="N32" s="7">
        <f t="shared" si="125"/>
        <v>16082</v>
      </c>
      <c r="O32" s="7">
        <f>SUM(O30:O31)</f>
        <v>0</v>
      </c>
      <c r="P32" s="7">
        <f t="shared" ref="P32:R32" si="126">SUM(P30:P31)</f>
        <v>0</v>
      </c>
      <c r="Q32" s="7">
        <f t="shared" si="126"/>
        <v>0</v>
      </c>
      <c r="R32" s="7">
        <f t="shared" si="126"/>
        <v>0</v>
      </c>
      <c r="S32" s="7">
        <f>SUM(S30:S31)</f>
        <v>0</v>
      </c>
      <c r="T32" s="7">
        <f t="shared" ref="T32:AL32" si="127">SUM(T30:T31)</f>
        <v>0</v>
      </c>
      <c r="U32" s="7">
        <f t="shared" si="127"/>
        <v>0</v>
      </c>
      <c r="V32" s="7">
        <f t="shared" si="127"/>
        <v>0</v>
      </c>
      <c r="W32" s="7">
        <f t="shared" si="127"/>
        <v>0</v>
      </c>
      <c r="X32" s="7">
        <f t="shared" si="127"/>
        <v>0</v>
      </c>
      <c r="Y32" s="7">
        <f t="shared" si="127"/>
        <v>0</v>
      </c>
      <c r="Z32" s="7">
        <f t="shared" si="127"/>
        <v>0</v>
      </c>
      <c r="AA32" s="7">
        <f t="shared" si="127"/>
        <v>22698</v>
      </c>
      <c r="AB32" s="7">
        <f t="shared" si="127"/>
        <v>0</v>
      </c>
      <c r="AC32" s="7">
        <f t="shared" si="127"/>
        <v>0</v>
      </c>
      <c r="AD32" s="7">
        <f t="shared" si="127"/>
        <v>22698</v>
      </c>
      <c r="AE32" s="7">
        <f t="shared" si="127"/>
        <v>-6616</v>
      </c>
      <c r="AF32" s="7">
        <f t="shared" si="127"/>
        <v>0</v>
      </c>
      <c r="AG32" s="7">
        <f t="shared" si="127"/>
        <v>0</v>
      </c>
      <c r="AH32" s="7">
        <f t="shared" si="127"/>
        <v>-6616</v>
      </c>
      <c r="AI32" s="7">
        <f t="shared" si="127"/>
        <v>16082</v>
      </c>
      <c r="AJ32" s="7">
        <f t="shared" si="127"/>
        <v>0</v>
      </c>
      <c r="AK32" s="7">
        <f t="shared" si="127"/>
        <v>0</v>
      </c>
      <c r="AL32" s="7">
        <f t="shared" si="127"/>
        <v>16082</v>
      </c>
    </row>
    <row r="33" spans="1:38" s="162" customFormat="1" ht="31.5" x14ac:dyDescent="0.25">
      <c r="A33" s="158" t="s">
        <v>1309</v>
      </c>
      <c r="B33" s="158" t="s">
        <v>200</v>
      </c>
      <c r="C33" s="7">
        <f t="shared" ref="C33:F33" si="128">SUM(C32+C29+C28)</f>
        <v>14122698</v>
      </c>
      <c r="D33" s="7">
        <f t="shared" si="128"/>
        <v>0</v>
      </c>
      <c r="E33" s="7">
        <f t="shared" si="128"/>
        <v>0</v>
      </c>
      <c r="F33" s="7">
        <f t="shared" si="128"/>
        <v>14122698</v>
      </c>
      <c r="G33" s="7">
        <f t="shared" ref="G33:AL33" si="129">SUM(G32+G29+G28)</f>
        <v>1395579</v>
      </c>
      <c r="H33" s="7">
        <f t="shared" si="129"/>
        <v>0</v>
      </c>
      <c r="I33" s="7">
        <f t="shared" si="129"/>
        <v>0</v>
      </c>
      <c r="J33" s="7">
        <f t="shared" si="129"/>
        <v>1395579</v>
      </c>
      <c r="K33" s="7">
        <f t="shared" si="129"/>
        <v>15518277</v>
      </c>
      <c r="L33" s="7">
        <f t="shared" si="129"/>
        <v>0</v>
      </c>
      <c r="M33" s="7">
        <f t="shared" si="129"/>
        <v>0</v>
      </c>
      <c r="N33" s="7">
        <f t="shared" si="129"/>
        <v>15518277</v>
      </c>
      <c r="O33" s="7">
        <f t="shared" si="129"/>
        <v>0</v>
      </c>
      <c r="P33" s="7">
        <f t="shared" si="129"/>
        <v>0</v>
      </c>
      <c r="Q33" s="7">
        <f t="shared" si="129"/>
        <v>0</v>
      </c>
      <c r="R33" s="7">
        <f t="shared" si="129"/>
        <v>0</v>
      </c>
      <c r="S33" s="7">
        <f t="shared" si="129"/>
        <v>0</v>
      </c>
      <c r="T33" s="7">
        <f t="shared" si="129"/>
        <v>0</v>
      </c>
      <c r="U33" s="7">
        <f t="shared" si="129"/>
        <v>0</v>
      </c>
      <c r="V33" s="7">
        <f t="shared" si="129"/>
        <v>0</v>
      </c>
      <c r="W33" s="7">
        <f t="shared" si="129"/>
        <v>0</v>
      </c>
      <c r="X33" s="7">
        <f t="shared" si="129"/>
        <v>0</v>
      </c>
      <c r="Y33" s="7">
        <f t="shared" si="129"/>
        <v>0</v>
      </c>
      <c r="Z33" s="7">
        <f t="shared" si="129"/>
        <v>0</v>
      </c>
      <c r="AA33" s="7">
        <f t="shared" si="129"/>
        <v>14122698</v>
      </c>
      <c r="AB33" s="7">
        <f t="shared" si="129"/>
        <v>0</v>
      </c>
      <c r="AC33" s="7">
        <f t="shared" si="129"/>
        <v>0</v>
      </c>
      <c r="AD33" s="7">
        <f t="shared" si="129"/>
        <v>14122698</v>
      </c>
      <c r="AE33" s="7">
        <f t="shared" si="129"/>
        <v>1395579</v>
      </c>
      <c r="AF33" s="7">
        <f t="shared" si="129"/>
        <v>0</v>
      </c>
      <c r="AG33" s="7">
        <f t="shared" si="129"/>
        <v>0</v>
      </c>
      <c r="AH33" s="7">
        <f t="shared" si="129"/>
        <v>1395579</v>
      </c>
      <c r="AI33" s="7">
        <f t="shared" si="129"/>
        <v>15518277</v>
      </c>
      <c r="AJ33" s="7">
        <f t="shared" si="129"/>
        <v>0</v>
      </c>
      <c r="AK33" s="7">
        <f t="shared" si="129"/>
        <v>0</v>
      </c>
      <c r="AL33" s="7">
        <f t="shared" si="129"/>
        <v>15518277</v>
      </c>
    </row>
    <row r="34" spans="1:38" x14ac:dyDescent="0.25">
      <c r="A34" s="12" t="s">
        <v>1310</v>
      </c>
      <c r="B34" s="12" t="s">
        <v>201</v>
      </c>
      <c r="C34" s="8">
        <v>5000</v>
      </c>
      <c r="D34" s="647"/>
      <c r="E34" s="8"/>
      <c r="F34" s="9">
        <f t="shared" ref="F34:F36" si="130">SUM(C34:E34)</f>
        <v>5000</v>
      </c>
      <c r="G34" s="9">
        <v>35000</v>
      </c>
      <c r="H34" s="9"/>
      <c r="I34" s="9"/>
      <c r="J34" s="1">
        <f t="shared" ref="J34:J36" si="131">SUM(G34:I34)</f>
        <v>35000</v>
      </c>
      <c r="K34" s="8">
        <f t="shared" ref="K34:K36" si="132">SUM(G34+C34)</f>
        <v>40000</v>
      </c>
      <c r="L34" s="9">
        <f t="shared" ref="L34:L36" si="133">SUM(H34+D34)</f>
        <v>0</v>
      </c>
      <c r="M34" s="9">
        <f t="shared" ref="M34:M36" si="134">SUM(I34+E34)</f>
        <v>0</v>
      </c>
      <c r="N34" s="9">
        <f t="shared" ref="N34:N36" si="135">SUM(K34:M34)</f>
        <v>40000</v>
      </c>
      <c r="O34" s="2"/>
      <c r="P34" s="2"/>
      <c r="Q34" s="2"/>
      <c r="R34" s="5">
        <f t="shared" ref="R34:R36" si="136">SUM(O34:Q34)</f>
        <v>0</v>
      </c>
      <c r="S34" s="2"/>
      <c r="T34" s="2"/>
      <c r="U34" s="2"/>
      <c r="V34" s="5">
        <f t="shared" ref="V34:V36" si="137">SUM(S34:U34)</f>
        <v>0</v>
      </c>
      <c r="W34" s="2">
        <f t="shared" ref="W34:W36" si="138">SUM(S34+O34)</f>
        <v>0</v>
      </c>
      <c r="X34" s="2">
        <f t="shared" ref="X34:X36" si="139">SUM(T34+P34)</f>
        <v>0</v>
      </c>
      <c r="Y34" s="2">
        <f t="shared" ref="Y34:Y36" si="140">SUM(Q34+U34)</f>
        <v>0</v>
      </c>
      <c r="Z34" s="2">
        <f t="shared" ref="Z34:Z36" si="141">SUM(W34:Y34)</f>
        <v>0</v>
      </c>
      <c r="AA34" s="2">
        <f t="shared" ref="AA34:AC36" si="142">SUM(O34+C34)</f>
        <v>5000</v>
      </c>
      <c r="AB34" s="2">
        <f t="shared" si="142"/>
        <v>0</v>
      </c>
      <c r="AC34" s="2">
        <f t="shared" si="142"/>
        <v>0</v>
      </c>
      <c r="AD34" s="2">
        <f t="shared" ref="AD34:AD36" si="143">SUM(AA34:AC34)</f>
        <v>5000</v>
      </c>
      <c r="AE34" s="2">
        <f t="shared" ref="AE34:AG36" si="144">SUM(S34+G34)</f>
        <v>35000</v>
      </c>
      <c r="AF34" s="2">
        <f t="shared" si="144"/>
        <v>0</v>
      </c>
      <c r="AG34" s="2">
        <f t="shared" si="144"/>
        <v>0</v>
      </c>
      <c r="AH34" s="2">
        <f t="shared" ref="AH34:AH36" si="145">SUM(AE34:AG34)</f>
        <v>35000</v>
      </c>
      <c r="AI34" s="2">
        <f t="shared" ref="AI34:AK36" si="146">SUM(W34+K34)</f>
        <v>40000</v>
      </c>
      <c r="AJ34" s="2">
        <f t="shared" si="146"/>
        <v>0</v>
      </c>
      <c r="AK34" s="2">
        <f t="shared" si="146"/>
        <v>0</v>
      </c>
      <c r="AL34" s="2">
        <f t="shared" ref="AL34:AL36" si="147">SUM(AI34:AK34)</f>
        <v>40000</v>
      </c>
    </row>
    <row r="35" spans="1:38" ht="31.5" x14ac:dyDescent="0.25">
      <c r="A35" s="12" t="s">
        <v>1311</v>
      </c>
      <c r="B35" s="12" t="s">
        <v>201</v>
      </c>
      <c r="C35" s="8">
        <v>16300</v>
      </c>
      <c r="D35" s="647"/>
      <c r="E35" s="8"/>
      <c r="F35" s="9">
        <f t="shared" si="130"/>
        <v>16300</v>
      </c>
      <c r="G35" s="9">
        <v>3380</v>
      </c>
      <c r="H35" s="9"/>
      <c r="I35" s="9"/>
      <c r="J35" s="1">
        <f t="shared" si="131"/>
        <v>3380</v>
      </c>
      <c r="K35" s="8">
        <f t="shared" si="132"/>
        <v>19680</v>
      </c>
      <c r="L35" s="9">
        <f t="shared" si="133"/>
        <v>0</v>
      </c>
      <c r="M35" s="9">
        <f t="shared" si="134"/>
        <v>0</v>
      </c>
      <c r="N35" s="9">
        <f t="shared" si="135"/>
        <v>19680</v>
      </c>
      <c r="O35" s="2"/>
      <c r="P35" s="2"/>
      <c r="Q35" s="2"/>
      <c r="R35" s="5">
        <f t="shared" si="136"/>
        <v>0</v>
      </c>
      <c r="S35" s="2"/>
      <c r="T35" s="2"/>
      <c r="U35" s="2"/>
      <c r="V35" s="5">
        <f t="shared" si="137"/>
        <v>0</v>
      </c>
      <c r="W35" s="2">
        <f t="shared" si="138"/>
        <v>0</v>
      </c>
      <c r="X35" s="2">
        <f t="shared" si="139"/>
        <v>0</v>
      </c>
      <c r="Y35" s="2">
        <f t="shared" si="140"/>
        <v>0</v>
      </c>
      <c r="Z35" s="2">
        <f t="shared" si="141"/>
        <v>0</v>
      </c>
      <c r="AA35" s="2">
        <f t="shared" si="142"/>
        <v>16300</v>
      </c>
      <c r="AB35" s="2">
        <f t="shared" si="142"/>
        <v>0</v>
      </c>
      <c r="AC35" s="2">
        <f t="shared" si="142"/>
        <v>0</v>
      </c>
      <c r="AD35" s="2">
        <f t="shared" si="143"/>
        <v>16300</v>
      </c>
      <c r="AE35" s="2">
        <f t="shared" si="144"/>
        <v>3380</v>
      </c>
      <c r="AF35" s="2">
        <f t="shared" si="144"/>
        <v>0</v>
      </c>
      <c r="AG35" s="2">
        <f t="shared" si="144"/>
        <v>0</v>
      </c>
      <c r="AH35" s="2">
        <f t="shared" si="145"/>
        <v>3380</v>
      </c>
      <c r="AI35" s="2">
        <f t="shared" si="146"/>
        <v>19680</v>
      </c>
      <c r="AJ35" s="2">
        <f t="shared" si="146"/>
        <v>0</v>
      </c>
      <c r="AK35" s="2">
        <f t="shared" si="146"/>
        <v>0</v>
      </c>
      <c r="AL35" s="2">
        <f t="shared" si="147"/>
        <v>19680</v>
      </c>
    </row>
    <row r="36" spans="1:38" x14ac:dyDescent="0.25">
      <c r="A36" s="12" t="s">
        <v>1312</v>
      </c>
      <c r="B36" s="12" t="s">
        <v>201</v>
      </c>
      <c r="C36" s="8">
        <v>5000</v>
      </c>
      <c r="D36" s="647"/>
      <c r="E36" s="8"/>
      <c r="F36" s="9">
        <f t="shared" si="130"/>
        <v>5000</v>
      </c>
      <c r="G36" s="9">
        <v>-4600</v>
      </c>
      <c r="H36" s="9"/>
      <c r="I36" s="9"/>
      <c r="J36" s="1">
        <f t="shared" si="131"/>
        <v>-4600</v>
      </c>
      <c r="K36" s="8">
        <f t="shared" si="132"/>
        <v>400</v>
      </c>
      <c r="L36" s="9">
        <f t="shared" si="133"/>
        <v>0</v>
      </c>
      <c r="M36" s="9">
        <f t="shared" si="134"/>
        <v>0</v>
      </c>
      <c r="N36" s="9">
        <f t="shared" si="135"/>
        <v>400</v>
      </c>
      <c r="O36" s="2"/>
      <c r="P36" s="2"/>
      <c r="Q36" s="2">
        <v>350</v>
      </c>
      <c r="R36" s="5">
        <f t="shared" si="136"/>
        <v>350</v>
      </c>
      <c r="S36" s="2"/>
      <c r="T36" s="2"/>
      <c r="U36" s="2">
        <v>190</v>
      </c>
      <c r="V36" s="5">
        <f t="shared" si="137"/>
        <v>190</v>
      </c>
      <c r="W36" s="2">
        <f t="shared" si="138"/>
        <v>0</v>
      </c>
      <c r="X36" s="2">
        <f t="shared" si="139"/>
        <v>0</v>
      </c>
      <c r="Y36" s="2">
        <f t="shared" si="140"/>
        <v>540</v>
      </c>
      <c r="Z36" s="2">
        <f t="shared" si="141"/>
        <v>540</v>
      </c>
      <c r="AA36" s="2">
        <f t="shared" si="142"/>
        <v>5000</v>
      </c>
      <c r="AB36" s="2">
        <f t="shared" si="142"/>
        <v>0</v>
      </c>
      <c r="AC36" s="2">
        <f t="shared" si="142"/>
        <v>350</v>
      </c>
      <c r="AD36" s="2">
        <f t="shared" si="143"/>
        <v>5350</v>
      </c>
      <c r="AE36" s="2">
        <f t="shared" si="144"/>
        <v>-4600</v>
      </c>
      <c r="AF36" s="2">
        <f t="shared" si="144"/>
        <v>0</v>
      </c>
      <c r="AG36" s="2">
        <f t="shared" si="144"/>
        <v>190</v>
      </c>
      <c r="AH36" s="2">
        <f t="shared" si="145"/>
        <v>-4410</v>
      </c>
      <c r="AI36" s="2">
        <f t="shared" si="146"/>
        <v>400</v>
      </c>
      <c r="AJ36" s="2">
        <f t="shared" si="146"/>
        <v>0</v>
      </c>
      <c r="AK36" s="2">
        <f t="shared" si="146"/>
        <v>540</v>
      </c>
      <c r="AL36" s="2">
        <f t="shared" si="147"/>
        <v>940</v>
      </c>
    </row>
    <row r="37" spans="1:38" s="162" customFormat="1" ht="31.5" x14ac:dyDescent="0.25">
      <c r="A37" s="158" t="s">
        <v>1313</v>
      </c>
      <c r="B37" s="158" t="s">
        <v>201</v>
      </c>
      <c r="C37" s="7">
        <f t="shared" ref="C37:AL37" si="148">SUM(C34:C36)</f>
        <v>26300</v>
      </c>
      <c r="D37" s="7">
        <f t="shared" si="148"/>
        <v>0</v>
      </c>
      <c r="E37" s="7">
        <f t="shared" si="148"/>
        <v>0</v>
      </c>
      <c r="F37" s="7">
        <f t="shared" si="148"/>
        <v>26300</v>
      </c>
      <c r="G37" s="7">
        <f t="shared" si="148"/>
        <v>33780</v>
      </c>
      <c r="H37" s="7">
        <f t="shared" si="148"/>
        <v>0</v>
      </c>
      <c r="I37" s="7">
        <f t="shared" si="148"/>
        <v>0</v>
      </c>
      <c r="J37" s="7">
        <f t="shared" si="148"/>
        <v>33780</v>
      </c>
      <c r="K37" s="7">
        <f t="shared" si="148"/>
        <v>60080</v>
      </c>
      <c r="L37" s="7">
        <f t="shared" si="148"/>
        <v>0</v>
      </c>
      <c r="M37" s="7">
        <f t="shared" si="148"/>
        <v>0</v>
      </c>
      <c r="N37" s="7">
        <f t="shared" si="148"/>
        <v>60080</v>
      </c>
      <c r="O37" s="7">
        <f t="shared" si="148"/>
        <v>0</v>
      </c>
      <c r="P37" s="7">
        <f t="shared" si="148"/>
        <v>0</v>
      </c>
      <c r="Q37" s="7">
        <f t="shared" si="148"/>
        <v>350</v>
      </c>
      <c r="R37" s="7">
        <f t="shared" si="148"/>
        <v>350</v>
      </c>
      <c r="S37" s="7">
        <f t="shared" si="148"/>
        <v>0</v>
      </c>
      <c r="T37" s="7">
        <f t="shared" si="148"/>
        <v>0</v>
      </c>
      <c r="U37" s="7">
        <f t="shared" si="148"/>
        <v>190</v>
      </c>
      <c r="V37" s="7">
        <f t="shared" si="148"/>
        <v>190</v>
      </c>
      <c r="W37" s="7">
        <f t="shared" si="148"/>
        <v>0</v>
      </c>
      <c r="X37" s="7">
        <f t="shared" si="148"/>
        <v>0</v>
      </c>
      <c r="Y37" s="7">
        <f t="shared" si="148"/>
        <v>540</v>
      </c>
      <c r="Z37" s="7">
        <f t="shared" si="148"/>
        <v>540</v>
      </c>
      <c r="AA37" s="7">
        <f t="shared" si="148"/>
        <v>26300</v>
      </c>
      <c r="AB37" s="7">
        <f t="shared" si="148"/>
        <v>0</v>
      </c>
      <c r="AC37" s="7">
        <f t="shared" si="148"/>
        <v>350</v>
      </c>
      <c r="AD37" s="7">
        <f t="shared" si="148"/>
        <v>26650</v>
      </c>
      <c r="AE37" s="7">
        <f t="shared" si="148"/>
        <v>33780</v>
      </c>
      <c r="AF37" s="7">
        <f t="shared" si="148"/>
        <v>0</v>
      </c>
      <c r="AG37" s="7">
        <f t="shared" si="148"/>
        <v>190</v>
      </c>
      <c r="AH37" s="7">
        <f t="shared" si="148"/>
        <v>33970</v>
      </c>
      <c r="AI37" s="7">
        <f t="shared" si="148"/>
        <v>60080</v>
      </c>
      <c r="AJ37" s="7">
        <f t="shared" si="148"/>
        <v>0</v>
      </c>
      <c r="AK37" s="7">
        <f t="shared" si="148"/>
        <v>540</v>
      </c>
      <c r="AL37" s="7">
        <f t="shared" si="148"/>
        <v>60620</v>
      </c>
    </row>
    <row r="38" spans="1:38" ht="31.5" x14ac:dyDescent="0.25">
      <c r="A38" s="160" t="s">
        <v>1314</v>
      </c>
      <c r="B38" s="160" t="s">
        <v>166</v>
      </c>
      <c r="C38" s="4">
        <f>SUM(C26+C33+C37+C24)</f>
        <v>16448998</v>
      </c>
      <c r="D38" s="4">
        <f t="shared" ref="D38:AL38" si="149">SUM(D26+D33+D37+D24)</f>
        <v>0</v>
      </c>
      <c r="E38" s="4">
        <f t="shared" si="149"/>
        <v>0</v>
      </c>
      <c r="F38" s="4">
        <f t="shared" si="149"/>
        <v>16448998</v>
      </c>
      <c r="G38" s="4">
        <f t="shared" si="149"/>
        <v>1429489</v>
      </c>
      <c r="H38" s="4">
        <f t="shared" si="149"/>
        <v>0</v>
      </c>
      <c r="I38" s="4">
        <f t="shared" si="149"/>
        <v>0</v>
      </c>
      <c r="J38" s="4">
        <f t="shared" si="149"/>
        <v>1429489</v>
      </c>
      <c r="K38" s="4">
        <f t="shared" si="149"/>
        <v>17878487</v>
      </c>
      <c r="L38" s="4">
        <f t="shared" si="149"/>
        <v>0</v>
      </c>
      <c r="M38" s="4">
        <f t="shared" si="149"/>
        <v>0</v>
      </c>
      <c r="N38" s="4">
        <f t="shared" si="149"/>
        <v>17878487</v>
      </c>
      <c r="O38" s="4">
        <f t="shared" si="149"/>
        <v>0</v>
      </c>
      <c r="P38" s="4">
        <f t="shared" si="149"/>
        <v>0</v>
      </c>
      <c r="Q38" s="4">
        <f t="shared" si="149"/>
        <v>350</v>
      </c>
      <c r="R38" s="4">
        <f t="shared" si="149"/>
        <v>350</v>
      </c>
      <c r="S38" s="4">
        <f t="shared" si="149"/>
        <v>0</v>
      </c>
      <c r="T38" s="4">
        <f t="shared" si="149"/>
        <v>0</v>
      </c>
      <c r="U38" s="4">
        <f t="shared" si="149"/>
        <v>190</v>
      </c>
      <c r="V38" s="4">
        <f t="shared" si="149"/>
        <v>190</v>
      </c>
      <c r="W38" s="4">
        <f t="shared" si="149"/>
        <v>0</v>
      </c>
      <c r="X38" s="4">
        <f t="shared" si="149"/>
        <v>0</v>
      </c>
      <c r="Y38" s="4">
        <f t="shared" si="149"/>
        <v>540</v>
      </c>
      <c r="Z38" s="4">
        <f t="shared" si="149"/>
        <v>540</v>
      </c>
      <c r="AA38" s="4">
        <f t="shared" si="149"/>
        <v>16448998</v>
      </c>
      <c r="AB38" s="4">
        <f t="shared" si="149"/>
        <v>0</v>
      </c>
      <c r="AC38" s="4">
        <f t="shared" si="149"/>
        <v>350</v>
      </c>
      <c r="AD38" s="4">
        <f t="shared" si="149"/>
        <v>16449348</v>
      </c>
      <c r="AE38" s="4">
        <f t="shared" si="149"/>
        <v>1429489</v>
      </c>
      <c r="AF38" s="4">
        <f t="shared" si="149"/>
        <v>0</v>
      </c>
      <c r="AG38" s="4">
        <f t="shared" si="149"/>
        <v>190</v>
      </c>
      <c r="AH38" s="4">
        <f t="shared" si="149"/>
        <v>1429679</v>
      </c>
      <c r="AI38" s="4">
        <f t="shared" si="149"/>
        <v>17878487</v>
      </c>
      <c r="AJ38" s="4">
        <f t="shared" si="149"/>
        <v>0</v>
      </c>
      <c r="AK38" s="4">
        <f t="shared" si="149"/>
        <v>540</v>
      </c>
      <c r="AL38" s="4">
        <f t="shared" si="149"/>
        <v>17879027</v>
      </c>
    </row>
    <row r="39" spans="1:38" x14ac:dyDescent="0.25">
      <c r="A39" s="160" t="s">
        <v>1315</v>
      </c>
      <c r="B39" s="160" t="s">
        <v>167</v>
      </c>
      <c r="C39" s="4">
        <v>1409868</v>
      </c>
      <c r="D39" s="4">
        <v>330564</v>
      </c>
      <c r="E39" s="4"/>
      <c r="F39" s="4">
        <f t="shared" ref="F39:F45" si="150">SUM(C39:E39)</f>
        <v>1740432</v>
      </c>
      <c r="G39" s="4">
        <v>-147752</v>
      </c>
      <c r="H39" s="4">
        <v>35668</v>
      </c>
      <c r="I39" s="4"/>
      <c r="J39" s="4">
        <f>SUM(G39:I39)</f>
        <v>-112084</v>
      </c>
      <c r="K39" s="4">
        <f t="shared" ref="K39:K45" si="151">SUM(G39+C39)</f>
        <v>1262116</v>
      </c>
      <c r="L39" s="4">
        <f t="shared" ref="L39:L45" si="152">SUM(H39+D39)</f>
        <v>366232</v>
      </c>
      <c r="M39" s="4">
        <f t="shared" ref="M39:M45" si="153">SUM(I39+E39)</f>
        <v>0</v>
      </c>
      <c r="N39" s="4">
        <f t="shared" ref="N39:N45" si="154">SUM(K39:M39)</f>
        <v>1628348</v>
      </c>
      <c r="O39" s="4">
        <v>1080818</v>
      </c>
      <c r="P39" s="4">
        <v>311515</v>
      </c>
      <c r="Q39" s="4">
        <v>0</v>
      </c>
      <c r="R39" s="4">
        <f t="shared" ref="R39:R45" si="155">SUM(O39:Q39)</f>
        <v>1392333</v>
      </c>
      <c r="S39" s="4">
        <v>-90048</v>
      </c>
      <c r="T39" s="4">
        <v>-110562</v>
      </c>
      <c r="U39" s="4">
        <v>1322</v>
      </c>
      <c r="V39" s="4">
        <f>SUM(S39:U39)</f>
        <v>-199288</v>
      </c>
      <c r="W39" s="4">
        <f t="shared" ref="W39:W45" si="156">SUM(S39+O39)</f>
        <v>990770</v>
      </c>
      <c r="X39" s="4">
        <f t="shared" ref="X39:X45" si="157">SUM(T39+P39)</f>
        <v>200953</v>
      </c>
      <c r="Y39" s="4">
        <f t="shared" ref="Y39:Y45" si="158">SUM(Q39+U39)</f>
        <v>1322</v>
      </c>
      <c r="Z39" s="4">
        <f t="shared" ref="Z39:Z45" si="159">SUM(W39:Y39)</f>
        <v>1193045</v>
      </c>
      <c r="AA39" s="3">
        <f t="shared" ref="AA39:AC43" si="160">SUM(O39+C39)</f>
        <v>2490686</v>
      </c>
      <c r="AB39" s="3">
        <f t="shared" si="160"/>
        <v>642079</v>
      </c>
      <c r="AC39" s="3">
        <f t="shared" si="160"/>
        <v>0</v>
      </c>
      <c r="AD39" s="3">
        <f>SUM(AA39:AC39)</f>
        <v>3132765</v>
      </c>
      <c r="AE39" s="3">
        <f t="shared" ref="AE39:AG43" si="161">SUM(S39+G39)</f>
        <v>-237800</v>
      </c>
      <c r="AF39" s="3">
        <f t="shared" si="161"/>
        <v>-74894</v>
      </c>
      <c r="AG39" s="3">
        <f t="shared" si="161"/>
        <v>1322</v>
      </c>
      <c r="AH39" s="3">
        <f t="shared" ref="AH39:AH43" si="162">SUM(AE39:AG39)</f>
        <v>-311372</v>
      </c>
      <c r="AI39" s="3">
        <f t="shared" ref="AI39:AK43" si="163">SUM(W39+K39)</f>
        <v>2252886</v>
      </c>
      <c r="AJ39" s="3">
        <f t="shared" si="163"/>
        <v>567185</v>
      </c>
      <c r="AK39" s="3">
        <f t="shared" si="163"/>
        <v>1322</v>
      </c>
      <c r="AL39" s="3">
        <f t="shared" ref="AL39:AL43" si="164">SUM(AI39:AK39)</f>
        <v>2821393</v>
      </c>
    </row>
    <row r="40" spans="1:38" x14ac:dyDescent="0.25">
      <c r="A40" s="12" t="s">
        <v>210</v>
      </c>
      <c r="B40" s="12" t="s">
        <v>202</v>
      </c>
      <c r="C40" s="5">
        <v>885200</v>
      </c>
      <c r="D40" s="643">
        <v>34650</v>
      </c>
      <c r="E40" s="59"/>
      <c r="F40" s="643">
        <f t="shared" si="150"/>
        <v>919850</v>
      </c>
      <c r="G40" s="5">
        <v>-131865</v>
      </c>
      <c r="H40" s="5">
        <v>2907</v>
      </c>
      <c r="I40" s="5"/>
      <c r="J40" s="5">
        <f>SUM(G40:I40)</f>
        <v>-128958</v>
      </c>
      <c r="K40" s="5">
        <f t="shared" si="151"/>
        <v>753335</v>
      </c>
      <c r="L40" s="5">
        <f t="shared" si="152"/>
        <v>37557</v>
      </c>
      <c r="M40" s="5">
        <f t="shared" si="153"/>
        <v>0</v>
      </c>
      <c r="N40" s="6">
        <f t="shared" si="154"/>
        <v>790892</v>
      </c>
      <c r="O40" s="5"/>
      <c r="P40" s="5"/>
      <c r="Q40" s="5"/>
      <c r="R40" s="5">
        <f t="shared" si="155"/>
        <v>0</v>
      </c>
      <c r="S40" s="5"/>
      <c r="T40" s="5"/>
      <c r="U40" s="5"/>
      <c r="V40" s="5">
        <f>SUM(S40:U40)</f>
        <v>0</v>
      </c>
      <c r="W40" s="5">
        <f t="shared" si="156"/>
        <v>0</v>
      </c>
      <c r="X40" s="5">
        <f t="shared" si="157"/>
        <v>0</v>
      </c>
      <c r="Y40" s="5">
        <f t="shared" si="158"/>
        <v>0</v>
      </c>
      <c r="Z40" s="5">
        <f t="shared" si="159"/>
        <v>0</v>
      </c>
      <c r="AA40" s="2">
        <f t="shared" si="160"/>
        <v>885200</v>
      </c>
      <c r="AB40" s="2">
        <f t="shared" si="160"/>
        <v>34650</v>
      </c>
      <c r="AC40" s="2">
        <f t="shared" si="160"/>
        <v>0</v>
      </c>
      <c r="AD40" s="2">
        <f>SUM(AA40:AC40)</f>
        <v>919850</v>
      </c>
      <c r="AE40" s="2">
        <f t="shared" si="161"/>
        <v>-131865</v>
      </c>
      <c r="AF40" s="2">
        <f t="shared" si="161"/>
        <v>2907</v>
      </c>
      <c r="AG40" s="2">
        <f t="shared" si="161"/>
        <v>0</v>
      </c>
      <c r="AH40" s="2">
        <f t="shared" si="162"/>
        <v>-128958</v>
      </c>
      <c r="AI40" s="2">
        <f t="shared" si="163"/>
        <v>753335</v>
      </c>
      <c r="AJ40" s="2">
        <f t="shared" si="163"/>
        <v>37557</v>
      </c>
      <c r="AK40" s="2">
        <f t="shared" si="163"/>
        <v>0</v>
      </c>
      <c r="AL40" s="2">
        <f t="shared" si="164"/>
        <v>790892</v>
      </c>
    </row>
    <row r="41" spans="1:38" x14ac:dyDescent="0.25">
      <c r="A41" s="12" t="s">
        <v>984</v>
      </c>
      <c r="B41" s="12" t="s">
        <v>202</v>
      </c>
      <c r="C41" s="5">
        <v>587500</v>
      </c>
      <c r="D41" s="643"/>
      <c r="E41" s="59"/>
      <c r="F41" s="643">
        <f t="shared" si="150"/>
        <v>587500</v>
      </c>
      <c r="G41" s="5">
        <v>41835</v>
      </c>
      <c r="H41" s="5"/>
      <c r="I41" s="5"/>
      <c r="J41" s="5">
        <f>SUM(G41:I41)</f>
        <v>41835</v>
      </c>
      <c r="K41" s="5">
        <f t="shared" ref="K41" si="165">SUM(G41+C41)</f>
        <v>629335</v>
      </c>
      <c r="L41" s="5">
        <f t="shared" ref="L41" si="166">SUM(H41+D41)</f>
        <v>0</v>
      </c>
      <c r="M41" s="5">
        <f t="shared" ref="M41" si="167">SUM(I41+E41)</f>
        <v>0</v>
      </c>
      <c r="N41" s="6">
        <f t="shared" ref="N41" si="168">SUM(K41:M41)</f>
        <v>629335</v>
      </c>
      <c r="O41" s="5"/>
      <c r="P41" s="5"/>
      <c r="Q41" s="5"/>
      <c r="R41" s="5">
        <f t="shared" si="155"/>
        <v>0</v>
      </c>
      <c r="S41" s="5"/>
      <c r="T41" s="5"/>
      <c r="U41" s="5"/>
      <c r="V41" s="5">
        <f>SUM(S41:U41)</f>
        <v>0</v>
      </c>
      <c r="W41" s="5"/>
      <c r="X41" s="5"/>
      <c r="Y41" s="5"/>
      <c r="Z41" s="5">
        <f t="shared" si="159"/>
        <v>0</v>
      </c>
      <c r="AA41" s="2">
        <f t="shared" ref="AA41" si="169">SUM(O41+C41)</f>
        <v>587500</v>
      </c>
      <c r="AB41" s="2">
        <f t="shared" ref="AB41" si="170">SUM(P41+D41)</f>
        <v>0</v>
      </c>
      <c r="AC41" s="2">
        <f t="shared" ref="AC41" si="171">SUM(Q41+E41)</f>
        <v>0</v>
      </c>
      <c r="AD41" s="2">
        <f>SUM(AA41:AC41)</f>
        <v>587500</v>
      </c>
      <c r="AE41" s="2">
        <f t="shared" ref="AE41" si="172">SUM(S41+G41)</f>
        <v>41835</v>
      </c>
      <c r="AF41" s="2">
        <f t="shared" ref="AF41" si="173">SUM(T41+H41)</f>
        <v>0</v>
      </c>
      <c r="AG41" s="2">
        <f t="shared" ref="AG41" si="174">SUM(U41+I41)</f>
        <v>0</v>
      </c>
      <c r="AH41" s="2">
        <f t="shared" ref="AH41" si="175">SUM(AE41:AG41)</f>
        <v>41835</v>
      </c>
      <c r="AI41" s="2">
        <f t="shared" ref="AI41" si="176">SUM(W41+K41)</f>
        <v>629335</v>
      </c>
      <c r="AJ41" s="2">
        <f t="shared" ref="AJ41" si="177">SUM(X41+L41)</f>
        <v>0</v>
      </c>
      <c r="AK41" s="2">
        <f t="shared" ref="AK41" si="178">SUM(Y41+M41)</f>
        <v>0</v>
      </c>
      <c r="AL41" s="2">
        <f t="shared" ref="AL41" si="179">SUM(AI41:AK41)</f>
        <v>629335</v>
      </c>
    </row>
    <row r="42" spans="1:38" ht="31.5" x14ac:dyDescent="0.25">
      <c r="A42" s="419" t="s">
        <v>211</v>
      </c>
      <c r="B42" s="12" t="s">
        <v>212</v>
      </c>
      <c r="C42" s="5">
        <v>111700</v>
      </c>
      <c r="D42" s="643">
        <v>70178</v>
      </c>
      <c r="E42" s="59"/>
      <c r="F42" s="643">
        <f t="shared" si="150"/>
        <v>181878</v>
      </c>
      <c r="G42" s="5">
        <v>-22397</v>
      </c>
      <c r="H42" s="5">
        <v>1261</v>
      </c>
      <c r="I42" s="5"/>
      <c r="J42" s="5">
        <f t="shared" ref="J42:J45" si="180">SUM(G42:I42)</f>
        <v>-21136</v>
      </c>
      <c r="K42" s="5">
        <f t="shared" si="151"/>
        <v>89303</v>
      </c>
      <c r="L42" s="5">
        <f t="shared" si="152"/>
        <v>71439</v>
      </c>
      <c r="M42" s="5">
        <f t="shared" si="153"/>
        <v>0</v>
      </c>
      <c r="N42" s="6">
        <f t="shared" si="154"/>
        <v>160742</v>
      </c>
      <c r="O42" s="5">
        <v>310697</v>
      </c>
      <c r="P42" s="5">
        <v>107381</v>
      </c>
      <c r="Q42" s="5"/>
      <c r="R42" s="5">
        <f t="shared" si="155"/>
        <v>418078</v>
      </c>
      <c r="S42" s="5">
        <v>-14526</v>
      </c>
      <c r="T42" s="5">
        <v>-23536</v>
      </c>
      <c r="U42" s="5">
        <v>281</v>
      </c>
      <c r="V42" s="5">
        <f t="shared" ref="V42:V45" si="181">SUM(S42:U42)</f>
        <v>-37781</v>
      </c>
      <c r="W42" s="5">
        <f t="shared" si="156"/>
        <v>296171</v>
      </c>
      <c r="X42" s="5">
        <f t="shared" si="157"/>
        <v>83845</v>
      </c>
      <c r="Y42" s="5">
        <f t="shared" si="158"/>
        <v>281</v>
      </c>
      <c r="Z42" s="5">
        <f t="shared" si="159"/>
        <v>380297</v>
      </c>
      <c r="AA42" s="2">
        <f t="shared" si="160"/>
        <v>422397</v>
      </c>
      <c r="AB42" s="2">
        <f t="shared" si="160"/>
        <v>177559</v>
      </c>
      <c r="AC42" s="2">
        <f t="shared" si="160"/>
        <v>0</v>
      </c>
      <c r="AD42" s="2">
        <f>SUM(AA42:AC42)</f>
        <v>599956</v>
      </c>
      <c r="AE42" s="2">
        <f t="shared" si="161"/>
        <v>-36923</v>
      </c>
      <c r="AF42" s="2">
        <f t="shared" si="161"/>
        <v>-22275</v>
      </c>
      <c r="AG42" s="2">
        <f t="shared" si="161"/>
        <v>281</v>
      </c>
      <c r="AH42" s="2">
        <f t="shared" si="162"/>
        <v>-58917</v>
      </c>
      <c r="AI42" s="2">
        <f t="shared" si="163"/>
        <v>385474</v>
      </c>
      <c r="AJ42" s="2">
        <f t="shared" si="163"/>
        <v>155284</v>
      </c>
      <c r="AK42" s="2">
        <f t="shared" si="163"/>
        <v>281</v>
      </c>
      <c r="AL42" s="2">
        <f t="shared" si="164"/>
        <v>541039</v>
      </c>
    </row>
    <row r="43" spans="1:38" x14ac:dyDescent="0.25">
      <c r="A43" s="419" t="s">
        <v>213</v>
      </c>
      <c r="B43" s="12" t="s">
        <v>203</v>
      </c>
      <c r="C43" s="5"/>
      <c r="D43" s="643"/>
      <c r="E43" s="59"/>
      <c r="F43" s="643">
        <f t="shared" si="150"/>
        <v>0</v>
      </c>
      <c r="G43" s="5">
        <v>1176</v>
      </c>
      <c r="H43" s="5"/>
      <c r="I43" s="5"/>
      <c r="J43" s="5">
        <f t="shared" si="180"/>
        <v>1176</v>
      </c>
      <c r="K43" s="5">
        <f t="shared" si="151"/>
        <v>1176</v>
      </c>
      <c r="L43" s="5">
        <f t="shared" si="152"/>
        <v>0</v>
      </c>
      <c r="M43" s="5">
        <f t="shared" si="153"/>
        <v>0</v>
      </c>
      <c r="N43" s="6">
        <f t="shared" si="154"/>
        <v>1176</v>
      </c>
      <c r="O43" s="5"/>
      <c r="P43" s="5"/>
      <c r="Q43" s="5"/>
      <c r="R43" s="5">
        <f t="shared" si="155"/>
        <v>0</v>
      </c>
      <c r="S43" s="5"/>
      <c r="T43" s="5"/>
      <c r="U43" s="5"/>
      <c r="V43" s="5">
        <f t="shared" si="181"/>
        <v>0</v>
      </c>
      <c r="W43" s="5">
        <f t="shared" si="156"/>
        <v>0</v>
      </c>
      <c r="X43" s="5">
        <f t="shared" si="157"/>
        <v>0</v>
      </c>
      <c r="Y43" s="5">
        <f t="shared" si="158"/>
        <v>0</v>
      </c>
      <c r="Z43" s="5">
        <f t="shared" si="159"/>
        <v>0</v>
      </c>
      <c r="AA43" s="2">
        <f t="shared" si="160"/>
        <v>0</v>
      </c>
      <c r="AB43" s="2">
        <f t="shared" si="160"/>
        <v>0</v>
      </c>
      <c r="AC43" s="2">
        <f t="shared" si="160"/>
        <v>0</v>
      </c>
      <c r="AD43" s="2">
        <f>SUM(AA43:AC43)</f>
        <v>0</v>
      </c>
      <c r="AE43" s="2">
        <f t="shared" si="161"/>
        <v>1176</v>
      </c>
      <c r="AF43" s="2">
        <f t="shared" si="161"/>
        <v>0</v>
      </c>
      <c r="AG43" s="2">
        <f t="shared" si="161"/>
        <v>0</v>
      </c>
      <c r="AH43" s="2">
        <f t="shared" si="162"/>
        <v>1176</v>
      </c>
      <c r="AI43" s="2">
        <f t="shared" si="163"/>
        <v>1176</v>
      </c>
      <c r="AJ43" s="2">
        <f t="shared" si="163"/>
        <v>0</v>
      </c>
      <c r="AK43" s="2">
        <f t="shared" si="163"/>
        <v>0</v>
      </c>
      <c r="AL43" s="2">
        <f t="shared" si="164"/>
        <v>1176</v>
      </c>
    </row>
    <row r="44" spans="1:38" ht="30.75" customHeight="1" x14ac:dyDescent="0.25">
      <c r="A44" s="165" t="s">
        <v>1316</v>
      </c>
      <c r="B44" s="165" t="s">
        <v>204</v>
      </c>
      <c r="C44" s="420">
        <v>205000</v>
      </c>
      <c r="D44" s="648"/>
      <c r="E44" s="420"/>
      <c r="F44" s="421">
        <f t="shared" ref="F44" si="182">SUM(C44:E44)</f>
        <v>205000</v>
      </c>
      <c r="G44" s="421">
        <v>-119649</v>
      </c>
      <c r="H44" s="421"/>
      <c r="I44" s="420"/>
      <c r="J44" s="5">
        <f t="shared" ref="J44" si="183">SUM(G44:I44)</f>
        <v>-119649</v>
      </c>
      <c r="K44" s="420">
        <f t="shared" ref="K44" si="184">SUM(G44+C44)</f>
        <v>85351</v>
      </c>
      <c r="L44" s="421">
        <f t="shared" ref="L44" si="185">SUM(H44+D44)</f>
        <v>0</v>
      </c>
      <c r="M44" s="421">
        <f t="shared" ref="M44" si="186">SUM(I44+E44)</f>
        <v>0</v>
      </c>
      <c r="N44" s="421">
        <f t="shared" ref="N44" si="187">SUM(K44:M44)</f>
        <v>85351</v>
      </c>
      <c r="O44" s="420"/>
      <c r="P44" s="420"/>
      <c r="Q44" s="420"/>
      <c r="R44" s="5">
        <f t="shared" ref="R44" si="188">SUM(O44:Q44)</f>
        <v>0</v>
      </c>
      <c r="S44" s="5"/>
      <c r="T44" s="5"/>
      <c r="U44" s="5"/>
      <c r="V44" s="5">
        <f t="shared" ref="V44" si="189">SUM(S44:U44)</f>
        <v>0</v>
      </c>
      <c r="W44" s="5">
        <f t="shared" ref="W44" si="190">SUM(S44+O44)</f>
        <v>0</v>
      </c>
      <c r="X44" s="5">
        <f t="shared" ref="X44" si="191">SUM(T44+P44)</f>
        <v>0</v>
      </c>
      <c r="Y44" s="5">
        <f t="shared" ref="Y44" si="192">SUM(Q44+U44)</f>
        <v>0</v>
      </c>
      <c r="Z44" s="5">
        <f t="shared" ref="Z44" si="193">SUM(W44:Y44)</f>
        <v>0</v>
      </c>
      <c r="AA44" s="3">
        <f t="shared" ref="AA44:AD45" si="194">SUM(C44+O44)</f>
        <v>205000</v>
      </c>
      <c r="AB44" s="3">
        <f t="shared" si="194"/>
        <v>0</v>
      </c>
      <c r="AC44" s="3">
        <f t="shared" si="194"/>
        <v>0</v>
      </c>
      <c r="AD44" s="3">
        <f t="shared" si="194"/>
        <v>205000</v>
      </c>
      <c r="AE44" s="3">
        <f t="shared" ref="AE44" si="195">SUM(G44+S44)</f>
        <v>-119649</v>
      </c>
      <c r="AF44" s="3">
        <f t="shared" ref="AF44" si="196">SUM(H44+T44)</f>
        <v>0</v>
      </c>
      <c r="AG44" s="3">
        <f t="shared" ref="AG44" si="197">SUM(I44+U44)</f>
        <v>0</v>
      </c>
      <c r="AH44" s="3">
        <f t="shared" ref="AH44" si="198">SUM(J44+V44)</f>
        <v>-119649</v>
      </c>
      <c r="AI44" s="3">
        <f t="shared" ref="AI44" si="199">SUM(K44+W44)</f>
        <v>85351</v>
      </c>
      <c r="AJ44" s="3">
        <f t="shared" ref="AJ44" si="200">SUM(L44+X44)</f>
        <v>0</v>
      </c>
      <c r="AK44" s="3">
        <f t="shared" ref="AK44" si="201">SUM(M44+Y44)</f>
        <v>0</v>
      </c>
      <c r="AL44" s="3">
        <f t="shared" ref="AL44" si="202">SUM(N44+Z44)</f>
        <v>85351</v>
      </c>
    </row>
    <row r="45" spans="1:38" ht="30.75" customHeight="1" x14ac:dyDescent="0.25">
      <c r="A45" s="165" t="s">
        <v>1504</v>
      </c>
      <c r="B45" s="165" t="s">
        <v>204</v>
      </c>
      <c r="C45" s="420">
        <v>0</v>
      </c>
      <c r="D45" s="648"/>
      <c r="E45" s="420"/>
      <c r="F45" s="421">
        <f t="shared" si="150"/>
        <v>0</v>
      </c>
      <c r="G45" s="421">
        <v>0</v>
      </c>
      <c r="H45" s="421"/>
      <c r="I45" s="420"/>
      <c r="J45" s="5">
        <f t="shared" si="180"/>
        <v>0</v>
      </c>
      <c r="K45" s="420">
        <f t="shared" si="151"/>
        <v>0</v>
      </c>
      <c r="L45" s="421">
        <f t="shared" si="152"/>
        <v>0</v>
      </c>
      <c r="M45" s="421">
        <f t="shared" si="153"/>
        <v>0</v>
      </c>
      <c r="N45" s="421">
        <f t="shared" si="154"/>
        <v>0</v>
      </c>
      <c r="O45" s="420"/>
      <c r="P45" s="420"/>
      <c r="Q45" s="420"/>
      <c r="R45" s="5">
        <f t="shared" si="155"/>
        <v>0</v>
      </c>
      <c r="S45" s="5">
        <v>2750</v>
      </c>
      <c r="T45" s="5"/>
      <c r="U45" s="5">
        <v>1975</v>
      </c>
      <c r="V45" s="5">
        <f t="shared" si="181"/>
        <v>4725</v>
      </c>
      <c r="W45" s="5">
        <f t="shared" si="156"/>
        <v>2750</v>
      </c>
      <c r="X45" s="5">
        <f t="shared" si="157"/>
        <v>0</v>
      </c>
      <c r="Y45" s="5">
        <f t="shared" si="158"/>
        <v>1975</v>
      </c>
      <c r="Z45" s="5">
        <f t="shared" si="159"/>
        <v>4725</v>
      </c>
      <c r="AA45" s="3">
        <f t="shared" si="194"/>
        <v>0</v>
      </c>
      <c r="AB45" s="3">
        <f t="shared" si="194"/>
        <v>0</v>
      </c>
      <c r="AC45" s="3">
        <f t="shared" si="194"/>
        <v>0</v>
      </c>
      <c r="AD45" s="3">
        <f t="shared" si="194"/>
        <v>0</v>
      </c>
      <c r="AE45" s="3">
        <f t="shared" ref="AE45:AL45" si="203">SUM(G45+S45)</f>
        <v>2750</v>
      </c>
      <c r="AF45" s="3">
        <f t="shared" si="203"/>
        <v>0</v>
      </c>
      <c r="AG45" s="3">
        <f t="shared" si="203"/>
        <v>1975</v>
      </c>
      <c r="AH45" s="3">
        <f t="shared" si="203"/>
        <v>4725</v>
      </c>
      <c r="AI45" s="3">
        <f t="shared" si="203"/>
        <v>2750</v>
      </c>
      <c r="AJ45" s="3">
        <f t="shared" si="203"/>
        <v>0</v>
      </c>
      <c r="AK45" s="3">
        <f t="shared" si="203"/>
        <v>1975</v>
      </c>
      <c r="AL45" s="3">
        <f t="shared" si="203"/>
        <v>4725</v>
      </c>
    </row>
    <row r="46" spans="1:38" ht="31.5" x14ac:dyDescent="0.25">
      <c r="A46" s="166" t="s">
        <v>1505</v>
      </c>
      <c r="B46" s="166" t="s">
        <v>168</v>
      </c>
      <c r="C46" s="3">
        <f>SUM(C44:C45)</f>
        <v>205000</v>
      </c>
      <c r="D46" s="3">
        <f t="shared" ref="D46:AL46" si="204">SUM(D44:D45)</f>
        <v>0</v>
      </c>
      <c r="E46" s="3">
        <f t="shared" si="204"/>
        <v>0</v>
      </c>
      <c r="F46" s="3">
        <f t="shared" si="204"/>
        <v>205000</v>
      </c>
      <c r="G46" s="3">
        <f t="shared" si="204"/>
        <v>-119649</v>
      </c>
      <c r="H46" s="3">
        <f t="shared" si="204"/>
        <v>0</v>
      </c>
      <c r="I46" s="3">
        <f t="shared" si="204"/>
        <v>0</v>
      </c>
      <c r="J46" s="3">
        <f t="shared" si="204"/>
        <v>-119649</v>
      </c>
      <c r="K46" s="3">
        <f t="shared" si="204"/>
        <v>85351</v>
      </c>
      <c r="L46" s="3">
        <f t="shared" si="204"/>
        <v>0</v>
      </c>
      <c r="M46" s="3">
        <f t="shared" si="204"/>
        <v>0</v>
      </c>
      <c r="N46" s="3">
        <f t="shared" si="204"/>
        <v>85351</v>
      </c>
      <c r="O46" s="3">
        <f t="shared" si="204"/>
        <v>0</v>
      </c>
      <c r="P46" s="3">
        <f t="shared" si="204"/>
        <v>0</v>
      </c>
      <c r="Q46" s="3">
        <f t="shared" si="204"/>
        <v>0</v>
      </c>
      <c r="R46" s="3">
        <f t="shared" si="204"/>
        <v>0</v>
      </c>
      <c r="S46" s="3">
        <f t="shared" si="204"/>
        <v>2750</v>
      </c>
      <c r="T46" s="3">
        <f t="shared" si="204"/>
        <v>0</v>
      </c>
      <c r="U46" s="3">
        <f t="shared" si="204"/>
        <v>1975</v>
      </c>
      <c r="V46" s="3">
        <f t="shared" si="204"/>
        <v>4725</v>
      </c>
      <c r="W46" s="3">
        <f t="shared" si="204"/>
        <v>2750</v>
      </c>
      <c r="X46" s="3">
        <f t="shared" si="204"/>
        <v>0</v>
      </c>
      <c r="Y46" s="3">
        <f t="shared" si="204"/>
        <v>1975</v>
      </c>
      <c r="Z46" s="3">
        <f t="shared" si="204"/>
        <v>4725</v>
      </c>
      <c r="AA46" s="3">
        <f t="shared" si="204"/>
        <v>205000</v>
      </c>
      <c r="AB46" s="3">
        <f t="shared" si="204"/>
        <v>0</v>
      </c>
      <c r="AC46" s="3">
        <f t="shared" si="204"/>
        <v>0</v>
      </c>
      <c r="AD46" s="3">
        <f t="shared" si="204"/>
        <v>205000</v>
      </c>
      <c r="AE46" s="3">
        <f t="shared" si="204"/>
        <v>-116899</v>
      </c>
      <c r="AF46" s="3">
        <f t="shared" si="204"/>
        <v>0</v>
      </c>
      <c r="AG46" s="3">
        <f t="shared" si="204"/>
        <v>1975</v>
      </c>
      <c r="AH46" s="3">
        <f t="shared" si="204"/>
        <v>-114924</v>
      </c>
      <c r="AI46" s="3">
        <f t="shared" si="204"/>
        <v>88101</v>
      </c>
      <c r="AJ46" s="3">
        <f t="shared" si="204"/>
        <v>0</v>
      </c>
      <c r="AK46" s="3">
        <f t="shared" si="204"/>
        <v>1975</v>
      </c>
      <c r="AL46" s="3">
        <f t="shared" si="204"/>
        <v>90076</v>
      </c>
    </row>
    <row r="47" spans="1:38" x14ac:dyDescent="0.25">
      <c r="A47" s="167" t="s">
        <v>1317</v>
      </c>
      <c r="B47" s="167" t="s">
        <v>169</v>
      </c>
      <c r="C47" s="14">
        <v>57615</v>
      </c>
      <c r="D47" s="649">
        <v>68070</v>
      </c>
      <c r="E47" s="14"/>
      <c r="F47" s="15">
        <f>SUM(C47:E47)</f>
        <v>125685</v>
      </c>
      <c r="G47" s="15">
        <v>16188</v>
      </c>
      <c r="H47" s="15">
        <v>85879</v>
      </c>
      <c r="I47" s="15"/>
      <c r="J47" s="15">
        <f>SUM(G47:I47)</f>
        <v>102067</v>
      </c>
      <c r="K47" s="14">
        <f t="shared" ref="K47:K48" si="205">SUM(G47+C47)</f>
        <v>73803</v>
      </c>
      <c r="L47" s="15">
        <f t="shared" ref="L47:L48" si="206">SUM(H47+D47)</f>
        <v>153949</v>
      </c>
      <c r="M47" s="15">
        <f t="shared" ref="M47:M48" si="207">SUM(I47+E47)</f>
        <v>0</v>
      </c>
      <c r="N47" s="15">
        <f t="shared" ref="N47:N48" si="208">SUM(K47:M47)</f>
        <v>227752</v>
      </c>
      <c r="O47" s="14">
        <v>0</v>
      </c>
      <c r="P47" s="14">
        <v>50</v>
      </c>
      <c r="Q47" s="14">
        <v>0</v>
      </c>
      <c r="R47" s="14">
        <f>SUM(O47:Q47)</f>
        <v>50</v>
      </c>
      <c r="S47" s="14">
        <v>1800</v>
      </c>
      <c r="T47" s="14">
        <v>70</v>
      </c>
      <c r="U47" s="14"/>
      <c r="V47" s="14">
        <f>SUM(S47:U47)</f>
        <v>1870</v>
      </c>
      <c r="W47" s="14">
        <f t="shared" ref="W47:W48" si="209">SUM(S47+O47)</f>
        <v>1800</v>
      </c>
      <c r="X47" s="14">
        <f t="shared" ref="X47:X48" si="210">SUM(T47+P47)</f>
        <v>120</v>
      </c>
      <c r="Y47" s="14">
        <f t="shared" ref="Y47:Y48" si="211">SUM(Q47+U47)</f>
        <v>0</v>
      </c>
      <c r="Z47" s="14">
        <f t="shared" ref="Z47:Z48" si="212">SUM(W47:Y47)</f>
        <v>1920</v>
      </c>
      <c r="AA47" s="3">
        <f t="shared" ref="AA47:AD48" si="213">SUM(C47+O47)</f>
        <v>57615</v>
      </c>
      <c r="AB47" s="3">
        <f t="shared" si="213"/>
        <v>68120</v>
      </c>
      <c r="AC47" s="3">
        <f t="shared" si="213"/>
        <v>0</v>
      </c>
      <c r="AD47" s="3">
        <f t="shared" si="213"/>
        <v>125735</v>
      </c>
      <c r="AE47" s="3">
        <f t="shared" ref="AE47:AL48" si="214">SUM(G47+S47)</f>
        <v>17988</v>
      </c>
      <c r="AF47" s="3">
        <f t="shared" si="214"/>
        <v>85949</v>
      </c>
      <c r="AG47" s="3">
        <f t="shared" si="214"/>
        <v>0</v>
      </c>
      <c r="AH47" s="3">
        <f t="shared" si="214"/>
        <v>103937</v>
      </c>
      <c r="AI47" s="3">
        <f t="shared" si="214"/>
        <v>75603</v>
      </c>
      <c r="AJ47" s="3">
        <f t="shared" si="214"/>
        <v>154069</v>
      </c>
      <c r="AK47" s="3">
        <f t="shared" si="214"/>
        <v>0</v>
      </c>
      <c r="AL47" s="3">
        <f t="shared" si="214"/>
        <v>229672</v>
      </c>
    </row>
    <row r="48" spans="1:38" ht="16.5" thickBot="1" x14ac:dyDescent="0.3">
      <c r="A48" s="163" t="s">
        <v>1318</v>
      </c>
      <c r="B48" s="163" t="s">
        <v>170</v>
      </c>
      <c r="C48" s="71">
        <v>3911</v>
      </c>
      <c r="D48" s="650">
        <v>22500</v>
      </c>
      <c r="E48" s="71"/>
      <c r="F48" s="72">
        <f>SUM(C48:E48)</f>
        <v>26411</v>
      </c>
      <c r="G48" s="72">
        <v>7500</v>
      </c>
      <c r="H48" s="72">
        <v>29815</v>
      </c>
      <c r="I48" s="72"/>
      <c r="J48" s="72">
        <f>SUM(G48:I48)</f>
        <v>37315</v>
      </c>
      <c r="K48" s="71">
        <f t="shared" si="205"/>
        <v>11411</v>
      </c>
      <c r="L48" s="72">
        <f t="shared" si="206"/>
        <v>52315</v>
      </c>
      <c r="M48" s="72">
        <f t="shared" si="207"/>
        <v>0</v>
      </c>
      <c r="N48" s="72">
        <f t="shared" si="208"/>
        <v>63726</v>
      </c>
      <c r="O48" s="71">
        <v>0</v>
      </c>
      <c r="P48" s="71">
        <v>0</v>
      </c>
      <c r="Q48" s="71">
        <v>0</v>
      </c>
      <c r="R48" s="14">
        <f>SUM(O48:Q48)</f>
        <v>0</v>
      </c>
      <c r="S48" s="124">
        <v>1951</v>
      </c>
      <c r="T48" s="124"/>
      <c r="U48" s="124"/>
      <c r="V48" s="124">
        <f>SUM(S48:U48)</f>
        <v>1951</v>
      </c>
      <c r="W48" s="124">
        <f t="shared" si="209"/>
        <v>1951</v>
      </c>
      <c r="X48" s="124">
        <f t="shared" si="210"/>
        <v>0</v>
      </c>
      <c r="Y48" s="124">
        <f t="shared" si="211"/>
        <v>0</v>
      </c>
      <c r="Z48" s="124">
        <f t="shared" si="212"/>
        <v>1951</v>
      </c>
      <c r="AA48" s="19">
        <f t="shared" si="213"/>
        <v>3911</v>
      </c>
      <c r="AB48" s="19">
        <f t="shared" si="213"/>
        <v>22500</v>
      </c>
      <c r="AC48" s="19">
        <f t="shared" si="213"/>
        <v>0</v>
      </c>
      <c r="AD48" s="19">
        <f t="shared" si="213"/>
        <v>26411</v>
      </c>
      <c r="AE48" s="19">
        <f t="shared" si="214"/>
        <v>9451</v>
      </c>
      <c r="AF48" s="19">
        <f t="shared" si="214"/>
        <v>29815</v>
      </c>
      <c r="AG48" s="19">
        <f t="shared" si="214"/>
        <v>0</v>
      </c>
      <c r="AH48" s="19">
        <f t="shared" si="214"/>
        <v>39266</v>
      </c>
      <c r="AI48" s="19">
        <f t="shared" si="214"/>
        <v>13362</v>
      </c>
      <c r="AJ48" s="19">
        <f t="shared" si="214"/>
        <v>52315</v>
      </c>
      <c r="AK48" s="19">
        <f t="shared" si="214"/>
        <v>0</v>
      </c>
      <c r="AL48" s="19">
        <f t="shared" si="214"/>
        <v>65677</v>
      </c>
    </row>
    <row r="49" spans="1:38" ht="33" thickTop="1" thickBot="1" x14ac:dyDescent="0.3">
      <c r="A49" s="168" t="s">
        <v>1319</v>
      </c>
      <c r="B49" s="168"/>
      <c r="C49" s="21">
        <f t="shared" ref="C49:AL49" si="215">SUM(C47+C39+C38+C20)</f>
        <v>22580243</v>
      </c>
      <c r="D49" s="21">
        <f t="shared" si="215"/>
        <v>956419</v>
      </c>
      <c r="E49" s="21">
        <f t="shared" si="215"/>
        <v>0</v>
      </c>
      <c r="F49" s="21">
        <f t="shared" si="215"/>
        <v>23536662</v>
      </c>
      <c r="G49" s="21">
        <f t="shared" si="215"/>
        <v>1882320</v>
      </c>
      <c r="H49" s="21">
        <f t="shared" si="215"/>
        <v>149374</v>
      </c>
      <c r="I49" s="21">
        <f t="shared" si="215"/>
        <v>0</v>
      </c>
      <c r="J49" s="21">
        <f t="shared" si="215"/>
        <v>2031694</v>
      </c>
      <c r="K49" s="21">
        <f t="shared" si="215"/>
        <v>24462563</v>
      </c>
      <c r="L49" s="21">
        <f t="shared" si="215"/>
        <v>1105793</v>
      </c>
      <c r="M49" s="21">
        <f t="shared" si="215"/>
        <v>0</v>
      </c>
      <c r="N49" s="21">
        <f t="shared" si="215"/>
        <v>25568356</v>
      </c>
      <c r="O49" s="21">
        <f t="shared" si="215"/>
        <v>2058922</v>
      </c>
      <c r="P49" s="21">
        <f t="shared" si="215"/>
        <v>544037</v>
      </c>
      <c r="Q49" s="21">
        <f t="shared" si="215"/>
        <v>74667</v>
      </c>
      <c r="R49" s="21">
        <f t="shared" si="215"/>
        <v>2677626</v>
      </c>
      <c r="S49" s="21">
        <f t="shared" si="215"/>
        <v>-19321</v>
      </c>
      <c r="T49" s="21">
        <f t="shared" si="215"/>
        <v>19138</v>
      </c>
      <c r="U49" s="21">
        <f t="shared" si="215"/>
        <v>1819</v>
      </c>
      <c r="V49" s="21">
        <f t="shared" si="215"/>
        <v>1636</v>
      </c>
      <c r="W49" s="21">
        <f t="shared" si="215"/>
        <v>2039601</v>
      </c>
      <c r="X49" s="21">
        <f t="shared" si="215"/>
        <v>563175</v>
      </c>
      <c r="Y49" s="21">
        <f t="shared" si="215"/>
        <v>76486</v>
      </c>
      <c r="Z49" s="21">
        <f t="shared" si="215"/>
        <v>2679262</v>
      </c>
      <c r="AA49" s="21">
        <f t="shared" si="215"/>
        <v>24639165</v>
      </c>
      <c r="AB49" s="21">
        <f t="shared" si="215"/>
        <v>1500456</v>
      </c>
      <c r="AC49" s="21">
        <f t="shared" si="215"/>
        <v>74667</v>
      </c>
      <c r="AD49" s="21">
        <f t="shared" si="215"/>
        <v>26214288</v>
      </c>
      <c r="AE49" s="21">
        <f t="shared" si="215"/>
        <v>1862999</v>
      </c>
      <c r="AF49" s="21">
        <f t="shared" si="215"/>
        <v>168512</v>
      </c>
      <c r="AG49" s="21">
        <f t="shared" si="215"/>
        <v>1819</v>
      </c>
      <c r="AH49" s="21">
        <f t="shared" si="215"/>
        <v>2033330</v>
      </c>
      <c r="AI49" s="21">
        <f t="shared" si="215"/>
        <v>26502164</v>
      </c>
      <c r="AJ49" s="21">
        <f t="shared" si="215"/>
        <v>1668968</v>
      </c>
      <c r="AK49" s="21">
        <f t="shared" si="215"/>
        <v>76486</v>
      </c>
      <c r="AL49" s="21">
        <f t="shared" si="215"/>
        <v>28247618</v>
      </c>
    </row>
    <row r="50" spans="1:38" ht="33" thickTop="1" thickBot="1" x14ac:dyDescent="0.3">
      <c r="A50" s="168" t="s">
        <v>1320</v>
      </c>
      <c r="B50" s="168"/>
      <c r="C50" s="21">
        <f t="shared" ref="C50:AL50" si="216">SUM(C23+C46+C48)</f>
        <v>8966462</v>
      </c>
      <c r="D50" s="21">
        <f t="shared" si="216"/>
        <v>1869785</v>
      </c>
      <c r="E50" s="21">
        <f t="shared" si="216"/>
        <v>0</v>
      </c>
      <c r="F50" s="21">
        <f t="shared" si="216"/>
        <v>10836247</v>
      </c>
      <c r="G50" s="21">
        <f t="shared" si="216"/>
        <v>-4179185</v>
      </c>
      <c r="H50" s="21">
        <f t="shared" si="216"/>
        <v>984500</v>
      </c>
      <c r="I50" s="21">
        <f t="shared" si="216"/>
        <v>0</v>
      </c>
      <c r="J50" s="21">
        <f t="shared" si="216"/>
        <v>-3194685</v>
      </c>
      <c r="K50" s="21">
        <f t="shared" si="216"/>
        <v>4787277</v>
      </c>
      <c r="L50" s="21">
        <f t="shared" si="216"/>
        <v>2854285</v>
      </c>
      <c r="M50" s="21">
        <f t="shared" si="216"/>
        <v>0</v>
      </c>
      <c r="N50" s="21">
        <f t="shared" si="216"/>
        <v>7641562</v>
      </c>
      <c r="O50" s="21">
        <f t="shared" si="216"/>
        <v>0</v>
      </c>
      <c r="P50" s="21">
        <f t="shared" si="216"/>
        <v>0</v>
      </c>
      <c r="Q50" s="21">
        <f t="shared" si="216"/>
        <v>0</v>
      </c>
      <c r="R50" s="21">
        <f t="shared" si="216"/>
        <v>0</v>
      </c>
      <c r="S50" s="21">
        <f t="shared" si="216"/>
        <v>4701</v>
      </c>
      <c r="T50" s="21">
        <f t="shared" si="216"/>
        <v>2866</v>
      </c>
      <c r="U50" s="21">
        <f t="shared" si="216"/>
        <v>1975</v>
      </c>
      <c r="V50" s="21">
        <f t="shared" si="216"/>
        <v>9542</v>
      </c>
      <c r="W50" s="21">
        <f t="shared" si="216"/>
        <v>4701</v>
      </c>
      <c r="X50" s="21">
        <f t="shared" si="216"/>
        <v>2866</v>
      </c>
      <c r="Y50" s="21">
        <f t="shared" si="216"/>
        <v>1975</v>
      </c>
      <c r="Z50" s="21">
        <f t="shared" si="216"/>
        <v>9542</v>
      </c>
      <c r="AA50" s="21">
        <f t="shared" si="216"/>
        <v>8966462</v>
      </c>
      <c r="AB50" s="21">
        <f t="shared" si="216"/>
        <v>1869785</v>
      </c>
      <c r="AC50" s="21">
        <f t="shared" si="216"/>
        <v>0</v>
      </c>
      <c r="AD50" s="21">
        <f t="shared" si="216"/>
        <v>10836247</v>
      </c>
      <c r="AE50" s="21">
        <f t="shared" si="216"/>
        <v>-4174484</v>
      </c>
      <c r="AF50" s="21">
        <f t="shared" si="216"/>
        <v>987366</v>
      </c>
      <c r="AG50" s="21">
        <f t="shared" si="216"/>
        <v>1975</v>
      </c>
      <c r="AH50" s="21">
        <f t="shared" si="216"/>
        <v>-3185143</v>
      </c>
      <c r="AI50" s="21">
        <f t="shared" si="216"/>
        <v>4791978</v>
      </c>
      <c r="AJ50" s="21">
        <f t="shared" si="216"/>
        <v>2857151</v>
      </c>
      <c r="AK50" s="21">
        <f t="shared" si="216"/>
        <v>1975</v>
      </c>
      <c r="AL50" s="21">
        <f t="shared" si="216"/>
        <v>7651104</v>
      </c>
    </row>
    <row r="51" spans="1:38" ht="33" thickTop="1" thickBot="1" x14ac:dyDescent="0.3">
      <c r="A51" s="168" t="s">
        <v>1321</v>
      </c>
      <c r="B51" s="168" t="s">
        <v>272</v>
      </c>
      <c r="C51" s="16">
        <f>SUM(C49+C50)</f>
        <v>31546705</v>
      </c>
      <c r="D51" s="16">
        <f t="shared" ref="D51:F51" si="217">SUM(D49+D50)</f>
        <v>2826204</v>
      </c>
      <c r="E51" s="16">
        <f t="shared" si="217"/>
        <v>0</v>
      </c>
      <c r="F51" s="16">
        <f t="shared" si="217"/>
        <v>34372909</v>
      </c>
      <c r="G51" s="16">
        <f t="shared" ref="G51:Q51" si="218">SUM(G49+G50)</f>
        <v>-2296865</v>
      </c>
      <c r="H51" s="16">
        <f t="shared" si="218"/>
        <v>1133874</v>
      </c>
      <c r="I51" s="16">
        <f t="shared" si="218"/>
        <v>0</v>
      </c>
      <c r="J51" s="16">
        <f t="shared" si="218"/>
        <v>-1162991</v>
      </c>
      <c r="K51" s="16">
        <f t="shared" si="218"/>
        <v>29249840</v>
      </c>
      <c r="L51" s="16">
        <f t="shared" si="218"/>
        <v>3960078</v>
      </c>
      <c r="M51" s="16">
        <f t="shared" si="218"/>
        <v>0</v>
      </c>
      <c r="N51" s="16">
        <f t="shared" si="218"/>
        <v>33209918</v>
      </c>
      <c r="O51" s="16">
        <f t="shared" si="218"/>
        <v>2058922</v>
      </c>
      <c r="P51" s="16">
        <f t="shared" si="218"/>
        <v>544037</v>
      </c>
      <c r="Q51" s="16">
        <f t="shared" si="218"/>
        <v>74667</v>
      </c>
      <c r="R51" s="16">
        <f t="shared" ref="R51:AD51" si="219">SUM(R49+R50)</f>
        <v>2677626</v>
      </c>
      <c r="S51" s="16">
        <f t="shared" ref="S51:Z51" si="220">SUM(S49+S50)</f>
        <v>-14620</v>
      </c>
      <c r="T51" s="16">
        <f t="shared" si="220"/>
        <v>22004</v>
      </c>
      <c r="U51" s="16">
        <f t="shared" si="220"/>
        <v>3794</v>
      </c>
      <c r="V51" s="16">
        <f t="shared" si="220"/>
        <v>11178</v>
      </c>
      <c r="W51" s="16">
        <f t="shared" si="220"/>
        <v>2044302</v>
      </c>
      <c r="X51" s="16">
        <f t="shared" si="220"/>
        <v>566041</v>
      </c>
      <c r="Y51" s="16">
        <f t="shared" si="220"/>
        <v>78461</v>
      </c>
      <c r="Z51" s="16">
        <f t="shared" si="220"/>
        <v>2688804</v>
      </c>
      <c r="AA51" s="16">
        <f t="shared" si="219"/>
        <v>33605627</v>
      </c>
      <c r="AB51" s="16">
        <f t="shared" si="219"/>
        <v>3370241</v>
      </c>
      <c r="AC51" s="16">
        <f t="shared" si="219"/>
        <v>74667</v>
      </c>
      <c r="AD51" s="16">
        <f t="shared" si="219"/>
        <v>37050535</v>
      </c>
      <c r="AE51" s="16">
        <f t="shared" ref="AE51:AL51" si="221">SUM(AE49+AE50)</f>
        <v>-2311485</v>
      </c>
      <c r="AF51" s="16">
        <f t="shared" si="221"/>
        <v>1155878</v>
      </c>
      <c r="AG51" s="16">
        <f t="shared" si="221"/>
        <v>3794</v>
      </c>
      <c r="AH51" s="16">
        <f t="shared" si="221"/>
        <v>-1151813</v>
      </c>
      <c r="AI51" s="16">
        <f t="shared" si="221"/>
        <v>31294142</v>
      </c>
      <c r="AJ51" s="16">
        <f t="shared" si="221"/>
        <v>4526119</v>
      </c>
      <c r="AK51" s="16">
        <f t="shared" si="221"/>
        <v>78461</v>
      </c>
      <c r="AL51" s="16">
        <f t="shared" si="221"/>
        <v>35898722</v>
      </c>
    </row>
    <row r="52" spans="1:38" ht="17.25" thickTop="1" thickBot="1" x14ac:dyDescent="0.3">
      <c r="A52" s="168"/>
      <c r="B52" s="169"/>
      <c r="C52" s="651"/>
      <c r="D52" s="652"/>
      <c r="E52" s="651"/>
      <c r="F52" s="20"/>
      <c r="G52" s="20"/>
      <c r="H52" s="20"/>
      <c r="I52" s="20"/>
      <c r="J52" s="20"/>
      <c r="K52" s="20"/>
      <c r="L52" s="20"/>
      <c r="M52" s="20"/>
      <c r="N52" s="20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2"/>
      <c r="AB52" s="21"/>
      <c r="AC52" s="21"/>
      <c r="AD52" s="21"/>
      <c r="AE52" s="22"/>
      <c r="AF52" s="21"/>
      <c r="AG52" s="21"/>
      <c r="AH52" s="21"/>
      <c r="AI52" s="22"/>
      <c r="AJ52" s="21"/>
      <c r="AK52" s="21"/>
      <c r="AL52" s="21"/>
    </row>
    <row r="53" spans="1:38" ht="32.25" thickTop="1" x14ac:dyDescent="0.25">
      <c r="A53" s="170" t="s">
        <v>308</v>
      </c>
      <c r="B53" s="170"/>
      <c r="C53" s="171"/>
      <c r="D53" s="172"/>
      <c r="E53" s="653"/>
      <c r="F53" s="173">
        <f>F54-F55</f>
        <v>-15632171</v>
      </c>
      <c r="G53" s="174"/>
      <c r="H53" s="172"/>
      <c r="I53" s="172"/>
      <c r="J53" s="174">
        <f>J54-J55</f>
        <v>-100311</v>
      </c>
      <c r="K53" s="171"/>
      <c r="L53" s="172"/>
      <c r="M53" s="172"/>
      <c r="N53" s="173">
        <f>N54-N55</f>
        <v>-15732482</v>
      </c>
      <c r="O53" s="174"/>
      <c r="P53" s="172"/>
      <c r="Q53" s="172"/>
      <c r="R53" s="173">
        <f>R54-R55</f>
        <v>-12470119</v>
      </c>
      <c r="S53" s="175"/>
      <c r="T53" s="172"/>
      <c r="U53" s="172"/>
      <c r="V53" s="173">
        <f>V54-V55</f>
        <v>100311</v>
      </c>
      <c r="W53" s="176"/>
      <c r="X53" s="172"/>
      <c r="Y53" s="172"/>
      <c r="Z53" s="177">
        <f>Z54-Z55</f>
        <v>-12369808</v>
      </c>
      <c r="AA53" s="171"/>
      <c r="AB53" s="172"/>
      <c r="AC53" s="172"/>
      <c r="AD53" s="173">
        <f>AD54-AD55</f>
        <v>-28102290</v>
      </c>
      <c r="AE53" s="171"/>
      <c r="AF53" s="172"/>
      <c r="AG53" s="172"/>
      <c r="AH53" s="173">
        <f t="shared" ref="AH53" si="222">AH54-AH55</f>
        <v>0</v>
      </c>
      <c r="AI53" s="171"/>
      <c r="AJ53" s="172"/>
      <c r="AK53" s="172"/>
      <c r="AL53" s="173">
        <f t="shared" ref="AL53" si="223">AL54-AL55</f>
        <v>-28102290</v>
      </c>
    </row>
    <row r="54" spans="1:38" x14ac:dyDescent="0.25">
      <c r="A54" s="178" t="s">
        <v>215</v>
      </c>
      <c r="B54" s="178" t="s">
        <v>272</v>
      </c>
      <c r="C54" s="26"/>
      <c r="D54" s="76"/>
      <c r="E54" s="88"/>
      <c r="F54" s="89">
        <f>SUM(F51)</f>
        <v>34372909</v>
      </c>
      <c r="G54" s="78"/>
      <c r="H54" s="76"/>
      <c r="I54" s="76"/>
      <c r="J54" s="78">
        <f>SUM(J51)</f>
        <v>-1162991</v>
      </c>
      <c r="K54" s="26"/>
      <c r="L54" s="76"/>
      <c r="M54" s="76"/>
      <c r="N54" s="89">
        <f>SUM(N51)</f>
        <v>33209918</v>
      </c>
      <c r="O54" s="78"/>
      <c r="P54" s="76"/>
      <c r="Q54" s="76"/>
      <c r="R54" s="89">
        <f>SUM(R51)</f>
        <v>2677626</v>
      </c>
      <c r="S54" s="179"/>
      <c r="T54" s="76"/>
      <c r="U54" s="76"/>
      <c r="V54" s="89">
        <f>SUM(V51)</f>
        <v>11178</v>
      </c>
      <c r="W54" s="125"/>
      <c r="X54" s="76"/>
      <c r="Y54" s="76"/>
      <c r="Z54" s="91">
        <f>SUM(Z51)</f>
        <v>2688804</v>
      </c>
      <c r="AA54" s="26"/>
      <c r="AB54" s="76"/>
      <c r="AC54" s="76"/>
      <c r="AD54" s="89">
        <f>SUM(AD51)</f>
        <v>37050535</v>
      </c>
      <c r="AE54" s="26"/>
      <c r="AF54" s="76"/>
      <c r="AG54" s="76"/>
      <c r="AH54" s="89">
        <f t="shared" ref="AH54" si="224">SUM(AH51)</f>
        <v>-1151813</v>
      </c>
      <c r="AI54" s="26"/>
      <c r="AJ54" s="76"/>
      <c r="AK54" s="76"/>
      <c r="AL54" s="89">
        <f t="shared" ref="AL54" si="225">SUM(AL51)</f>
        <v>35898722</v>
      </c>
    </row>
    <row r="55" spans="1:38" x14ac:dyDescent="0.25">
      <c r="A55" s="178" t="s">
        <v>216</v>
      </c>
      <c r="B55" s="178" t="s">
        <v>268</v>
      </c>
      <c r="C55" s="26"/>
      <c r="D55" s="76"/>
      <c r="E55" s="88"/>
      <c r="F55" s="89">
        <f>'2 kiadás (kötelező, önként)'!F22</f>
        <v>50005080</v>
      </c>
      <c r="G55" s="78"/>
      <c r="H55" s="76"/>
      <c r="I55" s="76"/>
      <c r="J55" s="78">
        <f>'2 kiadás (kötelező, önként)'!J22</f>
        <v>-1062680</v>
      </c>
      <c r="K55" s="26"/>
      <c r="L55" s="76"/>
      <c r="M55" s="76"/>
      <c r="N55" s="89">
        <f>SUM(J55+F55)</f>
        <v>48942400</v>
      </c>
      <c r="O55" s="78"/>
      <c r="P55" s="76"/>
      <c r="Q55" s="76"/>
      <c r="R55" s="89">
        <f>'2 kiadás (kötelező, önként)'!R22</f>
        <v>15147745</v>
      </c>
      <c r="S55" s="179"/>
      <c r="T55" s="76"/>
      <c r="U55" s="76"/>
      <c r="V55" s="89">
        <f>'2 kiadás (kötelező, önként)'!V22</f>
        <v>-89133</v>
      </c>
      <c r="W55" s="125"/>
      <c r="X55" s="76"/>
      <c r="Y55" s="76"/>
      <c r="Z55" s="91">
        <f>'2 kiadás (kötelező, önként)'!Z22</f>
        <v>15058612</v>
      </c>
      <c r="AA55" s="26"/>
      <c r="AB55" s="76"/>
      <c r="AC55" s="76"/>
      <c r="AD55" s="93">
        <f>'2 kiadás (kötelező, önként)'!AD22</f>
        <v>65152825</v>
      </c>
      <c r="AE55" s="26"/>
      <c r="AF55" s="76"/>
      <c r="AG55" s="76"/>
      <c r="AH55" s="93">
        <f>'2 kiadás (kötelező, önként)'!AH22</f>
        <v>-1151813</v>
      </c>
      <c r="AI55" s="26"/>
      <c r="AJ55" s="76"/>
      <c r="AK55" s="76"/>
      <c r="AL55" s="93">
        <f>'2 kiadás (kötelező, önként)'!AL22</f>
        <v>64001012</v>
      </c>
    </row>
    <row r="56" spans="1:38" x14ac:dyDescent="0.25">
      <c r="A56" s="178"/>
      <c r="B56" s="178"/>
      <c r="C56" s="94"/>
      <c r="D56" s="95"/>
      <c r="E56" s="76"/>
      <c r="F56" s="96"/>
      <c r="G56" s="78"/>
      <c r="H56" s="76"/>
      <c r="I56" s="76"/>
      <c r="J56" s="78"/>
      <c r="K56" s="26"/>
      <c r="L56" s="76"/>
      <c r="M56" s="76"/>
      <c r="N56" s="89"/>
      <c r="O56" s="97"/>
      <c r="P56" s="95"/>
      <c r="Q56" s="95"/>
      <c r="R56" s="89"/>
      <c r="S56" s="179"/>
      <c r="T56" s="76"/>
      <c r="U56" s="76"/>
      <c r="V56" s="89"/>
      <c r="W56" s="125"/>
      <c r="X56" s="76"/>
      <c r="Y56" s="76"/>
      <c r="Z56" s="91"/>
      <c r="AA56" s="26"/>
      <c r="AB56" s="76"/>
      <c r="AC56" s="76"/>
      <c r="AD56" s="93"/>
      <c r="AE56" s="26"/>
      <c r="AF56" s="76"/>
      <c r="AG56" s="76"/>
      <c r="AH56" s="93"/>
      <c r="AI56" s="26"/>
      <c r="AJ56" s="76"/>
      <c r="AK56" s="76"/>
      <c r="AL56" s="93"/>
    </row>
    <row r="57" spans="1:38" x14ac:dyDescent="0.25">
      <c r="A57" s="180" t="s">
        <v>455</v>
      </c>
      <c r="B57" s="180"/>
      <c r="C57" s="654"/>
      <c r="D57" s="655"/>
      <c r="E57" s="655"/>
      <c r="F57" s="656">
        <f>SUM(F62-F63)</f>
        <v>15632171</v>
      </c>
      <c r="G57" s="75"/>
      <c r="H57" s="73"/>
      <c r="I57" s="73"/>
      <c r="J57" s="75">
        <f>SUM(J62-J63)</f>
        <v>100311</v>
      </c>
      <c r="K57" s="61"/>
      <c r="L57" s="73"/>
      <c r="M57" s="73"/>
      <c r="N57" s="90">
        <f>SUM(N62-N63)</f>
        <v>15732482</v>
      </c>
      <c r="O57" s="657"/>
      <c r="P57" s="655"/>
      <c r="Q57" s="655"/>
      <c r="R57" s="90">
        <f>SUM(R62-R63)</f>
        <v>12470119</v>
      </c>
      <c r="S57" s="181"/>
      <c r="T57" s="73"/>
      <c r="U57" s="73"/>
      <c r="V57" s="90">
        <f>SUM(V62-V63)</f>
        <v>-100311</v>
      </c>
      <c r="W57" s="126"/>
      <c r="X57" s="73"/>
      <c r="Y57" s="73"/>
      <c r="Z57" s="130">
        <f>SUM(Z62-Z63)</f>
        <v>12369808</v>
      </c>
      <c r="AA57" s="61"/>
      <c r="AB57" s="73"/>
      <c r="AC57" s="73"/>
      <c r="AD57" s="90">
        <f>SUM(AD62-AD63)</f>
        <v>28102290</v>
      </c>
      <c r="AE57" s="61"/>
      <c r="AF57" s="73"/>
      <c r="AG57" s="73"/>
      <c r="AH57" s="90">
        <f>SUM(AH62-AH63)</f>
        <v>0</v>
      </c>
      <c r="AI57" s="61"/>
      <c r="AJ57" s="73"/>
      <c r="AK57" s="73"/>
      <c r="AL57" s="90">
        <f>SUM(AL62-AL63)</f>
        <v>28102290</v>
      </c>
    </row>
    <row r="58" spans="1:38" ht="31.5" x14ac:dyDescent="0.25">
      <c r="A58" s="27" t="s">
        <v>179</v>
      </c>
      <c r="B58" s="27"/>
      <c r="C58" s="77">
        <v>4721267</v>
      </c>
      <c r="D58" s="25">
        <v>6082918</v>
      </c>
      <c r="E58" s="25"/>
      <c r="F58" s="92">
        <f>SUM(C58:E58)</f>
        <v>10804185</v>
      </c>
      <c r="G58" s="74"/>
      <c r="H58" s="25"/>
      <c r="I58" s="25"/>
      <c r="J58" s="74">
        <f>SUM(G58:I58)</f>
        <v>0</v>
      </c>
      <c r="K58" s="77">
        <f t="shared" ref="K58:K59" si="226">SUM(G58+C58)</f>
        <v>4721267</v>
      </c>
      <c r="L58" s="25">
        <f t="shared" ref="L58:L59" si="227">SUM(H58+D58)</f>
        <v>6082918</v>
      </c>
      <c r="M58" s="25">
        <f t="shared" ref="M58:M59" si="228">SUM(I58+E58)</f>
        <v>0</v>
      </c>
      <c r="N58" s="92">
        <f t="shared" ref="N58:N59" si="229">SUM(K58:M58)</f>
        <v>10804185</v>
      </c>
      <c r="O58" s="77">
        <v>581296</v>
      </c>
      <c r="P58" s="25">
        <v>237190</v>
      </c>
      <c r="Q58" s="25"/>
      <c r="R58" s="92">
        <f>SUM(O58:Q58)</f>
        <v>818486</v>
      </c>
      <c r="S58" s="182">
        <v>0</v>
      </c>
      <c r="T58" s="25">
        <v>0</v>
      </c>
      <c r="U58" s="25">
        <v>0</v>
      </c>
      <c r="V58" s="92">
        <f>SUM(S58:U58)</f>
        <v>0</v>
      </c>
      <c r="W58" s="118">
        <f>SUM(S58+O58)</f>
        <v>581296</v>
      </c>
      <c r="X58" s="25">
        <f>SUM(T58+P58)</f>
        <v>237190</v>
      </c>
      <c r="Y58" s="25">
        <f>SUM(Q58+U58)</f>
        <v>0</v>
      </c>
      <c r="Z58" s="93">
        <f>SUM(W58:Y58)</f>
        <v>818486</v>
      </c>
      <c r="AA58" s="77">
        <f>SUM(O58+C58)</f>
        <v>5302563</v>
      </c>
      <c r="AB58" s="25">
        <f>SUM(P58+D58)</f>
        <v>6320108</v>
      </c>
      <c r="AC58" s="25"/>
      <c r="AD58" s="93">
        <f>SUM(AA58:AC58)</f>
        <v>11622671</v>
      </c>
      <c r="AE58" s="77">
        <f t="shared" ref="AE58:AF59" si="230">SUM(S58+G58)</f>
        <v>0</v>
      </c>
      <c r="AF58" s="25">
        <f t="shared" si="230"/>
        <v>0</v>
      </c>
      <c r="AG58" s="25"/>
      <c r="AH58" s="93">
        <f t="shared" ref="AH58:AH59" si="231">SUM(AE58:AG58)</f>
        <v>0</v>
      </c>
      <c r="AI58" s="77">
        <f t="shared" ref="AI58:AJ59" si="232">SUM(W58+K58)</f>
        <v>5302563</v>
      </c>
      <c r="AJ58" s="25">
        <f t="shared" si="232"/>
        <v>6320108</v>
      </c>
      <c r="AK58" s="25"/>
      <c r="AL58" s="93">
        <f t="shared" ref="AL58:AL59" si="233">SUM(AI58:AK58)</f>
        <v>11622671</v>
      </c>
    </row>
    <row r="59" spans="1:38" ht="31.5" x14ac:dyDescent="0.25">
      <c r="A59" s="27" t="s">
        <v>171</v>
      </c>
      <c r="B59" s="27"/>
      <c r="C59" s="77">
        <v>4529586</v>
      </c>
      <c r="D59" s="25">
        <v>12084025</v>
      </c>
      <c r="E59" s="25"/>
      <c r="F59" s="92">
        <f>SUM(C59:E59)</f>
        <v>16613611</v>
      </c>
      <c r="G59" s="74"/>
      <c r="H59" s="25"/>
      <c r="I59" s="25"/>
      <c r="J59" s="74">
        <f>SUM(G59:I59)</f>
        <v>0</v>
      </c>
      <c r="K59" s="77">
        <f t="shared" si="226"/>
        <v>4529586</v>
      </c>
      <c r="L59" s="25">
        <f t="shared" si="227"/>
        <v>12084025</v>
      </c>
      <c r="M59" s="25">
        <f t="shared" si="228"/>
        <v>0</v>
      </c>
      <c r="N59" s="92">
        <f t="shared" si="229"/>
        <v>16613611</v>
      </c>
      <c r="O59" s="77">
        <v>9974</v>
      </c>
      <c r="P59" s="25">
        <v>20000</v>
      </c>
      <c r="Q59" s="25"/>
      <c r="R59" s="92">
        <f>SUM(O59:Q59)</f>
        <v>29974</v>
      </c>
      <c r="S59" s="182"/>
      <c r="T59" s="25"/>
      <c r="U59" s="25"/>
      <c r="V59" s="92">
        <f>SUM(S59:U59)</f>
        <v>0</v>
      </c>
      <c r="W59" s="118">
        <f>SUM(S59+O59)</f>
        <v>9974</v>
      </c>
      <c r="X59" s="25">
        <f>SUM(T59+P59)</f>
        <v>20000</v>
      </c>
      <c r="Y59" s="25">
        <f>SUM(Q59+U59)</f>
        <v>0</v>
      </c>
      <c r="Z59" s="93">
        <f>SUM(W59:Y59)</f>
        <v>29974</v>
      </c>
      <c r="AA59" s="77">
        <f>SUM(O59+C59)</f>
        <v>4539560</v>
      </c>
      <c r="AB59" s="25">
        <f>SUM(P59+D59)</f>
        <v>12104025</v>
      </c>
      <c r="AC59" s="25"/>
      <c r="AD59" s="93">
        <f>SUM(AA59:AC59)</f>
        <v>16643585</v>
      </c>
      <c r="AE59" s="77">
        <f t="shared" si="230"/>
        <v>0</v>
      </c>
      <c r="AF59" s="25">
        <f t="shared" si="230"/>
        <v>0</v>
      </c>
      <c r="AG59" s="25"/>
      <c r="AH59" s="93">
        <f t="shared" si="231"/>
        <v>0</v>
      </c>
      <c r="AI59" s="77">
        <f t="shared" si="232"/>
        <v>4539560</v>
      </c>
      <c r="AJ59" s="25">
        <f t="shared" si="232"/>
        <v>12104025</v>
      </c>
      <c r="AK59" s="25"/>
      <c r="AL59" s="93">
        <f t="shared" si="233"/>
        <v>16643585</v>
      </c>
    </row>
    <row r="60" spans="1:38" x14ac:dyDescent="0.25">
      <c r="A60" s="27" t="s">
        <v>172</v>
      </c>
      <c r="B60" s="27" t="s">
        <v>214</v>
      </c>
      <c r="C60" s="26">
        <f t="shared" ref="C60:F60" si="234">SUM(C58:C59)</f>
        <v>9250853</v>
      </c>
      <c r="D60" s="76">
        <f t="shared" si="234"/>
        <v>18166943</v>
      </c>
      <c r="E60" s="76">
        <f t="shared" si="234"/>
        <v>0</v>
      </c>
      <c r="F60" s="91">
        <f t="shared" si="234"/>
        <v>27417796</v>
      </c>
      <c r="G60" s="78">
        <f t="shared" ref="G60:AD60" si="235">SUM(G58:G59)</f>
        <v>0</v>
      </c>
      <c r="H60" s="76">
        <f t="shared" si="235"/>
        <v>0</v>
      </c>
      <c r="I60" s="76">
        <f t="shared" si="235"/>
        <v>0</v>
      </c>
      <c r="J60" s="91">
        <f t="shared" si="235"/>
        <v>0</v>
      </c>
      <c r="K60" s="78">
        <f t="shared" si="235"/>
        <v>9250853</v>
      </c>
      <c r="L60" s="76">
        <f t="shared" si="235"/>
        <v>18166943</v>
      </c>
      <c r="M60" s="76">
        <f t="shared" si="235"/>
        <v>0</v>
      </c>
      <c r="N60" s="91">
        <f t="shared" si="235"/>
        <v>27417796</v>
      </c>
      <c r="O60" s="78">
        <f t="shared" ref="O60:Q60" si="236">SUM(O58:O59)</f>
        <v>591270</v>
      </c>
      <c r="P60" s="76">
        <f t="shared" si="236"/>
        <v>257190</v>
      </c>
      <c r="Q60" s="76">
        <f t="shared" si="236"/>
        <v>0</v>
      </c>
      <c r="R60" s="89">
        <f t="shared" si="235"/>
        <v>848460</v>
      </c>
      <c r="S60" s="88">
        <f t="shared" si="235"/>
        <v>0</v>
      </c>
      <c r="T60" s="76">
        <f t="shared" si="235"/>
        <v>0</v>
      </c>
      <c r="U60" s="76">
        <f t="shared" si="235"/>
        <v>0</v>
      </c>
      <c r="V60" s="91">
        <f t="shared" si="235"/>
        <v>0</v>
      </c>
      <c r="W60" s="88">
        <f t="shared" si="235"/>
        <v>591270</v>
      </c>
      <c r="X60" s="76">
        <f t="shared" si="235"/>
        <v>257190</v>
      </c>
      <c r="Y60" s="76">
        <f t="shared" si="235"/>
        <v>0</v>
      </c>
      <c r="Z60" s="91">
        <f t="shared" si="235"/>
        <v>848460</v>
      </c>
      <c r="AA60" s="26">
        <f t="shared" si="235"/>
        <v>9842123</v>
      </c>
      <c r="AB60" s="76">
        <f t="shared" si="235"/>
        <v>18424133</v>
      </c>
      <c r="AC60" s="76">
        <f t="shared" si="235"/>
        <v>0</v>
      </c>
      <c r="AD60" s="91">
        <f t="shared" si="235"/>
        <v>28266256</v>
      </c>
      <c r="AE60" s="26">
        <f t="shared" ref="AE60:AL60" si="237">SUM(AE58:AE59)</f>
        <v>0</v>
      </c>
      <c r="AF60" s="76">
        <f t="shared" si="237"/>
        <v>0</v>
      </c>
      <c r="AG60" s="76">
        <f t="shared" si="237"/>
        <v>0</v>
      </c>
      <c r="AH60" s="91">
        <f t="shared" si="237"/>
        <v>0</v>
      </c>
      <c r="AI60" s="26">
        <f t="shared" si="237"/>
        <v>9842123</v>
      </c>
      <c r="AJ60" s="76">
        <f t="shared" si="237"/>
        <v>18424133</v>
      </c>
      <c r="AK60" s="76">
        <f t="shared" si="237"/>
        <v>0</v>
      </c>
      <c r="AL60" s="91">
        <f t="shared" si="237"/>
        <v>28266256</v>
      </c>
    </row>
    <row r="61" spans="1:38" x14ac:dyDescent="0.25">
      <c r="A61" s="183" t="s">
        <v>309</v>
      </c>
      <c r="B61" s="183" t="s">
        <v>310</v>
      </c>
      <c r="C61" s="94"/>
      <c r="D61" s="95"/>
      <c r="E61" s="95"/>
      <c r="F61" s="96">
        <f t="shared" ref="F61" si="238">SUM(C61:E61)</f>
        <v>0</v>
      </c>
      <c r="G61" s="97"/>
      <c r="H61" s="95"/>
      <c r="I61" s="95"/>
      <c r="J61" s="97">
        <f>SUM(G61:I61)</f>
        <v>0</v>
      </c>
      <c r="K61" s="123">
        <f t="shared" ref="K61" si="239">SUM(G61+C61)</f>
        <v>0</v>
      </c>
      <c r="L61" s="95">
        <f t="shared" ref="L61" si="240">SUM(H61+D61)</f>
        <v>0</v>
      </c>
      <c r="M61" s="95">
        <f t="shared" ref="M61" si="241">SUM(I61+E61)</f>
        <v>0</v>
      </c>
      <c r="N61" s="96">
        <f t="shared" ref="N61" si="242">SUM(K61:M61)</f>
        <v>0</v>
      </c>
      <c r="O61" s="97">
        <v>8685673</v>
      </c>
      <c r="P61" s="95">
        <v>2026248</v>
      </c>
      <c r="Q61" s="95">
        <v>909738</v>
      </c>
      <c r="R61" s="658">
        <f>SUM(O61:Q61)</f>
        <v>11621659</v>
      </c>
      <c r="S61" s="123">
        <v>-23512</v>
      </c>
      <c r="T61" s="95">
        <v>-76609</v>
      </c>
      <c r="U61" s="95">
        <v>-190</v>
      </c>
      <c r="V61" s="96">
        <f>SUM(S61:U61)</f>
        <v>-100311</v>
      </c>
      <c r="W61" s="97">
        <f t="shared" ref="W61" si="243">SUM(S61+O61)</f>
        <v>8662161</v>
      </c>
      <c r="X61" s="95">
        <f t="shared" ref="X61" si="244">SUM(T61+P61)</f>
        <v>1949639</v>
      </c>
      <c r="Y61" s="95">
        <f t="shared" ref="Y61" si="245">SUM(Q61+U61)</f>
        <v>909548</v>
      </c>
      <c r="Z61" s="96">
        <f>SUM(W61:Y61)</f>
        <v>11521348</v>
      </c>
      <c r="AA61" s="94">
        <f>SUM(O61)</f>
        <v>8685673</v>
      </c>
      <c r="AB61" s="95">
        <f>SUM(P61+D61)</f>
        <v>2026248</v>
      </c>
      <c r="AC61" s="95">
        <f>SUM(Q61+E61)</f>
        <v>909738</v>
      </c>
      <c r="AD61" s="96">
        <f>SUM(AA61:AC61)</f>
        <v>11621659</v>
      </c>
      <c r="AE61" s="94">
        <f t="shared" ref="AE61" si="246">SUM(S61)</f>
        <v>-23512</v>
      </c>
      <c r="AF61" s="95">
        <f t="shared" ref="AF61:AG61" si="247">SUM(T61+H61)</f>
        <v>-76609</v>
      </c>
      <c r="AG61" s="95">
        <f t="shared" si="247"/>
        <v>-190</v>
      </c>
      <c r="AH61" s="96">
        <f t="shared" ref="AH61" si="248">SUM(AE61:AG61)</f>
        <v>-100311</v>
      </c>
      <c r="AI61" s="94">
        <f t="shared" ref="AI61" si="249">SUM(W61)</f>
        <v>8662161</v>
      </c>
      <c r="AJ61" s="95">
        <f t="shared" ref="AJ61:AK61" si="250">SUM(X61+L61)</f>
        <v>1949639</v>
      </c>
      <c r="AK61" s="95">
        <f t="shared" si="250"/>
        <v>909548</v>
      </c>
      <c r="AL61" s="96">
        <f t="shared" ref="AL61" si="251">SUM(AI61:AK61)</f>
        <v>11521348</v>
      </c>
    </row>
    <row r="62" spans="1:38" s="159" customFormat="1" ht="34.5" customHeight="1" x14ac:dyDescent="0.25">
      <c r="A62" s="184" t="s">
        <v>799</v>
      </c>
      <c r="B62" s="184" t="s">
        <v>173</v>
      </c>
      <c r="C62" s="98">
        <f t="shared" ref="C62:AL62" si="252">SUM(C60:C61)</f>
        <v>9250853</v>
      </c>
      <c r="D62" s="99">
        <f t="shared" si="252"/>
        <v>18166943</v>
      </c>
      <c r="E62" s="99">
        <f t="shared" si="252"/>
        <v>0</v>
      </c>
      <c r="F62" s="100">
        <f t="shared" si="252"/>
        <v>27417796</v>
      </c>
      <c r="G62" s="101">
        <f t="shared" si="252"/>
        <v>0</v>
      </c>
      <c r="H62" s="106">
        <f t="shared" si="252"/>
        <v>0</v>
      </c>
      <c r="I62" s="106">
        <f t="shared" si="252"/>
        <v>0</v>
      </c>
      <c r="J62" s="100">
        <f t="shared" si="252"/>
        <v>0</v>
      </c>
      <c r="K62" s="101">
        <f t="shared" si="252"/>
        <v>9250853</v>
      </c>
      <c r="L62" s="106">
        <f t="shared" si="252"/>
        <v>18166943</v>
      </c>
      <c r="M62" s="106">
        <f t="shared" si="252"/>
        <v>0</v>
      </c>
      <c r="N62" s="100">
        <f t="shared" si="252"/>
        <v>27417796</v>
      </c>
      <c r="O62" s="101">
        <f t="shared" si="252"/>
        <v>9276943</v>
      </c>
      <c r="P62" s="99">
        <f t="shared" si="252"/>
        <v>2283438</v>
      </c>
      <c r="Q62" s="99">
        <f t="shared" si="252"/>
        <v>909738</v>
      </c>
      <c r="R62" s="102">
        <f t="shared" si="252"/>
        <v>12470119</v>
      </c>
      <c r="S62" s="129">
        <f t="shared" si="252"/>
        <v>-23512</v>
      </c>
      <c r="T62" s="106">
        <f t="shared" si="252"/>
        <v>-76609</v>
      </c>
      <c r="U62" s="106">
        <f t="shared" si="252"/>
        <v>-190</v>
      </c>
      <c r="V62" s="100">
        <f t="shared" si="252"/>
        <v>-100311</v>
      </c>
      <c r="W62" s="129">
        <f t="shared" si="252"/>
        <v>9253431</v>
      </c>
      <c r="X62" s="106">
        <f t="shared" si="252"/>
        <v>2206829</v>
      </c>
      <c r="Y62" s="106">
        <f t="shared" si="252"/>
        <v>909548</v>
      </c>
      <c r="Z62" s="100">
        <f t="shared" si="252"/>
        <v>12369808</v>
      </c>
      <c r="AA62" s="98">
        <f t="shared" si="252"/>
        <v>18527796</v>
      </c>
      <c r="AB62" s="99">
        <f t="shared" si="252"/>
        <v>20450381</v>
      </c>
      <c r="AC62" s="99">
        <f t="shared" si="252"/>
        <v>909738</v>
      </c>
      <c r="AD62" s="100">
        <f t="shared" si="252"/>
        <v>39887915</v>
      </c>
      <c r="AE62" s="128">
        <f t="shared" si="252"/>
        <v>-23512</v>
      </c>
      <c r="AF62" s="106">
        <f t="shared" si="252"/>
        <v>-76609</v>
      </c>
      <c r="AG62" s="106">
        <f t="shared" si="252"/>
        <v>-190</v>
      </c>
      <c r="AH62" s="127">
        <f t="shared" si="252"/>
        <v>-100311</v>
      </c>
      <c r="AI62" s="128">
        <f t="shared" si="252"/>
        <v>18504284</v>
      </c>
      <c r="AJ62" s="106">
        <f t="shared" si="252"/>
        <v>20373772</v>
      </c>
      <c r="AK62" s="106">
        <f t="shared" si="252"/>
        <v>909548</v>
      </c>
      <c r="AL62" s="109">
        <f t="shared" si="252"/>
        <v>39787604</v>
      </c>
    </row>
    <row r="63" spans="1:38" s="159" customFormat="1" x14ac:dyDescent="0.25">
      <c r="A63" s="184" t="s">
        <v>800</v>
      </c>
      <c r="B63" s="184" t="s">
        <v>209</v>
      </c>
      <c r="C63" s="98">
        <f>'2 kiadás (kötelező, önként)'!C25</f>
        <v>8849639</v>
      </c>
      <c r="D63" s="99">
        <f>'2 kiadás (kötelező, önként)'!D25</f>
        <v>2026248</v>
      </c>
      <c r="E63" s="99">
        <f>'2 kiadás (kötelező, önként)'!E25</f>
        <v>909738</v>
      </c>
      <c r="F63" s="100">
        <f>SUM(C63:E63)</f>
        <v>11785625</v>
      </c>
      <c r="G63" s="101">
        <f>'2 kiadás (kötelező, önként)'!G25</f>
        <v>-23512</v>
      </c>
      <c r="H63" s="106">
        <f>'2 kiadás (kötelező, önként)'!H25</f>
        <v>-76609</v>
      </c>
      <c r="I63" s="106">
        <f>'2 kiadás (kötelező, önként)'!I25</f>
        <v>-190</v>
      </c>
      <c r="J63" s="101">
        <f>SUM(G63:I63)</f>
        <v>-100311</v>
      </c>
      <c r="K63" s="98">
        <f t="shared" ref="K63" si="253">SUM(G63+C63)</f>
        <v>8826127</v>
      </c>
      <c r="L63" s="99">
        <f t="shared" ref="L63" si="254">SUM(H63+D63)</f>
        <v>1949639</v>
      </c>
      <c r="M63" s="99">
        <f t="shared" ref="M63" si="255">SUM(I63+E63)</f>
        <v>909548</v>
      </c>
      <c r="N63" s="102">
        <f t="shared" ref="N63" si="256">SUM(K63:M63)</f>
        <v>11685314</v>
      </c>
      <c r="O63" s="101"/>
      <c r="P63" s="99"/>
      <c r="Q63" s="99"/>
      <c r="R63" s="102">
        <f>SUM(O63:Q63)</f>
        <v>0</v>
      </c>
      <c r="S63" s="128"/>
      <c r="T63" s="99"/>
      <c r="U63" s="99"/>
      <c r="V63" s="102">
        <f>SUM(S63:U63)</f>
        <v>0</v>
      </c>
      <c r="W63" s="127">
        <f>SUM(S63+O63)</f>
        <v>0</v>
      </c>
      <c r="X63" s="99">
        <f>SUM(T63+P63)</f>
        <v>0</v>
      </c>
      <c r="Y63" s="99">
        <f>SUM(Q63+U63)</f>
        <v>0</v>
      </c>
      <c r="Z63" s="100">
        <f>SUM(W63:Y63)</f>
        <v>0</v>
      </c>
      <c r="AA63" s="98">
        <f>SUM(O63+C63)</f>
        <v>8849639</v>
      </c>
      <c r="AB63" s="99">
        <f>SUM(P63+D63)</f>
        <v>2026248</v>
      </c>
      <c r="AC63" s="99">
        <f>SUM(Q63+E63)</f>
        <v>909738</v>
      </c>
      <c r="AD63" s="100">
        <f>SUM(AA63:AC63)</f>
        <v>11785625</v>
      </c>
      <c r="AE63" s="98">
        <f t="shared" ref="AE63:AG63" si="257">SUM(S63+G63)</f>
        <v>-23512</v>
      </c>
      <c r="AF63" s="99">
        <f t="shared" si="257"/>
        <v>-76609</v>
      </c>
      <c r="AG63" s="99">
        <f t="shared" si="257"/>
        <v>-190</v>
      </c>
      <c r="AH63" s="100">
        <f t="shared" ref="AH63" si="258">SUM(AE63:AG63)</f>
        <v>-100311</v>
      </c>
      <c r="AI63" s="98">
        <f t="shared" ref="AI63:AK63" si="259">SUM(W63+K63)</f>
        <v>8826127</v>
      </c>
      <c r="AJ63" s="99">
        <f t="shared" si="259"/>
        <v>1949639</v>
      </c>
      <c r="AK63" s="99">
        <f t="shared" si="259"/>
        <v>909548</v>
      </c>
      <c r="AL63" s="100">
        <f t="shared" ref="AL63" si="260">SUM(AI63:AK63)</f>
        <v>11685314</v>
      </c>
    </row>
    <row r="64" spans="1:38" s="193" customFormat="1" ht="16.5" thickBot="1" x14ac:dyDescent="0.3">
      <c r="A64" s="185" t="s">
        <v>456</v>
      </c>
      <c r="B64" s="185"/>
      <c r="C64" s="186"/>
      <c r="D64" s="187"/>
      <c r="E64" s="187"/>
      <c r="F64" s="188">
        <f>SUM(F53+F57)</f>
        <v>0</v>
      </c>
      <c r="G64" s="189"/>
      <c r="H64" s="187"/>
      <c r="I64" s="187"/>
      <c r="J64" s="189">
        <f>SUM(J53+J57)</f>
        <v>0</v>
      </c>
      <c r="K64" s="186"/>
      <c r="L64" s="187"/>
      <c r="M64" s="187"/>
      <c r="N64" s="190">
        <f>SUM(N53+N57)</f>
        <v>0</v>
      </c>
      <c r="O64" s="189"/>
      <c r="P64" s="187"/>
      <c r="Q64" s="187"/>
      <c r="R64" s="190">
        <f>SUM(R53+R57)</f>
        <v>0</v>
      </c>
      <c r="S64" s="191"/>
      <c r="T64" s="187"/>
      <c r="U64" s="187"/>
      <c r="V64" s="190">
        <f>SUM(V53+V57)</f>
        <v>0</v>
      </c>
      <c r="W64" s="192"/>
      <c r="X64" s="187"/>
      <c r="Y64" s="187"/>
      <c r="Z64" s="188">
        <f>SUM(Z53+Z57)</f>
        <v>0</v>
      </c>
      <c r="AA64" s="186"/>
      <c r="AB64" s="187"/>
      <c r="AC64" s="187"/>
      <c r="AD64" s="188">
        <f>SUM(AD53+AD57)</f>
        <v>0</v>
      </c>
      <c r="AE64" s="186"/>
      <c r="AF64" s="187"/>
      <c r="AG64" s="187"/>
      <c r="AH64" s="188">
        <f>SUM(AH53+AH57)</f>
        <v>0</v>
      </c>
      <c r="AI64" s="186"/>
      <c r="AJ64" s="187"/>
      <c r="AK64" s="187"/>
      <c r="AL64" s="188">
        <f>SUM(AL53+AL57)</f>
        <v>0</v>
      </c>
    </row>
    <row r="65" spans="1:38" s="193" customFormat="1" ht="29.25" customHeight="1" thickTop="1" x14ac:dyDescent="0.25">
      <c r="A65" s="194"/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E65" s="194"/>
      <c r="AI65" s="194"/>
    </row>
    <row r="66" spans="1:38" s="193" customFormat="1" x14ac:dyDescent="0.25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194"/>
      <c r="AH66" s="194"/>
      <c r="AI66" s="194"/>
      <c r="AJ66" s="194"/>
      <c r="AK66" s="194"/>
      <c r="AL66" s="194"/>
    </row>
    <row r="67" spans="1:38" s="193" customFormat="1" x14ac:dyDescent="0.25">
      <c r="A67" s="194"/>
    </row>
    <row r="68" spans="1:38" s="193" customFormat="1" x14ac:dyDescent="0.25">
      <c r="A68" s="194"/>
    </row>
    <row r="69" spans="1:38" s="193" customFormat="1" x14ac:dyDescent="0.25">
      <c r="A69" s="194"/>
    </row>
    <row r="70" spans="1:38" s="193" customFormat="1" x14ac:dyDescent="0.25"/>
    <row r="71" spans="1:38" s="193" customFormat="1" x14ac:dyDescent="0.25"/>
    <row r="72" spans="1:38" s="193" customFormat="1" x14ac:dyDescent="0.25">
      <c r="A72" s="195"/>
      <c r="B72" s="195"/>
    </row>
    <row r="73" spans="1:38" s="196" customFormat="1" x14ac:dyDescent="0.25">
      <c r="A73" s="24"/>
      <c r="B73" s="24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3"/>
      <c r="AK73" s="193"/>
      <c r="AL73" s="193"/>
    </row>
    <row r="74" spans="1:38" s="196" customFormat="1" x14ac:dyDescent="0.25">
      <c r="A74" s="197"/>
      <c r="B74" s="197"/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</row>
    <row r="75" spans="1:38" s="196" customFormat="1" x14ac:dyDescent="0.25">
      <c r="A75" s="198"/>
      <c r="B75" s="198"/>
    </row>
    <row r="76" spans="1:38" s="196" customFormat="1" x14ac:dyDescent="0.25">
      <c r="A76" s="199"/>
      <c r="B76" s="199"/>
    </row>
    <row r="77" spans="1:38" s="196" customFormat="1" x14ac:dyDescent="0.25">
      <c r="A77" s="200"/>
      <c r="B77" s="200"/>
    </row>
    <row r="78" spans="1:38" s="196" customFormat="1" x14ac:dyDescent="0.25">
      <c r="A78" s="198"/>
      <c r="B78" s="198"/>
    </row>
    <row r="79" spans="1:38" s="196" customFormat="1" x14ac:dyDescent="0.25">
      <c r="A79" s="199"/>
      <c r="B79" s="199"/>
    </row>
    <row r="80" spans="1:38" s="196" customFormat="1" x14ac:dyDescent="0.25">
      <c r="A80" s="199"/>
      <c r="B80" s="199"/>
    </row>
    <row r="81" spans="1:38" s="196" customFormat="1" x14ac:dyDescent="0.25">
      <c r="A81" s="198"/>
      <c r="B81" s="198"/>
    </row>
    <row r="82" spans="1:38" s="196" customFormat="1" x14ac:dyDescent="0.25">
      <c r="A82" s="199"/>
      <c r="B82" s="199"/>
    </row>
    <row r="83" spans="1:38" s="196" customFormat="1" x14ac:dyDescent="0.25">
      <c r="A83" s="199"/>
      <c r="B83" s="199"/>
    </row>
    <row r="84" spans="1:38" s="196" customFormat="1" x14ac:dyDescent="0.25">
      <c r="A84" s="199"/>
      <c r="B84" s="199"/>
    </row>
    <row r="85" spans="1:38" s="196" customFormat="1" x14ac:dyDescent="0.25">
      <c r="A85" s="199"/>
      <c r="B85" s="199"/>
    </row>
    <row r="86" spans="1:38" s="196" customFormat="1" x14ac:dyDescent="0.25">
      <c r="A86" s="198"/>
      <c r="B86" s="198"/>
    </row>
    <row r="87" spans="1:38" s="196" customFormat="1" x14ac:dyDescent="0.25">
      <c r="A87" s="199"/>
      <c r="B87" s="199"/>
    </row>
    <row r="88" spans="1:38" s="196" customFormat="1" x14ac:dyDescent="0.25">
      <c r="A88" s="199"/>
      <c r="B88" s="199"/>
    </row>
    <row r="89" spans="1:38" s="196" customFormat="1" x14ac:dyDescent="0.25">
      <c r="A89" s="199"/>
      <c r="B89" s="199"/>
    </row>
    <row r="90" spans="1:38" s="196" customFormat="1" x14ac:dyDescent="0.25">
      <c r="A90" s="199"/>
      <c r="B90" s="199"/>
    </row>
    <row r="91" spans="1:38" s="196" customFormat="1" x14ac:dyDescent="0.25">
      <c r="A91" s="199"/>
      <c r="B91" s="199"/>
    </row>
    <row r="92" spans="1:38" x14ac:dyDescent="0.25">
      <c r="A92" s="199"/>
      <c r="B92" s="199"/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</row>
    <row r="93" spans="1:38" x14ac:dyDescent="0.25">
      <c r="A93" s="199"/>
      <c r="B93" s="199"/>
      <c r="C93" s="196"/>
      <c r="D93" s="196"/>
      <c r="E93" s="196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</row>
    <row r="94" spans="1:38" x14ac:dyDescent="0.25">
      <c r="A94" s="201"/>
      <c r="B94" s="201"/>
    </row>
    <row r="95" spans="1:38" x14ac:dyDescent="0.25">
      <c r="A95" s="201"/>
      <c r="B95" s="201"/>
    </row>
    <row r="96" spans="1:38" x14ac:dyDescent="0.25">
      <c r="A96" s="201"/>
      <c r="B96" s="201"/>
    </row>
    <row r="97" spans="1:2" x14ac:dyDescent="0.25">
      <c r="A97" s="201"/>
      <c r="B97" s="201"/>
    </row>
    <row r="98" spans="1:2" x14ac:dyDescent="0.25">
      <c r="A98" s="201"/>
      <c r="B98" s="201"/>
    </row>
    <row r="99" spans="1:2" x14ac:dyDescent="0.25">
      <c r="A99" s="201"/>
      <c r="B99" s="201"/>
    </row>
    <row r="100" spans="1:2" x14ac:dyDescent="0.25">
      <c r="A100" s="201"/>
      <c r="B100" s="201"/>
    </row>
    <row r="101" spans="1:2" x14ac:dyDescent="0.25">
      <c r="A101" s="201"/>
      <c r="B101" s="201"/>
    </row>
    <row r="102" spans="1:2" x14ac:dyDescent="0.25">
      <c r="A102" s="201"/>
      <c r="B102" s="201"/>
    </row>
    <row r="103" spans="1:2" x14ac:dyDescent="0.25">
      <c r="A103" s="201"/>
      <c r="B103" s="201"/>
    </row>
    <row r="104" spans="1:2" x14ac:dyDescent="0.25">
      <c r="A104" s="201"/>
      <c r="B104" s="201"/>
    </row>
    <row r="105" spans="1:2" x14ac:dyDescent="0.25">
      <c r="A105" s="201"/>
      <c r="B105" s="201"/>
    </row>
    <row r="106" spans="1:2" x14ac:dyDescent="0.25">
      <c r="A106" s="201"/>
      <c r="B106" s="201"/>
    </row>
    <row r="107" spans="1:2" x14ac:dyDescent="0.25">
      <c r="A107" s="201"/>
      <c r="B107" s="201"/>
    </row>
    <row r="108" spans="1:2" x14ac:dyDescent="0.25">
      <c r="A108" s="201"/>
      <c r="B108" s="201"/>
    </row>
    <row r="109" spans="1:2" x14ac:dyDescent="0.25">
      <c r="A109" s="201"/>
      <c r="B109" s="201"/>
    </row>
    <row r="110" spans="1:2" x14ac:dyDescent="0.25">
      <c r="A110" s="201"/>
      <c r="B110" s="201"/>
    </row>
    <row r="111" spans="1:2" x14ac:dyDescent="0.25">
      <c r="A111" s="201"/>
      <c r="B111" s="201"/>
    </row>
    <row r="112" spans="1:2" x14ac:dyDescent="0.25">
      <c r="A112" s="201"/>
      <c r="B112" s="201"/>
    </row>
    <row r="113" spans="1:2" x14ac:dyDescent="0.25">
      <c r="A113" s="201"/>
      <c r="B113" s="201"/>
    </row>
    <row r="114" spans="1:2" x14ac:dyDescent="0.25">
      <c r="A114" s="201"/>
      <c r="B114" s="201"/>
    </row>
    <row r="115" spans="1:2" x14ac:dyDescent="0.25">
      <c r="A115" s="201"/>
      <c r="B115" s="201"/>
    </row>
    <row r="116" spans="1:2" x14ac:dyDescent="0.25">
      <c r="A116" s="201"/>
      <c r="B116" s="201"/>
    </row>
    <row r="117" spans="1:2" x14ac:dyDescent="0.25">
      <c r="A117" s="201"/>
      <c r="B117" s="201"/>
    </row>
    <row r="118" spans="1:2" x14ac:dyDescent="0.25">
      <c r="A118" s="201"/>
      <c r="B118" s="201"/>
    </row>
    <row r="119" spans="1:2" x14ac:dyDescent="0.25">
      <c r="A119" s="201"/>
      <c r="B119" s="201"/>
    </row>
    <row r="120" spans="1:2" x14ac:dyDescent="0.25">
      <c r="A120" s="201"/>
      <c r="B120" s="201"/>
    </row>
    <row r="121" spans="1:2" x14ac:dyDescent="0.25">
      <c r="A121" s="201"/>
      <c r="B121" s="201"/>
    </row>
    <row r="122" spans="1:2" x14ac:dyDescent="0.25">
      <c r="A122" s="201"/>
      <c r="B122" s="201"/>
    </row>
    <row r="123" spans="1:2" x14ac:dyDescent="0.25">
      <c r="A123" s="201"/>
      <c r="B123" s="201"/>
    </row>
    <row r="124" spans="1:2" x14ac:dyDescent="0.25">
      <c r="A124" s="201"/>
      <c r="B124" s="201"/>
    </row>
    <row r="125" spans="1:2" x14ac:dyDescent="0.25">
      <c r="A125" s="201"/>
      <c r="B125" s="201"/>
    </row>
    <row r="126" spans="1:2" x14ac:dyDescent="0.25">
      <c r="A126" s="201"/>
      <c r="B126" s="201"/>
    </row>
    <row r="127" spans="1:2" x14ac:dyDescent="0.25">
      <c r="A127" s="201"/>
      <c r="B127" s="201"/>
    </row>
    <row r="128" spans="1:2" x14ac:dyDescent="0.25">
      <c r="A128" s="201"/>
      <c r="B128" s="201"/>
    </row>
    <row r="129" spans="1:2" x14ac:dyDescent="0.25">
      <c r="A129" s="201"/>
      <c r="B129" s="201"/>
    </row>
    <row r="130" spans="1:2" x14ac:dyDescent="0.25">
      <c r="A130" s="201"/>
      <c r="B130" s="201"/>
    </row>
    <row r="131" spans="1:2" x14ac:dyDescent="0.25">
      <c r="A131" s="201"/>
      <c r="B131" s="201"/>
    </row>
    <row r="132" spans="1:2" x14ac:dyDescent="0.25">
      <c r="A132" s="201"/>
      <c r="B132" s="201"/>
    </row>
    <row r="133" spans="1:2" x14ac:dyDescent="0.25">
      <c r="A133" s="201"/>
      <c r="B133" s="201"/>
    </row>
    <row r="134" spans="1:2" x14ac:dyDescent="0.25">
      <c r="A134" s="201"/>
      <c r="B134" s="201"/>
    </row>
    <row r="135" spans="1:2" x14ac:dyDescent="0.25">
      <c r="A135" s="201"/>
      <c r="B135" s="201"/>
    </row>
    <row r="136" spans="1:2" x14ac:dyDescent="0.25">
      <c r="A136" s="201"/>
      <c r="B136" s="201"/>
    </row>
    <row r="137" spans="1:2" x14ac:dyDescent="0.25">
      <c r="A137" s="201"/>
      <c r="B137" s="201"/>
    </row>
    <row r="138" spans="1:2" x14ac:dyDescent="0.25">
      <c r="A138" s="201"/>
      <c r="B138" s="201"/>
    </row>
    <row r="139" spans="1:2" x14ac:dyDescent="0.25">
      <c r="A139" s="201"/>
      <c r="B139" s="201"/>
    </row>
    <row r="140" spans="1:2" x14ac:dyDescent="0.25">
      <c r="A140" s="201"/>
      <c r="B140" s="201"/>
    </row>
    <row r="141" spans="1:2" x14ac:dyDescent="0.25">
      <c r="A141" s="201"/>
      <c r="B141" s="201"/>
    </row>
    <row r="142" spans="1:2" x14ac:dyDescent="0.25">
      <c r="A142" s="201"/>
      <c r="B142" s="201"/>
    </row>
    <row r="143" spans="1:2" x14ac:dyDescent="0.25">
      <c r="A143" s="201"/>
      <c r="B143" s="201"/>
    </row>
    <row r="144" spans="1:2" x14ac:dyDescent="0.25">
      <c r="A144" s="201"/>
      <c r="B144" s="201"/>
    </row>
    <row r="145" spans="1:2" x14ac:dyDescent="0.25">
      <c r="A145" s="201"/>
      <c r="B145" s="201"/>
    </row>
    <row r="146" spans="1:2" x14ac:dyDescent="0.25">
      <c r="A146" s="201"/>
      <c r="B146" s="201"/>
    </row>
    <row r="147" spans="1:2" x14ac:dyDescent="0.25">
      <c r="A147" s="201"/>
      <c r="B147" s="201"/>
    </row>
    <row r="148" spans="1:2" x14ac:dyDescent="0.25">
      <c r="A148" s="201"/>
      <c r="B148" s="201"/>
    </row>
    <row r="149" spans="1:2" x14ac:dyDescent="0.25">
      <c r="A149" s="201"/>
      <c r="B149" s="201"/>
    </row>
    <row r="150" spans="1:2" x14ac:dyDescent="0.25">
      <c r="A150" s="201"/>
      <c r="B150" s="201"/>
    </row>
    <row r="151" spans="1:2" x14ac:dyDescent="0.25">
      <c r="A151" s="201"/>
      <c r="B151" s="201"/>
    </row>
    <row r="152" spans="1:2" x14ac:dyDescent="0.25">
      <c r="A152" s="201"/>
      <c r="B152" s="201"/>
    </row>
    <row r="153" spans="1:2" x14ac:dyDescent="0.25">
      <c r="A153" s="201"/>
      <c r="B153" s="201"/>
    </row>
    <row r="154" spans="1:2" x14ac:dyDescent="0.25">
      <c r="A154" s="201"/>
      <c r="B154" s="201"/>
    </row>
    <row r="155" spans="1:2" x14ac:dyDescent="0.25">
      <c r="A155" s="201"/>
      <c r="B155" s="201"/>
    </row>
    <row r="156" spans="1:2" x14ac:dyDescent="0.25">
      <c r="A156" s="201"/>
      <c r="B156" s="201"/>
    </row>
    <row r="157" spans="1:2" x14ac:dyDescent="0.25">
      <c r="A157" s="201"/>
      <c r="B157" s="201"/>
    </row>
    <row r="158" spans="1:2" x14ac:dyDescent="0.25">
      <c r="A158" s="201"/>
      <c r="B158" s="201"/>
    </row>
    <row r="159" spans="1:2" x14ac:dyDescent="0.25">
      <c r="A159" s="201"/>
      <c r="B159" s="201"/>
    </row>
    <row r="160" spans="1:2" x14ac:dyDescent="0.25">
      <c r="A160" s="201"/>
      <c r="B160" s="201"/>
    </row>
    <row r="161" spans="1:2" x14ac:dyDescent="0.25">
      <c r="A161" s="201"/>
      <c r="B161" s="201"/>
    </row>
    <row r="162" spans="1:2" x14ac:dyDescent="0.25">
      <c r="A162" s="201"/>
      <c r="B162" s="201"/>
    </row>
    <row r="163" spans="1:2" x14ac:dyDescent="0.25">
      <c r="A163" s="201"/>
      <c r="B163" s="201"/>
    </row>
    <row r="164" spans="1:2" x14ac:dyDescent="0.25">
      <c r="A164" s="201"/>
      <c r="B164" s="201"/>
    </row>
    <row r="165" spans="1:2" x14ac:dyDescent="0.25">
      <c r="A165" s="201"/>
      <c r="B165" s="201"/>
    </row>
    <row r="166" spans="1:2" x14ac:dyDescent="0.25">
      <c r="A166" s="201"/>
      <c r="B166" s="201"/>
    </row>
    <row r="167" spans="1:2" x14ac:dyDescent="0.25">
      <c r="A167" s="201"/>
      <c r="B167" s="201"/>
    </row>
    <row r="168" spans="1:2" x14ac:dyDescent="0.25">
      <c r="A168" s="201"/>
      <c r="B168" s="201"/>
    </row>
    <row r="169" spans="1:2" x14ac:dyDescent="0.25">
      <c r="A169" s="201"/>
      <c r="B169" s="201"/>
    </row>
    <row r="170" spans="1:2" x14ac:dyDescent="0.25">
      <c r="A170" s="201"/>
      <c r="B170" s="201"/>
    </row>
    <row r="171" spans="1:2" x14ac:dyDescent="0.25">
      <c r="A171" s="201"/>
      <c r="B171" s="201"/>
    </row>
    <row r="172" spans="1:2" x14ac:dyDescent="0.25">
      <c r="A172" s="201"/>
      <c r="B172" s="201"/>
    </row>
    <row r="173" spans="1:2" x14ac:dyDescent="0.25">
      <c r="A173" s="201"/>
      <c r="B173" s="201"/>
    </row>
    <row r="174" spans="1:2" x14ac:dyDescent="0.25">
      <c r="A174" s="201"/>
      <c r="B174" s="201"/>
    </row>
    <row r="175" spans="1:2" x14ac:dyDescent="0.25">
      <c r="A175" s="201"/>
      <c r="B175" s="201"/>
    </row>
    <row r="176" spans="1:2" x14ac:dyDescent="0.25">
      <c r="A176" s="201"/>
      <c r="B176" s="201"/>
    </row>
    <row r="177" spans="1:2" x14ac:dyDescent="0.25">
      <c r="A177" s="201"/>
      <c r="B177" s="201"/>
    </row>
    <row r="178" spans="1:2" x14ac:dyDescent="0.25">
      <c r="A178" s="201"/>
      <c r="B178" s="201"/>
    </row>
    <row r="179" spans="1:2" x14ac:dyDescent="0.25">
      <c r="A179" s="201"/>
      <c r="B179" s="201"/>
    </row>
    <row r="180" spans="1:2" x14ac:dyDescent="0.25">
      <c r="A180" s="201"/>
      <c r="B180" s="201"/>
    </row>
    <row r="181" spans="1:2" x14ac:dyDescent="0.25">
      <c r="A181" s="201"/>
      <c r="B181" s="201"/>
    </row>
    <row r="182" spans="1:2" x14ac:dyDescent="0.25">
      <c r="A182" s="201"/>
      <c r="B182" s="201"/>
    </row>
    <row r="183" spans="1:2" x14ac:dyDescent="0.25">
      <c r="A183" s="201"/>
      <c r="B183" s="201"/>
    </row>
    <row r="184" spans="1:2" x14ac:dyDescent="0.25">
      <c r="A184" s="201"/>
      <c r="B184" s="201"/>
    </row>
    <row r="185" spans="1:2" x14ac:dyDescent="0.25">
      <c r="A185" s="201"/>
      <c r="B185" s="201"/>
    </row>
    <row r="186" spans="1:2" x14ac:dyDescent="0.25">
      <c r="A186" s="201"/>
      <c r="B186" s="201"/>
    </row>
    <row r="187" spans="1:2" x14ac:dyDescent="0.25">
      <c r="A187" s="201"/>
      <c r="B187" s="201"/>
    </row>
    <row r="188" spans="1:2" x14ac:dyDescent="0.25">
      <c r="A188" s="201"/>
      <c r="B188" s="201"/>
    </row>
    <row r="189" spans="1:2" x14ac:dyDescent="0.25">
      <c r="A189" s="201"/>
      <c r="B189" s="201"/>
    </row>
    <row r="190" spans="1:2" x14ac:dyDescent="0.25">
      <c r="A190" s="201"/>
      <c r="B190" s="201"/>
    </row>
    <row r="191" spans="1:2" x14ac:dyDescent="0.25">
      <c r="A191" s="201"/>
      <c r="B191" s="201"/>
    </row>
    <row r="192" spans="1:2" x14ac:dyDescent="0.25">
      <c r="A192" s="201"/>
      <c r="B192" s="201"/>
    </row>
    <row r="193" spans="1:2" x14ac:dyDescent="0.25">
      <c r="A193" s="201"/>
      <c r="B193" s="201"/>
    </row>
    <row r="194" spans="1:2" x14ac:dyDescent="0.25">
      <c r="A194" s="201"/>
      <c r="B194" s="201"/>
    </row>
    <row r="195" spans="1:2" x14ac:dyDescent="0.25">
      <c r="A195" s="201"/>
      <c r="B195" s="201"/>
    </row>
    <row r="196" spans="1:2" x14ac:dyDescent="0.25">
      <c r="A196" s="201"/>
      <c r="B196" s="201"/>
    </row>
    <row r="197" spans="1:2" x14ac:dyDescent="0.25">
      <c r="A197" s="201"/>
      <c r="B197" s="201"/>
    </row>
    <row r="198" spans="1:2" x14ac:dyDescent="0.25">
      <c r="A198" s="201"/>
      <c r="B198" s="201"/>
    </row>
    <row r="199" spans="1:2" x14ac:dyDescent="0.25">
      <c r="A199" s="201"/>
      <c r="B199" s="201"/>
    </row>
    <row r="200" spans="1:2" x14ac:dyDescent="0.25">
      <c r="A200" s="201"/>
      <c r="B200" s="201"/>
    </row>
    <row r="201" spans="1:2" x14ac:dyDescent="0.25">
      <c r="A201" s="201"/>
      <c r="B201" s="201"/>
    </row>
    <row r="202" spans="1:2" x14ac:dyDescent="0.25">
      <c r="A202" s="201"/>
      <c r="B202" s="201"/>
    </row>
    <row r="203" spans="1:2" x14ac:dyDescent="0.25">
      <c r="A203" s="201"/>
      <c r="B203" s="201"/>
    </row>
    <row r="204" spans="1:2" x14ac:dyDescent="0.25">
      <c r="A204" s="201"/>
      <c r="B204" s="201"/>
    </row>
    <row r="205" spans="1:2" x14ac:dyDescent="0.25">
      <c r="A205" s="201"/>
      <c r="B205" s="201"/>
    </row>
    <row r="206" spans="1:2" x14ac:dyDescent="0.25">
      <c r="A206" s="201"/>
      <c r="B206" s="201"/>
    </row>
    <row r="207" spans="1:2" x14ac:dyDescent="0.25">
      <c r="A207" s="201"/>
      <c r="B207" s="201"/>
    </row>
    <row r="208" spans="1:2" x14ac:dyDescent="0.25">
      <c r="A208" s="201"/>
      <c r="B208" s="201"/>
    </row>
    <row r="209" spans="1:2" x14ac:dyDescent="0.25">
      <c r="A209" s="201"/>
      <c r="B209" s="201"/>
    </row>
    <row r="210" spans="1:2" x14ac:dyDescent="0.25">
      <c r="A210" s="201"/>
      <c r="B210" s="201"/>
    </row>
    <row r="211" spans="1:2" x14ac:dyDescent="0.25">
      <c r="A211" s="201"/>
      <c r="B211" s="201"/>
    </row>
    <row r="212" spans="1:2" x14ac:dyDescent="0.25">
      <c r="A212" s="201"/>
      <c r="B212" s="201"/>
    </row>
    <row r="213" spans="1:2" x14ac:dyDescent="0.25">
      <c r="A213" s="201"/>
      <c r="B213" s="201"/>
    </row>
    <row r="214" spans="1:2" x14ac:dyDescent="0.25">
      <c r="A214" s="201"/>
      <c r="B214" s="201"/>
    </row>
    <row r="215" spans="1:2" x14ac:dyDescent="0.25">
      <c r="A215" s="201"/>
      <c r="B215" s="201"/>
    </row>
    <row r="216" spans="1:2" x14ac:dyDescent="0.25">
      <c r="A216" s="201"/>
      <c r="B216" s="201"/>
    </row>
    <row r="217" spans="1:2" x14ac:dyDescent="0.25">
      <c r="A217" s="201"/>
      <c r="B217" s="201"/>
    </row>
    <row r="218" spans="1:2" x14ac:dyDescent="0.25">
      <c r="A218" s="201"/>
      <c r="B218" s="201"/>
    </row>
    <row r="219" spans="1:2" x14ac:dyDescent="0.25">
      <c r="A219" s="201"/>
      <c r="B219" s="201"/>
    </row>
    <row r="220" spans="1:2" x14ac:dyDescent="0.25">
      <c r="A220" s="201"/>
      <c r="B220" s="201"/>
    </row>
    <row r="221" spans="1:2" x14ac:dyDescent="0.25">
      <c r="A221" s="201"/>
      <c r="B221" s="201"/>
    </row>
    <row r="222" spans="1:2" x14ac:dyDescent="0.25">
      <c r="A222" s="201"/>
      <c r="B222" s="201"/>
    </row>
    <row r="223" spans="1:2" x14ac:dyDescent="0.25">
      <c r="A223" s="201"/>
      <c r="B223" s="201"/>
    </row>
    <row r="224" spans="1:2" x14ac:dyDescent="0.25">
      <c r="A224" s="201"/>
      <c r="B224" s="201"/>
    </row>
    <row r="225" spans="1:2" x14ac:dyDescent="0.25">
      <c r="A225" s="201"/>
      <c r="B225" s="201"/>
    </row>
    <row r="226" spans="1:2" x14ac:dyDescent="0.25">
      <c r="A226" s="201"/>
      <c r="B226" s="201"/>
    </row>
    <row r="227" spans="1:2" x14ac:dyDescent="0.25">
      <c r="A227" s="201"/>
      <c r="B227" s="201"/>
    </row>
    <row r="228" spans="1:2" x14ac:dyDescent="0.25">
      <c r="A228" s="201"/>
      <c r="B228" s="201"/>
    </row>
    <row r="229" spans="1:2" x14ac:dyDescent="0.25">
      <c r="A229" s="201"/>
      <c r="B229" s="201"/>
    </row>
    <row r="230" spans="1:2" x14ac:dyDescent="0.25">
      <c r="A230" s="201"/>
      <c r="B230" s="201"/>
    </row>
    <row r="231" spans="1:2" x14ac:dyDescent="0.25">
      <c r="A231" s="201"/>
      <c r="B231" s="201"/>
    </row>
    <row r="232" spans="1:2" x14ac:dyDescent="0.25">
      <c r="A232" s="201"/>
      <c r="B232" s="201"/>
    </row>
    <row r="233" spans="1:2" x14ac:dyDescent="0.25">
      <c r="A233" s="201"/>
      <c r="B233" s="201"/>
    </row>
    <row r="234" spans="1:2" x14ac:dyDescent="0.25">
      <c r="A234" s="201"/>
      <c r="B234" s="201"/>
    </row>
    <row r="235" spans="1:2" x14ac:dyDescent="0.25">
      <c r="A235" s="201"/>
      <c r="B235" s="201"/>
    </row>
    <row r="236" spans="1:2" x14ac:dyDescent="0.25">
      <c r="A236" s="201"/>
      <c r="B236" s="201"/>
    </row>
    <row r="237" spans="1:2" x14ac:dyDescent="0.25">
      <c r="A237" s="201"/>
      <c r="B237" s="201"/>
    </row>
    <row r="238" spans="1:2" x14ac:dyDescent="0.25">
      <c r="A238" s="201"/>
      <c r="B238" s="201"/>
    </row>
    <row r="239" spans="1:2" x14ac:dyDescent="0.25">
      <c r="A239" s="201"/>
      <c r="B239" s="201"/>
    </row>
    <row r="240" spans="1:2" x14ac:dyDescent="0.25">
      <c r="A240" s="201"/>
      <c r="B240" s="201"/>
    </row>
    <row r="241" spans="1:2" x14ac:dyDescent="0.25">
      <c r="A241" s="201"/>
      <c r="B241" s="201"/>
    </row>
    <row r="242" spans="1:2" x14ac:dyDescent="0.25">
      <c r="A242" s="201"/>
      <c r="B242" s="201"/>
    </row>
    <row r="243" spans="1:2" x14ac:dyDescent="0.25">
      <c r="A243" s="201"/>
      <c r="B243" s="201"/>
    </row>
    <row r="244" spans="1:2" x14ac:dyDescent="0.25">
      <c r="A244" s="201"/>
      <c r="B244" s="201"/>
    </row>
    <row r="245" spans="1:2" x14ac:dyDescent="0.25">
      <c r="A245" s="201"/>
      <c r="B245" s="201"/>
    </row>
    <row r="246" spans="1:2" x14ac:dyDescent="0.25">
      <c r="A246" s="201"/>
      <c r="B246" s="201"/>
    </row>
    <row r="247" spans="1:2" x14ac:dyDescent="0.25">
      <c r="A247" s="201"/>
      <c r="B247" s="201"/>
    </row>
    <row r="248" spans="1:2" x14ac:dyDescent="0.25">
      <c r="A248" s="201"/>
      <c r="B248" s="201"/>
    </row>
    <row r="249" spans="1:2" x14ac:dyDescent="0.25">
      <c r="A249" s="201"/>
      <c r="B249" s="201"/>
    </row>
    <row r="250" spans="1:2" x14ac:dyDescent="0.25">
      <c r="A250" s="201"/>
      <c r="B250" s="201"/>
    </row>
    <row r="251" spans="1:2" x14ac:dyDescent="0.25">
      <c r="A251" s="201"/>
      <c r="B251" s="201"/>
    </row>
    <row r="252" spans="1:2" x14ac:dyDescent="0.25">
      <c r="A252" s="201"/>
      <c r="B252" s="201"/>
    </row>
    <row r="253" spans="1:2" x14ac:dyDescent="0.25">
      <c r="A253" s="201"/>
      <c r="B253" s="201"/>
    </row>
    <row r="254" spans="1:2" x14ac:dyDescent="0.25">
      <c r="A254" s="201"/>
      <c r="B254" s="201"/>
    </row>
    <row r="255" spans="1:2" x14ac:dyDescent="0.25">
      <c r="A255" s="201"/>
      <c r="B255" s="201"/>
    </row>
    <row r="256" spans="1:2" x14ac:dyDescent="0.25">
      <c r="A256" s="201"/>
      <c r="B256" s="201"/>
    </row>
    <row r="257" spans="1:2" x14ac:dyDescent="0.25">
      <c r="A257" s="201"/>
      <c r="B257" s="201"/>
    </row>
    <row r="258" spans="1:2" x14ac:dyDescent="0.25">
      <c r="A258" s="201"/>
      <c r="B258" s="201"/>
    </row>
    <row r="259" spans="1:2" x14ac:dyDescent="0.25">
      <c r="A259" s="201"/>
      <c r="B259" s="201"/>
    </row>
    <row r="260" spans="1:2" x14ac:dyDescent="0.25">
      <c r="A260" s="201"/>
      <c r="B260" s="201"/>
    </row>
    <row r="261" spans="1:2" x14ac:dyDescent="0.25">
      <c r="A261" s="201"/>
      <c r="B261" s="201"/>
    </row>
    <row r="262" spans="1:2" x14ac:dyDescent="0.25">
      <c r="A262" s="201"/>
      <c r="B262" s="201"/>
    </row>
    <row r="263" spans="1:2" x14ac:dyDescent="0.25">
      <c r="A263" s="201"/>
      <c r="B263" s="201"/>
    </row>
    <row r="264" spans="1:2" x14ac:dyDescent="0.25">
      <c r="A264" s="201"/>
      <c r="B264" s="201"/>
    </row>
    <row r="265" spans="1:2" x14ac:dyDescent="0.25">
      <c r="A265" s="201"/>
      <c r="B265" s="201"/>
    </row>
    <row r="266" spans="1:2" x14ac:dyDescent="0.25">
      <c r="A266" s="201"/>
      <c r="B266" s="201"/>
    </row>
    <row r="267" spans="1:2" x14ac:dyDescent="0.25">
      <c r="A267" s="201"/>
      <c r="B267" s="201"/>
    </row>
    <row r="268" spans="1:2" x14ac:dyDescent="0.25">
      <c r="A268" s="201"/>
      <c r="B268" s="201"/>
    </row>
    <row r="269" spans="1:2" x14ac:dyDescent="0.25">
      <c r="A269" s="201"/>
      <c r="B269" s="201"/>
    </row>
    <row r="270" spans="1:2" x14ac:dyDescent="0.25">
      <c r="A270" s="201"/>
      <c r="B270" s="201"/>
    </row>
    <row r="271" spans="1:2" x14ac:dyDescent="0.25">
      <c r="A271" s="201"/>
      <c r="B271" s="201"/>
    </row>
    <row r="272" spans="1:2" x14ac:dyDescent="0.25">
      <c r="A272" s="201"/>
      <c r="B272" s="201"/>
    </row>
    <row r="273" spans="1:2" x14ac:dyDescent="0.25">
      <c r="A273" s="201"/>
      <c r="B273" s="201"/>
    </row>
    <row r="274" spans="1:2" x14ac:dyDescent="0.25">
      <c r="A274" s="201"/>
      <c r="B274" s="201"/>
    </row>
    <row r="275" spans="1:2" x14ac:dyDescent="0.25">
      <c r="A275" s="201"/>
      <c r="B275" s="201"/>
    </row>
    <row r="276" spans="1:2" x14ac:dyDescent="0.25">
      <c r="A276" s="201"/>
      <c r="B276" s="201"/>
    </row>
    <row r="277" spans="1:2" x14ac:dyDescent="0.25">
      <c r="A277" s="201"/>
      <c r="B277" s="201"/>
    </row>
    <row r="278" spans="1:2" x14ac:dyDescent="0.25">
      <c r="A278" s="201"/>
      <c r="B278" s="201"/>
    </row>
    <row r="279" spans="1:2" x14ac:dyDescent="0.25">
      <c r="A279" s="201"/>
      <c r="B279" s="201"/>
    </row>
    <row r="280" spans="1:2" x14ac:dyDescent="0.25">
      <c r="A280" s="201"/>
      <c r="B280" s="201"/>
    </row>
    <row r="281" spans="1:2" x14ac:dyDescent="0.25">
      <c r="A281" s="201"/>
      <c r="B281" s="201"/>
    </row>
    <row r="282" spans="1:2" x14ac:dyDescent="0.25">
      <c r="A282" s="201"/>
      <c r="B282" s="201"/>
    </row>
    <row r="283" spans="1:2" x14ac:dyDescent="0.25">
      <c r="A283" s="201"/>
      <c r="B283" s="201"/>
    </row>
    <row r="284" spans="1:2" x14ac:dyDescent="0.25">
      <c r="A284" s="201"/>
      <c r="B284" s="201"/>
    </row>
    <row r="285" spans="1:2" x14ac:dyDescent="0.25">
      <c r="A285" s="201"/>
      <c r="B285" s="201"/>
    </row>
    <row r="286" spans="1:2" x14ac:dyDescent="0.25">
      <c r="A286" s="201"/>
      <c r="B286" s="201"/>
    </row>
    <row r="287" spans="1:2" x14ac:dyDescent="0.25">
      <c r="A287" s="201"/>
      <c r="B287" s="201"/>
    </row>
    <row r="288" spans="1:2" x14ac:dyDescent="0.25">
      <c r="A288" s="201"/>
      <c r="B288" s="201"/>
    </row>
    <row r="289" spans="1:2" x14ac:dyDescent="0.25">
      <c r="A289" s="201"/>
      <c r="B289" s="201"/>
    </row>
    <row r="290" spans="1:2" x14ac:dyDescent="0.25">
      <c r="A290" s="201"/>
      <c r="B290" s="201"/>
    </row>
    <row r="291" spans="1:2" x14ac:dyDescent="0.25">
      <c r="A291" s="201"/>
      <c r="B291" s="201"/>
    </row>
    <row r="292" spans="1:2" x14ac:dyDescent="0.25">
      <c r="A292" s="201"/>
      <c r="B292" s="201"/>
    </row>
    <row r="293" spans="1:2" x14ac:dyDescent="0.25">
      <c r="A293" s="201"/>
      <c r="B293" s="201"/>
    </row>
    <row r="294" spans="1:2" x14ac:dyDescent="0.25">
      <c r="A294" s="201"/>
      <c r="B294" s="201"/>
    </row>
    <row r="295" spans="1:2" x14ac:dyDescent="0.25">
      <c r="A295" s="201"/>
      <c r="B295" s="201"/>
    </row>
    <row r="296" spans="1:2" x14ac:dyDescent="0.25">
      <c r="A296" s="201"/>
      <c r="B296" s="201"/>
    </row>
    <row r="297" spans="1:2" x14ac:dyDescent="0.25">
      <c r="A297" s="201"/>
      <c r="B297" s="201"/>
    </row>
    <row r="298" spans="1:2" x14ac:dyDescent="0.25">
      <c r="A298" s="201"/>
      <c r="B298" s="201"/>
    </row>
    <row r="299" spans="1:2" x14ac:dyDescent="0.25">
      <c r="A299" s="201"/>
      <c r="B299" s="201"/>
    </row>
    <row r="300" spans="1:2" x14ac:dyDescent="0.25">
      <c r="A300" s="201"/>
      <c r="B300" s="201"/>
    </row>
    <row r="301" spans="1:2" x14ac:dyDescent="0.25">
      <c r="A301" s="201"/>
      <c r="B301" s="201"/>
    </row>
    <row r="302" spans="1:2" x14ac:dyDescent="0.25">
      <c r="A302" s="201"/>
      <c r="B302" s="201"/>
    </row>
    <row r="303" spans="1:2" x14ac:dyDescent="0.25">
      <c r="A303" s="201"/>
      <c r="B303" s="201"/>
    </row>
    <row r="304" spans="1:2" x14ac:dyDescent="0.25">
      <c r="A304" s="201"/>
      <c r="B304" s="201"/>
    </row>
    <row r="305" spans="1:2" x14ac:dyDescent="0.25">
      <c r="A305" s="201"/>
      <c r="B305" s="201"/>
    </row>
    <row r="306" spans="1:2" x14ac:dyDescent="0.25">
      <c r="A306" s="201"/>
      <c r="B306" s="201"/>
    </row>
    <row r="307" spans="1:2" x14ac:dyDescent="0.25">
      <c r="A307" s="201"/>
      <c r="B307" s="201"/>
    </row>
    <row r="308" spans="1:2" x14ac:dyDescent="0.25">
      <c r="A308" s="201"/>
      <c r="B308" s="201"/>
    </row>
    <row r="309" spans="1:2" x14ac:dyDescent="0.25">
      <c r="A309" s="201"/>
      <c r="B309" s="201"/>
    </row>
    <row r="310" spans="1:2" x14ac:dyDescent="0.25">
      <c r="A310" s="201"/>
      <c r="B310" s="201"/>
    </row>
    <row r="311" spans="1:2" x14ac:dyDescent="0.25">
      <c r="A311" s="201"/>
      <c r="B311" s="201"/>
    </row>
    <row r="312" spans="1:2" x14ac:dyDescent="0.25">
      <c r="A312" s="201"/>
      <c r="B312" s="201"/>
    </row>
    <row r="313" spans="1:2" x14ac:dyDescent="0.25">
      <c r="A313" s="201"/>
      <c r="B313" s="201"/>
    </row>
    <row r="314" spans="1:2" x14ac:dyDescent="0.25">
      <c r="A314" s="201"/>
      <c r="B314" s="201"/>
    </row>
    <row r="315" spans="1:2" x14ac:dyDescent="0.25">
      <c r="A315" s="201"/>
      <c r="B315" s="201"/>
    </row>
    <row r="316" spans="1:2" x14ac:dyDescent="0.25">
      <c r="A316" s="201"/>
      <c r="B316" s="201"/>
    </row>
    <row r="317" spans="1:2" x14ac:dyDescent="0.25">
      <c r="A317" s="201"/>
      <c r="B317" s="201"/>
    </row>
    <row r="318" spans="1:2" x14ac:dyDescent="0.25">
      <c r="A318" s="201"/>
      <c r="B318" s="201"/>
    </row>
    <row r="319" spans="1:2" x14ac:dyDescent="0.25">
      <c r="A319" s="201"/>
      <c r="B319" s="201"/>
    </row>
    <row r="320" spans="1:2" x14ac:dyDescent="0.25">
      <c r="A320" s="201"/>
      <c r="B320" s="201"/>
    </row>
    <row r="321" spans="1:2" x14ac:dyDescent="0.25">
      <c r="A321" s="201"/>
      <c r="B321" s="201"/>
    </row>
    <row r="322" spans="1:2" x14ac:dyDescent="0.25">
      <c r="A322" s="201"/>
      <c r="B322" s="201"/>
    </row>
    <row r="323" spans="1:2" x14ac:dyDescent="0.25">
      <c r="A323" s="201"/>
      <c r="B323" s="201"/>
    </row>
    <row r="324" spans="1:2" x14ac:dyDescent="0.25">
      <c r="A324" s="201"/>
      <c r="B324" s="201"/>
    </row>
    <row r="325" spans="1:2" x14ac:dyDescent="0.25">
      <c r="A325" s="201"/>
      <c r="B325" s="201"/>
    </row>
    <row r="326" spans="1:2" x14ac:dyDescent="0.25">
      <c r="A326" s="201"/>
      <c r="B326" s="201"/>
    </row>
    <row r="327" spans="1:2" x14ac:dyDescent="0.25">
      <c r="A327" s="201"/>
      <c r="B327" s="201"/>
    </row>
    <row r="328" spans="1:2" x14ac:dyDescent="0.25">
      <c r="A328" s="201"/>
      <c r="B328" s="201"/>
    </row>
    <row r="329" spans="1:2" x14ac:dyDescent="0.25">
      <c r="A329" s="201"/>
      <c r="B329" s="201"/>
    </row>
    <row r="330" spans="1:2" x14ac:dyDescent="0.25">
      <c r="A330" s="201"/>
      <c r="B330" s="201"/>
    </row>
    <row r="331" spans="1:2" x14ac:dyDescent="0.25">
      <c r="A331" s="201"/>
      <c r="B331" s="201"/>
    </row>
    <row r="332" spans="1:2" x14ac:dyDescent="0.25">
      <c r="A332" s="201"/>
      <c r="B332" s="201"/>
    </row>
    <row r="333" spans="1:2" x14ac:dyDescent="0.25">
      <c r="A333" s="201"/>
      <c r="B333" s="201"/>
    </row>
    <row r="334" spans="1:2" x14ac:dyDescent="0.25">
      <c r="A334" s="201"/>
      <c r="B334" s="201"/>
    </row>
    <row r="335" spans="1:2" x14ac:dyDescent="0.25">
      <c r="A335" s="201"/>
      <c r="B335" s="201"/>
    </row>
    <row r="336" spans="1:2" x14ac:dyDescent="0.25">
      <c r="A336" s="201"/>
      <c r="B336" s="201"/>
    </row>
    <row r="337" spans="1:2" x14ac:dyDescent="0.25">
      <c r="A337" s="201"/>
      <c r="B337" s="201"/>
    </row>
    <row r="338" spans="1:2" x14ac:dyDescent="0.25">
      <c r="A338" s="201"/>
      <c r="B338" s="201"/>
    </row>
    <row r="339" spans="1:2" x14ac:dyDescent="0.25">
      <c r="A339" s="201"/>
      <c r="B339" s="201"/>
    </row>
    <row r="340" spans="1:2" x14ac:dyDescent="0.25">
      <c r="A340" s="201"/>
      <c r="B340" s="201"/>
    </row>
    <row r="341" spans="1:2" x14ac:dyDescent="0.25">
      <c r="A341" s="201"/>
      <c r="B341" s="201"/>
    </row>
    <row r="342" spans="1:2" x14ac:dyDescent="0.25">
      <c r="A342" s="201"/>
      <c r="B342" s="201"/>
    </row>
    <row r="343" spans="1:2" x14ac:dyDescent="0.25">
      <c r="A343" s="201"/>
      <c r="B343" s="201"/>
    </row>
    <row r="344" spans="1:2" x14ac:dyDescent="0.25">
      <c r="A344" s="201"/>
      <c r="B344" s="201"/>
    </row>
    <row r="345" spans="1:2" x14ac:dyDescent="0.25">
      <c r="A345" s="201"/>
      <c r="B345" s="201"/>
    </row>
    <row r="346" spans="1:2" x14ac:dyDescent="0.25">
      <c r="A346" s="201"/>
      <c r="B346" s="201"/>
    </row>
    <row r="347" spans="1:2" x14ac:dyDescent="0.25">
      <c r="A347" s="201"/>
      <c r="B347" s="201"/>
    </row>
    <row r="348" spans="1:2" x14ac:dyDescent="0.25">
      <c r="A348" s="201"/>
      <c r="B348" s="201"/>
    </row>
    <row r="349" spans="1:2" x14ac:dyDescent="0.25">
      <c r="A349" s="201"/>
      <c r="B349" s="201"/>
    </row>
    <row r="350" spans="1:2" x14ac:dyDescent="0.25">
      <c r="A350" s="201"/>
      <c r="B350" s="201"/>
    </row>
    <row r="351" spans="1:2" x14ac:dyDescent="0.25">
      <c r="A351" s="201"/>
      <c r="B351" s="201"/>
    </row>
    <row r="352" spans="1:2" x14ac:dyDescent="0.25">
      <c r="A352" s="201"/>
      <c r="B352" s="201"/>
    </row>
    <row r="353" spans="1:2" x14ac:dyDescent="0.25">
      <c r="A353" s="201"/>
      <c r="B353" s="201"/>
    </row>
    <row r="354" spans="1:2" x14ac:dyDescent="0.25">
      <c r="A354" s="201"/>
      <c r="B354" s="201"/>
    </row>
    <row r="355" spans="1:2" x14ac:dyDescent="0.25">
      <c r="A355" s="201"/>
      <c r="B355" s="201"/>
    </row>
    <row r="356" spans="1:2" x14ac:dyDescent="0.25">
      <c r="A356" s="201"/>
      <c r="B356" s="201"/>
    </row>
    <row r="357" spans="1:2" x14ac:dyDescent="0.25">
      <c r="A357" s="201"/>
      <c r="B357" s="201"/>
    </row>
    <row r="358" spans="1:2" x14ac:dyDescent="0.25">
      <c r="A358" s="201"/>
      <c r="B358" s="201"/>
    </row>
    <row r="359" spans="1:2" x14ac:dyDescent="0.25">
      <c r="A359" s="201"/>
      <c r="B359" s="201"/>
    </row>
    <row r="360" spans="1:2" x14ac:dyDescent="0.25">
      <c r="A360" s="201"/>
      <c r="B360" s="201"/>
    </row>
    <row r="361" spans="1:2" x14ac:dyDescent="0.25">
      <c r="A361" s="201"/>
      <c r="B361" s="201"/>
    </row>
    <row r="362" spans="1:2" x14ac:dyDescent="0.25">
      <c r="A362" s="201"/>
      <c r="B362" s="201"/>
    </row>
    <row r="363" spans="1:2" x14ac:dyDescent="0.25">
      <c r="A363" s="201"/>
      <c r="B363" s="201"/>
    </row>
    <row r="364" spans="1:2" x14ac:dyDescent="0.25">
      <c r="A364" s="201"/>
      <c r="B364" s="201"/>
    </row>
    <row r="365" spans="1:2" x14ac:dyDescent="0.25">
      <c r="A365" s="201"/>
      <c r="B365" s="201"/>
    </row>
    <row r="366" spans="1:2" x14ac:dyDescent="0.25">
      <c r="A366" s="201"/>
      <c r="B366" s="201"/>
    </row>
    <row r="367" spans="1:2" x14ac:dyDescent="0.25">
      <c r="A367" s="201"/>
      <c r="B367" s="201"/>
    </row>
    <row r="368" spans="1:2" x14ac:dyDescent="0.25">
      <c r="A368" s="201"/>
      <c r="B368" s="201"/>
    </row>
    <row r="369" spans="1:2" x14ac:dyDescent="0.25">
      <c r="A369" s="201"/>
      <c r="B369" s="201"/>
    </row>
    <row r="370" spans="1:2" x14ac:dyDescent="0.25">
      <c r="A370" s="201"/>
      <c r="B370" s="201"/>
    </row>
    <row r="371" spans="1:2" x14ac:dyDescent="0.25">
      <c r="A371" s="201"/>
      <c r="B371" s="201"/>
    </row>
    <row r="372" spans="1:2" x14ac:dyDescent="0.25">
      <c r="A372" s="201"/>
      <c r="B372" s="201"/>
    </row>
    <row r="373" spans="1:2" x14ac:dyDescent="0.25">
      <c r="A373" s="201"/>
      <c r="B373" s="201"/>
    </row>
    <row r="374" spans="1:2" x14ac:dyDescent="0.25">
      <c r="A374" s="201"/>
      <c r="B374" s="201"/>
    </row>
    <row r="375" spans="1:2" x14ac:dyDescent="0.25">
      <c r="A375" s="201"/>
      <c r="B375" s="201"/>
    </row>
    <row r="376" spans="1:2" x14ac:dyDescent="0.25">
      <c r="A376" s="201"/>
      <c r="B376" s="201"/>
    </row>
    <row r="377" spans="1:2" x14ac:dyDescent="0.25">
      <c r="A377" s="201"/>
      <c r="B377" s="201"/>
    </row>
    <row r="378" spans="1:2" x14ac:dyDescent="0.25">
      <c r="A378" s="201"/>
      <c r="B378" s="201"/>
    </row>
    <row r="379" spans="1:2" x14ac:dyDescent="0.25">
      <c r="A379" s="201"/>
      <c r="B379" s="201"/>
    </row>
    <row r="380" spans="1:2" x14ac:dyDescent="0.25">
      <c r="A380" s="201"/>
      <c r="B380" s="201"/>
    </row>
    <row r="381" spans="1:2" x14ac:dyDescent="0.25">
      <c r="A381" s="201"/>
      <c r="B381" s="201"/>
    </row>
    <row r="382" spans="1:2" x14ac:dyDescent="0.25">
      <c r="A382" s="201"/>
      <c r="B382" s="201"/>
    </row>
    <row r="383" spans="1:2" x14ac:dyDescent="0.25">
      <c r="A383" s="201"/>
      <c r="B383" s="201"/>
    </row>
    <row r="384" spans="1:2" x14ac:dyDescent="0.25">
      <c r="A384" s="201"/>
      <c r="B384" s="201"/>
    </row>
    <row r="385" spans="1:2" x14ac:dyDescent="0.25">
      <c r="A385" s="201"/>
      <c r="B385" s="201"/>
    </row>
    <row r="386" spans="1:2" x14ac:dyDescent="0.25">
      <c r="A386" s="201"/>
      <c r="B386" s="201"/>
    </row>
    <row r="387" spans="1:2" x14ac:dyDescent="0.25">
      <c r="A387" s="201"/>
      <c r="B387" s="201"/>
    </row>
    <row r="388" spans="1:2" x14ac:dyDescent="0.25">
      <c r="A388" s="201"/>
      <c r="B388" s="201"/>
    </row>
    <row r="389" spans="1:2" x14ac:dyDescent="0.25">
      <c r="A389" s="201"/>
      <c r="B389" s="201"/>
    </row>
    <row r="390" spans="1:2" x14ac:dyDescent="0.25">
      <c r="A390" s="201"/>
      <c r="B390" s="201"/>
    </row>
    <row r="391" spans="1:2" x14ac:dyDescent="0.25">
      <c r="A391" s="201"/>
      <c r="B391" s="201"/>
    </row>
    <row r="392" spans="1:2" x14ac:dyDescent="0.25">
      <c r="A392" s="201"/>
      <c r="B392" s="201"/>
    </row>
    <row r="393" spans="1:2" x14ac:dyDescent="0.25">
      <c r="A393" s="201"/>
      <c r="B393" s="201"/>
    </row>
    <row r="394" spans="1:2" x14ac:dyDescent="0.25">
      <c r="A394" s="201"/>
      <c r="B394" s="201"/>
    </row>
    <row r="395" spans="1:2" x14ac:dyDescent="0.25">
      <c r="A395" s="201"/>
      <c r="B395" s="201"/>
    </row>
    <row r="396" spans="1:2" x14ac:dyDescent="0.25">
      <c r="A396" s="201"/>
      <c r="B396" s="201"/>
    </row>
    <row r="397" spans="1:2" x14ac:dyDescent="0.25">
      <c r="A397" s="201"/>
      <c r="B397" s="201"/>
    </row>
    <row r="398" spans="1:2" x14ac:dyDescent="0.25">
      <c r="A398" s="201"/>
      <c r="B398" s="201"/>
    </row>
    <row r="399" spans="1:2" x14ac:dyDescent="0.25">
      <c r="A399" s="201"/>
      <c r="B399" s="201"/>
    </row>
    <row r="400" spans="1:2" x14ac:dyDescent="0.25">
      <c r="A400" s="201"/>
      <c r="B400" s="201"/>
    </row>
    <row r="401" spans="1:2" x14ac:dyDescent="0.25">
      <c r="A401" s="201"/>
      <c r="B401" s="201"/>
    </row>
    <row r="402" spans="1:2" x14ac:dyDescent="0.25">
      <c r="A402" s="201"/>
      <c r="B402" s="201"/>
    </row>
    <row r="403" spans="1:2" x14ac:dyDescent="0.25">
      <c r="A403" s="201"/>
      <c r="B403" s="201"/>
    </row>
    <row r="404" spans="1:2" x14ac:dyDescent="0.25">
      <c r="A404" s="201"/>
      <c r="B404" s="201"/>
    </row>
    <row r="405" spans="1:2" x14ac:dyDescent="0.25">
      <c r="A405" s="201"/>
      <c r="B405" s="201"/>
    </row>
    <row r="406" spans="1:2" x14ac:dyDescent="0.25">
      <c r="A406" s="201"/>
      <c r="B406" s="201"/>
    </row>
    <row r="407" spans="1:2" x14ac:dyDescent="0.25">
      <c r="A407" s="201"/>
      <c r="B407" s="201"/>
    </row>
    <row r="408" spans="1:2" x14ac:dyDescent="0.25">
      <c r="A408" s="201"/>
      <c r="B408" s="201"/>
    </row>
    <row r="409" spans="1:2" x14ac:dyDescent="0.25">
      <c r="A409" s="201"/>
      <c r="B409" s="201"/>
    </row>
    <row r="410" spans="1:2" x14ac:dyDescent="0.25">
      <c r="A410" s="201"/>
      <c r="B410" s="201"/>
    </row>
    <row r="411" spans="1:2" x14ac:dyDescent="0.25">
      <c r="A411" s="201"/>
      <c r="B411" s="201"/>
    </row>
    <row r="412" spans="1:2" x14ac:dyDescent="0.25">
      <c r="A412" s="201"/>
      <c r="B412" s="201"/>
    </row>
    <row r="413" spans="1:2" x14ac:dyDescent="0.25">
      <c r="A413" s="201"/>
      <c r="B413" s="201"/>
    </row>
    <row r="414" spans="1:2" x14ac:dyDescent="0.25">
      <c r="A414" s="201"/>
      <c r="B414" s="201"/>
    </row>
    <row r="415" spans="1:2" x14ac:dyDescent="0.25">
      <c r="A415" s="201"/>
      <c r="B415" s="201"/>
    </row>
    <row r="416" spans="1:2" x14ac:dyDescent="0.25">
      <c r="A416" s="201"/>
      <c r="B416" s="201"/>
    </row>
    <row r="417" spans="1:2" x14ac:dyDescent="0.25">
      <c r="A417" s="201"/>
      <c r="B417" s="201"/>
    </row>
    <row r="418" spans="1:2" x14ac:dyDescent="0.25">
      <c r="A418" s="201"/>
      <c r="B418" s="201"/>
    </row>
    <row r="419" spans="1:2" x14ac:dyDescent="0.25">
      <c r="A419" s="201"/>
      <c r="B419" s="201"/>
    </row>
    <row r="420" spans="1:2" x14ac:dyDescent="0.25">
      <c r="A420" s="201"/>
      <c r="B420" s="201"/>
    </row>
    <row r="421" spans="1:2" x14ac:dyDescent="0.25">
      <c r="A421" s="201"/>
      <c r="B421" s="201"/>
    </row>
    <row r="422" spans="1:2" x14ac:dyDescent="0.25">
      <c r="A422" s="201"/>
      <c r="B422" s="201"/>
    </row>
    <row r="423" spans="1:2" x14ac:dyDescent="0.25">
      <c r="A423" s="201"/>
      <c r="B423" s="201"/>
    </row>
    <row r="424" spans="1:2" x14ac:dyDescent="0.25">
      <c r="A424" s="201"/>
      <c r="B424" s="201"/>
    </row>
    <row r="425" spans="1:2" x14ac:dyDescent="0.25">
      <c r="A425" s="201"/>
      <c r="B425" s="201"/>
    </row>
    <row r="426" spans="1:2" x14ac:dyDescent="0.25">
      <c r="A426" s="201"/>
      <c r="B426" s="201"/>
    </row>
    <row r="427" spans="1:2" x14ac:dyDescent="0.25">
      <c r="A427" s="201"/>
      <c r="B427" s="201"/>
    </row>
    <row r="428" spans="1:2" x14ac:dyDescent="0.25">
      <c r="A428" s="201"/>
      <c r="B428" s="201"/>
    </row>
    <row r="429" spans="1:2" x14ac:dyDescent="0.25">
      <c r="A429" s="201"/>
      <c r="B429" s="201"/>
    </row>
    <row r="430" spans="1:2" x14ac:dyDescent="0.25">
      <c r="A430" s="201"/>
      <c r="B430" s="201"/>
    </row>
    <row r="431" spans="1:2" x14ac:dyDescent="0.25">
      <c r="A431" s="201"/>
      <c r="B431" s="201"/>
    </row>
    <row r="432" spans="1:2" x14ac:dyDescent="0.25">
      <c r="A432" s="201"/>
      <c r="B432" s="201"/>
    </row>
    <row r="433" spans="1:2" x14ac:dyDescent="0.25">
      <c r="A433" s="201"/>
      <c r="B433" s="201"/>
    </row>
    <row r="434" spans="1:2" x14ac:dyDescent="0.25">
      <c r="A434" s="201"/>
      <c r="B434" s="201"/>
    </row>
    <row r="435" spans="1:2" x14ac:dyDescent="0.25">
      <c r="A435" s="201"/>
      <c r="B435" s="201"/>
    </row>
    <row r="436" spans="1:2" x14ac:dyDescent="0.25">
      <c r="A436" s="201"/>
      <c r="B436" s="201"/>
    </row>
    <row r="437" spans="1:2" x14ac:dyDescent="0.25">
      <c r="A437" s="201"/>
      <c r="B437" s="201"/>
    </row>
    <row r="438" spans="1:2" x14ac:dyDescent="0.25">
      <c r="A438" s="201"/>
      <c r="B438" s="201"/>
    </row>
    <row r="439" spans="1:2" x14ac:dyDescent="0.25">
      <c r="A439" s="201"/>
      <c r="B439" s="201"/>
    </row>
    <row r="440" spans="1:2" x14ac:dyDescent="0.25">
      <c r="A440" s="201"/>
      <c r="B440" s="201"/>
    </row>
    <row r="441" spans="1:2" x14ac:dyDescent="0.25">
      <c r="A441" s="201"/>
      <c r="B441" s="201"/>
    </row>
    <row r="442" spans="1:2" x14ac:dyDescent="0.25">
      <c r="A442" s="201"/>
      <c r="B442" s="201"/>
    </row>
    <row r="443" spans="1:2" x14ac:dyDescent="0.25">
      <c r="A443" s="201"/>
      <c r="B443" s="201"/>
    </row>
    <row r="444" spans="1:2" x14ac:dyDescent="0.25">
      <c r="A444" s="201"/>
      <c r="B444" s="201"/>
    </row>
    <row r="445" spans="1:2" x14ac:dyDescent="0.25">
      <c r="A445" s="201"/>
      <c r="B445" s="201"/>
    </row>
    <row r="446" spans="1:2" x14ac:dyDescent="0.25">
      <c r="A446" s="201"/>
      <c r="B446" s="201"/>
    </row>
    <row r="447" spans="1:2" x14ac:dyDescent="0.25">
      <c r="A447" s="201"/>
      <c r="B447" s="201"/>
    </row>
    <row r="448" spans="1:2" x14ac:dyDescent="0.25">
      <c r="A448" s="201"/>
      <c r="B448" s="201"/>
    </row>
    <row r="449" spans="1:2" x14ac:dyDescent="0.25">
      <c r="A449" s="201"/>
      <c r="B449" s="201"/>
    </row>
    <row r="450" spans="1:2" x14ac:dyDescent="0.25">
      <c r="A450" s="201"/>
      <c r="B450" s="201"/>
    </row>
    <row r="451" spans="1:2" x14ac:dyDescent="0.25">
      <c r="A451" s="201"/>
      <c r="B451" s="201"/>
    </row>
    <row r="452" spans="1:2" x14ac:dyDescent="0.25">
      <c r="A452" s="201"/>
      <c r="B452" s="201"/>
    </row>
    <row r="453" spans="1:2" x14ac:dyDescent="0.25">
      <c r="A453" s="201"/>
      <c r="B453" s="201"/>
    </row>
    <row r="454" spans="1:2" x14ac:dyDescent="0.25">
      <c r="A454" s="201"/>
      <c r="B454" s="201"/>
    </row>
    <row r="455" spans="1:2" x14ac:dyDescent="0.25">
      <c r="A455" s="201"/>
      <c r="B455" s="201"/>
    </row>
    <row r="456" spans="1:2" x14ac:dyDescent="0.25">
      <c r="A456" s="201"/>
      <c r="B456" s="201"/>
    </row>
    <row r="457" spans="1:2" x14ac:dyDescent="0.25">
      <c r="A457" s="201"/>
      <c r="B457" s="201"/>
    </row>
    <row r="458" spans="1:2" x14ac:dyDescent="0.25">
      <c r="A458" s="201"/>
      <c r="B458" s="201"/>
    </row>
    <row r="459" spans="1:2" x14ac:dyDescent="0.25">
      <c r="A459" s="201"/>
      <c r="B459" s="201"/>
    </row>
    <row r="460" spans="1:2" x14ac:dyDescent="0.25">
      <c r="A460" s="201"/>
      <c r="B460" s="201"/>
    </row>
    <row r="461" spans="1:2" x14ac:dyDescent="0.25">
      <c r="A461" s="201"/>
      <c r="B461" s="201"/>
    </row>
    <row r="462" spans="1:2" x14ac:dyDescent="0.25">
      <c r="A462" s="201"/>
      <c r="B462" s="201"/>
    </row>
    <row r="463" spans="1:2" x14ac:dyDescent="0.25">
      <c r="A463" s="201"/>
      <c r="B463" s="201"/>
    </row>
    <row r="464" spans="1:2" x14ac:dyDescent="0.25">
      <c r="A464" s="201"/>
      <c r="B464" s="201"/>
    </row>
    <row r="465" spans="1:2" x14ac:dyDescent="0.25">
      <c r="A465" s="201"/>
      <c r="B465" s="201"/>
    </row>
    <row r="466" spans="1:2" x14ac:dyDescent="0.25">
      <c r="A466" s="201"/>
      <c r="B466" s="201"/>
    </row>
    <row r="467" spans="1:2" x14ac:dyDescent="0.25">
      <c r="A467" s="201"/>
      <c r="B467" s="201"/>
    </row>
    <row r="468" spans="1:2" x14ac:dyDescent="0.25">
      <c r="A468" s="201"/>
      <c r="B468" s="201"/>
    </row>
    <row r="469" spans="1:2" x14ac:dyDescent="0.25">
      <c r="A469" s="201"/>
      <c r="B469" s="201"/>
    </row>
    <row r="470" spans="1:2" x14ac:dyDescent="0.25">
      <c r="A470" s="201"/>
      <c r="B470" s="201"/>
    </row>
    <row r="471" spans="1:2" x14ac:dyDescent="0.25">
      <c r="A471" s="201"/>
      <c r="B471" s="201"/>
    </row>
    <row r="472" spans="1:2" x14ac:dyDescent="0.25">
      <c r="A472" s="201"/>
      <c r="B472" s="201"/>
    </row>
    <row r="473" spans="1:2" x14ac:dyDescent="0.25">
      <c r="A473" s="201"/>
      <c r="B473" s="201"/>
    </row>
    <row r="474" spans="1:2" x14ac:dyDescent="0.25">
      <c r="A474" s="201"/>
      <c r="B474" s="201"/>
    </row>
    <row r="475" spans="1:2" x14ac:dyDescent="0.25">
      <c r="A475" s="201"/>
      <c r="B475" s="201"/>
    </row>
    <row r="476" spans="1:2" x14ac:dyDescent="0.25">
      <c r="A476" s="201"/>
      <c r="B476" s="201"/>
    </row>
    <row r="477" spans="1:2" x14ac:dyDescent="0.25">
      <c r="A477" s="201"/>
      <c r="B477" s="201"/>
    </row>
    <row r="478" spans="1:2" x14ac:dyDescent="0.25">
      <c r="A478" s="201"/>
      <c r="B478" s="201"/>
    </row>
    <row r="479" spans="1:2" x14ac:dyDescent="0.25">
      <c r="A479" s="201"/>
      <c r="B479" s="201"/>
    </row>
    <row r="480" spans="1:2" x14ac:dyDescent="0.25">
      <c r="A480" s="201"/>
      <c r="B480" s="201"/>
    </row>
    <row r="481" spans="1:2" x14ac:dyDescent="0.25">
      <c r="A481" s="201"/>
      <c r="B481" s="201"/>
    </row>
    <row r="482" spans="1:2" x14ac:dyDescent="0.25">
      <c r="A482" s="201"/>
      <c r="B482" s="201"/>
    </row>
    <row r="483" spans="1:2" x14ac:dyDescent="0.25">
      <c r="A483" s="201"/>
      <c r="B483" s="201"/>
    </row>
    <row r="484" spans="1:2" x14ac:dyDescent="0.25">
      <c r="A484" s="201"/>
      <c r="B484" s="201"/>
    </row>
    <row r="485" spans="1:2" x14ac:dyDescent="0.25">
      <c r="A485" s="201"/>
      <c r="B485" s="201"/>
    </row>
    <row r="486" spans="1:2" x14ac:dyDescent="0.25">
      <c r="A486" s="201"/>
      <c r="B486" s="201"/>
    </row>
    <row r="487" spans="1:2" x14ac:dyDescent="0.25">
      <c r="A487" s="201"/>
      <c r="B487" s="201"/>
    </row>
    <row r="488" spans="1:2" x14ac:dyDescent="0.25">
      <c r="A488" s="201"/>
      <c r="B488" s="201"/>
    </row>
    <row r="489" spans="1:2" x14ac:dyDescent="0.25">
      <c r="A489" s="201"/>
      <c r="B489" s="201"/>
    </row>
    <row r="490" spans="1:2" x14ac:dyDescent="0.25">
      <c r="A490" s="201"/>
      <c r="B490" s="201"/>
    </row>
    <row r="491" spans="1:2" x14ac:dyDescent="0.25">
      <c r="A491" s="201"/>
      <c r="B491" s="201"/>
    </row>
    <row r="492" spans="1:2" x14ac:dyDescent="0.25">
      <c r="A492" s="201"/>
      <c r="B492" s="201"/>
    </row>
    <row r="493" spans="1:2" x14ac:dyDescent="0.25">
      <c r="A493" s="201"/>
      <c r="B493" s="201"/>
    </row>
    <row r="494" spans="1:2" x14ac:dyDescent="0.25">
      <c r="A494" s="201"/>
      <c r="B494" s="201"/>
    </row>
    <row r="495" spans="1:2" x14ac:dyDescent="0.25">
      <c r="A495" s="201"/>
      <c r="B495" s="201"/>
    </row>
    <row r="496" spans="1:2" x14ac:dyDescent="0.25">
      <c r="A496" s="201"/>
      <c r="B496" s="201"/>
    </row>
    <row r="497" spans="1:2" x14ac:dyDescent="0.25">
      <c r="A497" s="201"/>
      <c r="B497" s="201"/>
    </row>
    <row r="498" spans="1:2" x14ac:dyDescent="0.25">
      <c r="A498" s="201"/>
      <c r="B498" s="201"/>
    </row>
    <row r="499" spans="1:2" x14ac:dyDescent="0.25">
      <c r="A499" s="201"/>
      <c r="B499" s="201"/>
    </row>
    <row r="500" spans="1:2" x14ac:dyDescent="0.25">
      <c r="A500" s="201"/>
      <c r="B500" s="201"/>
    </row>
    <row r="501" spans="1:2" x14ac:dyDescent="0.25">
      <c r="A501" s="201"/>
      <c r="B501" s="201"/>
    </row>
    <row r="502" spans="1:2" x14ac:dyDescent="0.25">
      <c r="A502" s="201"/>
      <c r="B502" s="201"/>
    </row>
    <row r="503" spans="1:2" x14ac:dyDescent="0.25">
      <c r="A503" s="201"/>
      <c r="B503" s="201"/>
    </row>
    <row r="504" spans="1:2" x14ac:dyDescent="0.25">
      <c r="A504" s="201"/>
      <c r="B504" s="201"/>
    </row>
    <row r="505" spans="1:2" x14ac:dyDescent="0.25">
      <c r="A505" s="201"/>
      <c r="B505" s="201"/>
    </row>
    <row r="506" spans="1:2" x14ac:dyDescent="0.25">
      <c r="A506" s="201"/>
      <c r="B506" s="201"/>
    </row>
    <row r="507" spans="1:2" x14ac:dyDescent="0.25">
      <c r="A507" s="201"/>
      <c r="B507" s="201"/>
    </row>
    <row r="508" spans="1:2" x14ac:dyDescent="0.25">
      <c r="A508" s="201"/>
      <c r="B508" s="201"/>
    </row>
    <row r="509" spans="1:2" x14ac:dyDescent="0.25">
      <c r="A509" s="201"/>
      <c r="B509" s="201"/>
    </row>
    <row r="510" spans="1:2" x14ac:dyDescent="0.25">
      <c r="A510" s="201"/>
      <c r="B510" s="201"/>
    </row>
    <row r="511" spans="1:2" x14ac:dyDescent="0.25">
      <c r="A511" s="201"/>
      <c r="B511" s="201"/>
    </row>
    <row r="512" spans="1:2" x14ac:dyDescent="0.25">
      <c r="A512" s="201"/>
      <c r="B512" s="201"/>
    </row>
    <row r="513" spans="1:2" x14ac:dyDescent="0.25">
      <c r="A513" s="201"/>
      <c r="B513" s="201"/>
    </row>
    <row r="514" spans="1:2" x14ac:dyDescent="0.25">
      <c r="A514" s="201"/>
      <c r="B514" s="201"/>
    </row>
    <row r="515" spans="1:2" x14ac:dyDescent="0.25">
      <c r="A515" s="201"/>
      <c r="B515" s="201"/>
    </row>
    <row r="516" spans="1:2" x14ac:dyDescent="0.25">
      <c r="A516" s="201"/>
      <c r="B516" s="201"/>
    </row>
    <row r="517" spans="1:2" x14ac:dyDescent="0.25">
      <c r="A517" s="201"/>
      <c r="B517" s="201"/>
    </row>
    <row r="518" spans="1:2" x14ac:dyDescent="0.25">
      <c r="A518" s="201"/>
      <c r="B518" s="201"/>
    </row>
    <row r="519" spans="1:2" x14ac:dyDescent="0.25">
      <c r="A519" s="201"/>
      <c r="B519" s="201"/>
    </row>
    <row r="520" spans="1:2" x14ac:dyDescent="0.25">
      <c r="A520" s="201"/>
      <c r="B520" s="201"/>
    </row>
    <row r="521" spans="1:2" x14ac:dyDescent="0.25">
      <c r="A521" s="201"/>
      <c r="B521" s="201"/>
    </row>
    <row r="522" spans="1:2" x14ac:dyDescent="0.25">
      <c r="A522" s="201"/>
      <c r="B522" s="201"/>
    </row>
    <row r="523" spans="1:2" x14ac:dyDescent="0.25">
      <c r="A523" s="201"/>
      <c r="B523" s="201"/>
    </row>
    <row r="524" spans="1:2" x14ac:dyDescent="0.25">
      <c r="A524" s="201"/>
      <c r="B524" s="201"/>
    </row>
    <row r="525" spans="1:2" x14ac:dyDescent="0.25">
      <c r="A525" s="201"/>
      <c r="B525" s="201"/>
    </row>
    <row r="526" spans="1:2" x14ac:dyDescent="0.25">
      <c r="A526" s="201"/>
      <c r="B526" s="201"/>
    </row>
    <row r="527" spans="1:2" x14ac:dyDescent="0.25">
      <c r="A527" s="201"/>
      <c r="B527" s="201"/>
    </row>
    <row r="528" spans="1:2" x14ac:dyDescent="0.25">
      <c r="A528" s="201"/>
      <c r="B528" s="201"/>
    </row>
    <row r="529" spans="1:2" x14ac:dyDescent="0.25">
      <c r="A529" s="201"/>
      <c r="B529" s="201"/>
    </row>
    <row r="530" spans="1:2" x14ac:dyDescent="0.25">
      <c r="A530" s="201"/>
      <c r="B530" s="201"/>
    </row>
    <row r="531" spans="1:2" x14ac:dyDescent="0.25">
      <c r="A531" s="201"/>
      <c r="B531" s="201"/>
    </row>
    <row r="532" spans="1:2" x14ac:dyDescent="0.25">
      <c r="A532" s="201"/>
      <c r="B532" s="201"/>
    </row>
    <row r="533" spans="1:2" x14ac:dyDescent="0.25">
      <c r="A533" s="201"/>
      <c r="B533" s="201"/>
    </row>
    <row r="534" spans="1:2" x14ac:dyDescent="0.25">
      <c r="A534" s="201"/>
      <c r="B534" s="201"/>
    </row>
    <row r="535" spans="1:2" x14ac:dyDescent="0.25">
      <c r="A535" s="201"/>
      <c r="B535" s="201"/>
    </row>
    <row r="536" spans="1:2" x14ac:dyDescent="0.25">
      <c r="A536" s="201"/>
      <c r="B536" s="201"/>
    </row>
    <row r="537" spans="1:2" x14ac:dyDescent="0.25">
      <c r="A537" s="201"/>
      <c r="B537" s="201"/>
    </row>
    <row r="538" spans="1:2" x14ac:dyDescent="0.25">
      <c r="A538" s="201"/>
      <c r="B538" s="201"/>
    </row>
    <row r="539" spans="1:2" x14ac:dyDescent="0.25">
      <c r="A539" s="201"/>
      <c r="B539" s="201"/>
    </row>
    <row r="540" spans="1:2" x14ac:dyDescent="0.25">
      <c r="A540" s="201"/>
      <c r="B540" s="201"/>
    </row>
    <row r="541" spans="1:2" x14ac:dyDescent="0.25">
      <c r="A541" s="201"/>
      <c r="B541" s="201"/>
    </row>
    <row r="542" spans="1:2" x14ac:dyDescent="0.25">
      <c r="A542" s="201"/>
      <c r="B542" s="201"/>
    </row>
    <row r="543" spans="1:2" x14ac:dyDescent="0.25">
      <c r="A543" s="201"/>
      <c r="B543" s="201"/>
    </row>
    <row r="544" spans="1:2" x14ac:dyDescent="0.25">
      <c r="A544" s="201"/>
      <c r="B544" s="201"/>
    </row>
    <row r="545" spans="1:2" x14ac:dyDescent="0.25">
      <c r="A545" s="201"/>
      <c r="B545" s="201"/>
    </row>
    <row r="546" spans="1:2" x14ac:dyDescent="0.25">
      <c r="A546" s="201"/>
      <c r="B546" s="201"/>
    </row>
    <row r="547" spans="1:2" x14ac:dyDescent="0.25">
      <c r="A547" s="201"/>
      <c r="B547" s="201"/>
    </row>
    <row r="548" spans="1:2" x14ac:dyDescent="0.25">
      <c r="A548" s="201"/>
      <c r="B548" s="201"/>
    </row>
    <row r="549" spans="1:2" x14ac:dyDescent="0.25">
      <c r="A549" s="201"/>
      <c r="B549" s="201"/>
    </row>
    <row r="550" spans="1:2" x14ac:dyDescent="0.25">
      <c r="A550" s="201"/>
      <c r="B550" s="201"/>
    </row>
    <row r="551" spans="1:2" x14ac:dyDescent="0.25">
      <c r="A551" s="201"/>
      <c r="B551" s="201"/>
    </row>
    <row r="552" spans="1:2" x14ac:dyDescent="0.25">
      <c r="A552" s="201"/>
      <c r="B552" s="201"/>
    </row>
    <row r="553" spans="1:2" x14ac:dyDescent="0.25">
      <c r="A553" s="201"/>
      <c r="B553" s="201"/>
    </row>
    <row r="554" spans="1:2" x14ac:dyDescent="0.25">
      <c r="A554" s="201"/>
      <c r="B554" s="201"/>
    </row>
    <row r="555" spans="1:2" x14ac:dyDescent="0.25">
      <c r="A555" s="201"/>
      <c r="B555" s="201"/>
    </row>
    <row r="556" spans="1:2" x14ac:dyDescent="0.25">
      <c r="A556" s="201"/>
      <c r="B556" s="201"/>
    </row>
    <row r="557" spans="1:2" x14ac:dyDescent="0.25">
      <c r="A557" s="201"/>
      <c r="B557" s="201"/>
    </row>
    <row r="558" spans="1:2" x14ac:dyDescent="0.25">
      <c r="A558" s="201"/>
      <c r="B558" s="201"/>
    </row>
    <row r="559" spans="1:2" x14ac:dyDescent="0.25">
      <c r="A559" s="201"/>
      <c r="B559" s="201"/>
    </row>
    <row r="560" spans="1:2" x14ac:dyDescent="0.25">
      <c r="A560" s="201"/>
      <c r="B560" s="201"/>
    </row>
    <row r="561" spans="1:2" x14ac:dyDescent="0.25">
      <c r="A561" s="201"/>
      <c r="B561" s="201"/>
    </row>
    <row r="562" spans="1:2" x14ac:dyDescent="0.25">
      <c r="A562" s="201"/>
      <c r="B562" s="201"/>
    </row>
    <row r="563" spans="1:2" x14ac:dyDescent="0.25">
      <c r="A563" s="201"/>
      <c r="B563" s="201"/>
    </row>
    <row r="564" spans="1:2" x14ac:dyDescent="0.25">
      <c r="A564" s="201"/>
      <c r="B564" s="201"/>
    </row>
    <row r="565" spans="1:2" x14ac:dyDescent="0.25">
      <c r="A565" s="201"/>
      <c r="B565" s="201"/>
    </row>
    <row r="566" spans="1:2" x14ac:dyDescent="0.25">
      <c r="A566" s="201"/>
      <c r="B566" s="201"/>
    </row>
    <row r="567" spans="1:2" x14ac:dyDescent="0.25">
      <c r="A567" s="201"/>
      <c r="B567" s="201"/>
    </row>
    <row r="568" spans="1:2" x14ac:dyDescent="0.25">
      <c r="A568" s="201"/>
      <c r="B568" s="201"/>
    </row>
    <row r="569" spans="1:2" x14ac:dyDescent="0.25">
      <c r="A569" s="201"/>
      <c r="B569" s="201"/>
    </row>
    <row r="570" spans="1:2" x14ac:dyDescent="0.25">
      <c r="A570" s="201"/>
      <c r="B570" s="201"/>
    </row>
    <row r="571" spans="1:2" x14ac:dyDescent="0.25">
      <c r="A571" s="201"/>
      <c r="B571" s="201"/>
    </row>
    <row r="572" spans="1:2" x14ac:dyDescent="0.25">
      <c r="A572" s="201"/>
      <c r="B572" s="201"/>
    </row>
    <row r="573" spans="1:2" x14ac:dyDescent="0.25">
      <c r="A573" s="201"/>
      <c r="B573" s="201"/>
    </row>
    <row r="574" spans="1:2" x14ac:dyDescent="0.25">
      <c r="A574" s="201"/>
      <c r="B574" s="201"/>
    </row>
    <row r="575" spans="1:2" x14ac:dyDescent="0.25">
      <c r="A575" s="201"/>
      <c r="B575" s="201"/>
    </row>
    <row r="576" spans="1:2" x14ac:dyDescent="0.25">
      <c r="A576" s="201"/>
      <c r="B576" s="201"/>
    </row>
    <row r="577" spans="1:2" x14ac:dyDescent="0.25">
      <c r="A577" s="201"/>
      <c r="B577" s="201"/>
    </row>
    <row r="578" spans="1:2" x14ac:dyDescent="0.25">
      <c r="A578" s="201"/>
      <c r="B578" s="201"/>
    </row>
    <row r="579" spans="1:2" x14ac:dyDescent="0.25">
      <c r="A579" s="201"/>
      <c r="B579" s="201"/>
    </row>
    <row r="580" spans="1:2" x14ac:dyDescent="0.25">
      <c r="A580" s="201"/>
      <c r="B580" s="201"/>
    </row>
    <row r="581" spans="1:2" x14ac:dyDescent="0.25">
      <c r="A581" s="201"/>
      <c r="B581" s="201"/>
    </row>
    <row r="582" spans="1:2" x14ac:dyDescent="0.25">
      <c r="A582" s="201"/>
      <c r="B582" s="201"/>
    </row>
    <row r="583" spans="1:2" x14ac:dyDescent="0.25">
      <c r="A583" s="201"/>
      <c r="B583" s="201"/>
    </row>
    <row r="584" spans="1:2" x14ac:dyDescent="0.25">
      <c r="A584" s="201"/>
      <c r="B584" s="201"/>
    </row>
    <row r="585" spans="1:2" x14ac:dyDescent="0.25">
      <c r="A585" s="201"/>
      <c r="B585" s="201"/>
    </row>
    <row r="586" spans="1:2" x14ac:dyDescent="0.25">
      <c r="A586" s="201"/>
      <c r="B586" s="201"/>
    </row>
    <row r="587" spans="1:2" x14ac:dyDescent="0.25">
      <c r="A587" s="201"/>
      <c r="B587" s="201"/>
    </row>
    <row r="588" spans="1:2" x14ac:dyDescent="0.25">
      <c r="A588" s="201"/>
      <c r="B588" s="201"/>
    </row>
    <row r="589" spans="1:2" x14ac:dyDescent="0.25">
      <c r="A589" s="201"/>
      <c r="B589" s="201"/>
    </row>
    <row r="590" spans="1:2" x14ac:dyDescent="0.25">
      <c r="A590" s="201"/>
      <c r="B590" s="201"/>
    </row>
    <row r="591" spans="1:2" x14ac:dyDescent="0.25">
      <c r="A591" s="201"/>
      <c r="B591" s="201"/>
    </row>
    <row r="592" spans="1:2" x14ac:dyDescent="0.25">
      <c r="A592" s="201"/>
      <c r="B592" s="201"/>
    </row>
    <row r="593" spans="1:2" x14ac:dyDescent="0.25">
      <c r="A593" s="201"/>
      <c r="B593" s="201"/>
    </row>
    <row r="594" spans="1:2" x14ac:dyDescent="0.25">
      <c r="A594" s="201"/>
      <c r="B594" s="201"/>
    </row>
    <row r="595" spans="1:2" x14ac:dyDescent="0.25">
      <c r="A595" s="201"/>
      <c r="B595" s="201"/>
    </row>
    <row r="596" spans="1:2" x14ac:dyDescent="0.25">
      <c r="A596" s="201"/>
      <c r="B596" s="201"/>
    </row>
    <row r="597" spans="1:2" x14ac:dyDescent="0.25">
      <c r="A597" s="201"/>
      <c r="B597" s="201"/>
    </row>
    <row r="598" spans="1:2" x14ac:dyDescent="0.25">
      <c r="A598" s="201"/>
      <c r="B598" s="201"/>
    </row>
    <row r="599" spans="1:2" x14ac:dyDescent="0.25">
      <c r="A599" s="201"/>
      <c r="B599" s="201"/>
    </row>
    <row r="600" spans="1:2" x14ac:dyDescent="0.25">
      <c r="A600" s="201"/>
      <c r="B600" s="201"/>
    </row>
    <row r="601" spans="1:2" x14ac:dyDescent="0.25">
      <c r="A601" s="201"/>
      <c r="B601" s="201"/>
    </row>
    <row r="602" spans="1:2" x14ac:dyDescent="0.25">
      <c r="A602" s="201"/>
      <c r="B602" s="201"/>
    </row>
    <row r="603" spans="1:2" x14ac:dyDescent="0.25">
      <c r="A603" s="201"/>
      <c r="B603" s="201"/>
    </row>
    <row r="604" spans="1:2" x14ac:dyDescent="0.25">
      <c r="A604" s="201"/>
      <c r="B604" s="201"/>
    </row>
    <row r="605" spans="1:2" x14ac:dyDescent="0.25">
      <c r="A605" s="201"/>
      <c r="B605" s="201"/>
    </row>
    <row r="606" spans="1:2" x14ac:dyDescent="0.25">
      <c r="A606" s="201"/>
      <c r="B606" s="201"/>
    </row>
    <row r="607" spans="1:2" x14ac:dyDescent="0.25">
      <c r="A607" s="201"/>
      <c r="B607" s="201"/>
    </row>
    <row r="608" spans="1:2" x14ac:dyDescent="0.25">
      <c r="A608" s="201"/>
      <c r="B608" s="201"/>
    </row>
    <row r="609" spans="1:2" x14ac:dyDescent="0.25">
      <c r="A609" s="201"/>
      <c r="B609" s="201"/>
    </row>
    <row r="610" spans="1:2" x14ac:dyDescent="0.25">
      <c r="A610" s="201"/>
      <c r="B610" s="201"/>
    </row>
    <row r="611" spans="1:2" x14ac:dyDescent="0.25">
      <c r="A611" s="201"/>
      <c r="B611" s="201"/>
    </row>
    <row r="612" spans="1:2" x14ac:dyDescent="0.25">
      <c r="A612" s="201"/>
      <c r="B612" s="201"/>
    </row>
    <row r="613" spans="1:2" x14ac:dyDescent="0.25">
      <c r="A613" s="201"/>
      <c r="B613" s="201"/>
    </row>
    <row r="614" spans="1:2" x14ac:dyDescent="0.25">
      <c r="A614" s="201"/>
      <c r="B614" s="201"/>
    </row>
    <row r="615" spans="1:2" x14ac:dyDescent="0.25">
      <c r="A615" s="201"/>
      <c r="B615" s="201"/>
    </row>
    <row r="616" spans="1:2" x14ac:dyDescent="0.25">
      <c r="A616" s="201"/>
      <c r="B616" s="201"/>
    </row>
    <row r="617" spans="1:2" x14ac:dyDescent="0.25">
      <c r="A617" s="201"/>
      <c r="B617" s="201"/>
    </row>
    <row r="618" spans="1:2" x14ac:dyDescent="0.25">
      <c r="A618" s="201"/>
      <c r="B618" s="201"/>
    </row>
    <row r="619" spans="1:2" x14ac:dyDescent="0.25">
      <c r="A619" s="201"/>
      <c r="B619" s="201"/>
    </row>
    <row r="620" spans="1:2" x14ac:dyDescent="0.25">
      <c r="A620" s="201"/>
      <c r="B620" s="201"/>
    </row>
    <row r="621" spans="1:2" x14ac:dyDescent="0.25">
      <c r="A621" s="201"/>
      <c r="B621" s="201"/>
    </row>
    <row r="622" spans="1:2" x14ac:dyDescent="0.25">
      <c r="A622" s="201"/>
      <c r="B622" s="201"/>
    </row>
    <row r="623" spans="1:2" x14ac:dyDescent="0.25">
      <c r="A623" s="201"/>
      <c r="B623" s="201"/>
    </row>
    <row r="624" spans="1:2" x14ac:dyDescent="0.25">
      <c r="A624" s="201"/>
      <c r="B624" s="201"/>
    </row>
    <row r="625" spans="1:2" x14ac:dyDescent="0.25">
      <c r="A625" s="201"/>
      <c r="B625" s="201"/>
    </row>
    <row r="626" spans="1:2" x14ac:dyDescent="0.25">
      <c r="A626" s="201"/>
      <c r="B626" s="201"/>
    </row>
    <row r="627" spans="1:2" x14ac:dyDescent="0.25">
      <c r="A627" s="201"/>
      <c r="B627" s="201"/>
    </row>
    <row r="628" spans="1:2" x14ac:dyDescent="0.25">
      <c r="A628" s="201"/>
      <c r="B628" s="201"/>
    </row>
    <row r="629" spans="1:2" x14ac:dyDescent="0.25">
      <c r="A629" s="201"/>
      <c r="B629" s="201"/>
    </row>
    <row r="630" spans="1:2" x14ac:dyDescent="0.25">
      <c r="A630" s="201"/>
      <c r="B630" s="201"/>
    </row>
    <row r="631" spans="1:2" x14ac:dyDescent="0.25">
      <c r="A631" s="201"/>
      <c r="B631" s="201"/>
    </row>
    <row r="632" spans="1:2" x14ac:dyDescent="0.25">
      <c r="A632" s="201"/>
      <c r="B632" s="201"/>
    </row>
    <row r="633" spans="1:2" x14ac:dyDescent="0.25">
      <c r="A633" s="201"/>
      <c r="B633" s="201"/>
    </row>
    <row r="634" spans="1:2" x14ac:dyDescent="0.25">
      <c r="A634" s="201"/>
      <c r="B634" s="201"/>
    </row>
    <row r="635" spans="1:2" x14ac:dyDescent="0.25">
      <c r="A635" s="201"/>
      <c r="B635" s="201"/>
    </row>
    <row r="636" spans="1:2" x14ac:dyDescent="0.25">
      <c r="A636" s="201"/>
      <c r="B636" s="201"/>
    </row>
    <row r="637" spans="1:2" x14ac:dyDescent="0.25">
      <c r="A637" s="201"/>
      <c r="B637" s="201"/>
    </row>
    <row r="638" spans="1:2" x14ac:dyDescent="0.25">
      <c r="A638" s="201"/>
      <c r="B638" s="201"/>
    </row>
    <row r="639" spans="1:2" x14ac:dyDescent="0.25">
      <c r="A639" s="201"/>
      <c r="B639" s="201"/>
    </row>
    <row r="640" spans="1:2" x14ac:dyDescent="0.25">
      <c r="A640" s="201"/>
      <c r="B640" s="201"/>
    </row>
    <row r="641" spans="1:2" x14ac:dyDescent="0.25">
      <c r="A641" s="201"/>
      <c r="B641" s="201"/>
    </row>
    <row r="642" spans="1:2" x14ac:dyDescent="0.25">
      <c r="A642" s="201"/>
      <c r="B642" s="201"/>
    </row>
    <row r="643" spans="1:2" x14ac:dyDescent="0.25">
      <c r="A643" s="201"/>
      <c r="B643" s="201"/>
    </row>
    <row r="644" spans="1:2" x14ac:dyDescent="0.25">
      <c r="A644" s="201"/>
      <c r="B644" s="201"/>
    </row>
    <row r="645" spans="1:2" x14ac:dyDescent="0.25">
      <c r="A645" s="201"/>
      <c r="B645" s="201"/>
    </row>
    <row r="646" spans="1:2" x14ac:dyDescent="0.25">
      <c r="A646" s="201"/>
      <c r="B646" s="201"/>
    </row>
    <row r="647" spans="1:2" x14ac:dyDescent="0.25">
      <c r="A647" s="201"/>
      <c r="B647" s="201"/>
    </row>
    <row r="648" spans="1:2" x14ac:dyDescent="0.25">
      <c r="A648" s="201"/>
      <c r="B648" s="201"/>
    </row>
    <row r="649" spans="1:2" x14ac:dyDescent="0.25">
      <c r="A649" s="201"/>
      <c r="B649" s="201"/>
    </row>
    <row r="650" spans="1:2" x14ac:dyDescent="0.25">
      <c r="A650" s="201"/>
      <c r="B650" s="201"/>
    </row>
    <row r="651" spans="1:2" x14ac:dyDescent="0.25">
      <c r="A651" s="201"/>
      <c r="B651" s="201"/>
    </row>
    <row r="652" spans="1:2" x14ac:dyDescent="0.25">
      <c r="A652" s="201"/>
      <c r="B652" s="201"/>
    </row>
    <row r="653" spans="1:2" x14ac:dyDescent="0.25">
      <c r="A653" s="201"/>
      <c r="B653" s="201"/>
    </row>
    <row r="654" spans="1:2" x14ac:dyDescent="0.25">
      <c r="A654" s="201"/>
      <c r="B654" s="201"/>
    </row>
    <row r="655" spans="1:2" x14ac:dyDescent="0.25">
      <c r="A655" s="201"/>
      <c r="B655" s="201"/>
    </row>
    <row r="656" spans="1:2" x14ac:dyDescent="0.25">
      <c r="A656" s="201"/>
      <c r="B656" s="201"/>
    </row>
    <row r="657" spans="1:2" x14ac:dyDescent="0.25">
      <c r="A657" s="201"/>
      <c r="B657" s="201"/>
    </row>
    <row r="658" spans="1:2" x14ac:dyDescent="0.25">
      <c r="A658" s="201"/>
      <c r="B658" s="201"/>
    </row>
    <row r="659" spans="1:2" x14ac:dyDescent="0.25">
      <c r="A659" s="201"/>
      <c r="B659" s="201"/>
    </row>
    <row r="660" spans="1:2" x14ac:dyDescent="0.25">
      <c r="A660" s="201"/>
      <c r="B660" s="201"/>
    </row>
    <row r="661" spans="1:2" x14ac:dyDescent="0.25">
      <c r="A661" s="201"/>
      <c r="B661" s="201"/>
    </row>
    <row r="662" spans="1:2" x14ac:dyDescent="0.25">
      <c r="A662" s="201"/>
      <c r="B662" s="201"/>
    </row>
    <row r="663" spans="1:2" x14ac:dyDescent="0.25">
      <c r="A663" s="201"/>
      <c r="B663" s="201"/>
    </row>
    <row r="664" spans="1:2" x14ac:dyDescent="0.25">
      <c r="A664" s="201"/>
      <c r="B664" s="201"/>
    </row>
    <row r="665" spans="1:2" x14ac:dyDescent="0.25">
      <c r="A665" s="201"/>
      <c r="B665" s="201"/>
    </row>
    <row r="666" spans="1:2" x14ac:dyDescent="0.25">
      <c r="A666" s="201"/>
      <c r="B666" s="201"/>
    </row>
    <row r="667" spans="1:2" x14ac:dyDescent="0.25">
      <c r="A667" s="201"/>
      <c r="B667" s="201"/>
    </row>
    <row r="668" spans="1:2" x14ac:dyDescent="0.25">
      <c r="A668" s="201"/>
      <c r="B668" s="201"/>
    </row>
    <row r="669" spans="1:2" x14ac:dyDescent="0.25">
      <c r="A669" s="201"/>
      <c r="B669" s="201"/>
    </row>
    <row r="670" spans="1:2" x14ac:dyDescent="0.25">
      <c r="A670" s="201"/>
      <c r="B670" s="201"/>
    </row>
    <row r="671" spans="1:2" x14ac:dyDescent="0.25">
      <c r="A671" s="201"/>
      <c r="B671" s="201"/>
    </row>
    <row r="672" spans="1:2" x14ac:dyDescent="0.25">
      <c r="A672" s="201"/>
      <c r="B672" s="201"/>
    </row>
    <row r="673" spans="1:2" x14ac:dyDescent="0.25">
      <c r="A673" s="201"/>
      <c r="B673" s="201"/>
    </row>
    <row r="674" spans="1:2" x14ac:dyDescent="0.25">
      <c r="A674" s="201"/>
      <c r="B674" s="201"/>
    </row>
    <row r="675" spans="1:2" x14ac:dyDescent="0.25">
      <c r="A675" s="201"/>
      <c r="B675" s="201"/>
    </row>
    <row r="676" spans="1:2" x14ac:dyDescent="0.25">
      <c r="A676" s="201"/>
      <c r="B676" s="201"/>
    </row>
    <row r="677" spans="1:2" x14ac:dyDescent="0.25">
      <c r="A677" s="201"/>
      <c r="B677" s="201"/>
    </row>
    <row r="678" spans="1:2" x14ac:dyDescent="0.25">
      <c r="A678" s="201"/>
      <c r="B678" s="201"/>
    </row>
    <row r="679" spans="1:2" x14ac:dyDescent="0.25">
      <c r="A679" s="201"/>
      <c r="B679" s="201"/>
    </row>
    <row r="680" spans="1:2" x14ac:dyDescent="0.25">
      <c r="A680" s="201"/>
      <c r="B680" s="201"/>
    </row>
    <row r="681" spans="1:2" x14ac:dyDescent="0.25">
      <c r="A681" s="201"/>
      <c r="B681" s="201"/>
    </row>
    <row r="682" spans="1:2" x14ac:dyDescent="0.25">
      <c r="A682" s="201"/>
      <c r="B682" s="201"/>
    </row>
    <row r="683" spans="1:2" x14ac:dyDescent="0.25">
      <c r="A683" s="201"/>
      <c r="B683" s="201"/>
    </row>
    <row r="684" spans="1:2" x14ac:dyDescent="0.25">
      <c r="A684" s="201"/>
      <c r="B684" s="201"/>
    </row>
    <row r="685" spans="1:2" x14ac:dyDescent="0.25">
      <c r="A685" s="201"/>
      <c r="B685" s="201"/>
    </row>
    <row r="686" spans="1:2" x14ac:dyDescent="0.25">
      <c r="A686" s="201"/>
      <c r="B686" s="201"/>
    </row>
    <row r="687" spans="1:2" x14ac:dyDescent="0.25">
      <c r="A687" s="201"/>
      <c r="B687" s="201"/>
    </row>
    <row r="688" spans="1:2" x14ac:dyDescent="0.25">
      <c r="A688" s="201"/>
      <c r="B688" s="201"/>
    </row>
    <row r="689" spans="1:2" x14ac:dyDescent="0.25">
      <c r="A689" s="201"/>
      <c r="B689" s="201"/>
    </row>
    <row r="690" spans="1:2" x14ac:dyDescent="0.25">
      <c r="A690" s="201"/>
      <c r="B690" s="201"/>
    </row>
    <row r="691" spans="1:2" x14ac:dyDescent="0.25">
      <c r="A691" s="201"/>
      <c r="B691" s="201"/>
    </row>
    <row r="692" spans="1:2" x14ac:dyDescent="0.25">
      <c r="A692" s="201"/>
      <c r="B692" s="201"/>
    </row>
    <row r="693" spans="1:2" x14ac:dyDescent="0.25">
      <c r="A693" s="201"/>
      <c r="B693" s="201"/>
    </row>
    <row r="694" spans="1:2" x14ac:dyDescent="0.25">
      <c r="A694" s="201"/>
      <c r="B694" s="201"/>
    </row>
    <row r="695" spans="1:2" x14ac:dyDescent="0.25">
      <c r="A695" s="201"/>
      <c r="B695" s="201"/>
    </row>
    <row r="696" spans="1:2" x14ac:dyDescent="0.25">
      <c r="A696" s="201"/>
      <c r="B696" s="201"/>
    </row>
    <row r="697" spans="1:2" x14ac:dyDescent="0.25">
      <c r="A697" s="201"/>
      <c r="B697" s="201"/>
    </row>
    <row r="698" spans="1:2" x14ac:dyDescent="0.25">
      <c r="A698" s="201"/>
      <c r="B698" s="201"/>
    </row>
    <row r="699" spans="1:2" x14ac:dyDescent="0.25">
      <c r="A699" s="201"/>
      <c r="B699" s="201"/>
    </row>
    <row r="700" spans="1:2" x14ac:dyDescent="0.25">
      <c r="A700" s="201"/>
      <c r="B700" s="201"/>
    </row>
    <row r="701" spans="1:2" x14ac:dyDescent="0.25">
      <c r="A701" s="201"/>
      <c r="B701" s="201"/>
    </row>
    <row r="702" spans="1:2" x14ac:dyDescent="0.25">
      <c r="A702" s="201"/>
      <c r="B702" s="201"/>
    </row>
    <row r="703" spans="1:2" x14ac:dyDescent="0.25">
      <c r="A703" s="201"/>
      <c r="B703" s="201"/>
    </row>
    <row r="704" spans="1:2" x14ac:dyDescent="0.25">
      <c r="A704" s="201"/>
      <c r="B704" s="201"/>
    </row>
    <row r="705" spans="1:2" x14ac:dyDescent="0.25">
      <c r="A705" s="201"/>
      <c r="B705" s="201"/>
    </row>
    <row r="706" spans="1:2" x14ac:dyDescent="0.25">
      <c r="A706" s="201"/>
      <c r="B706" s="201"/>
    </row>
    <row r="707" spans="1:2" x14ac:dyDescent="0.25">
      <c r="A707" s="201"/>
      <c r="B707" s="201"/>
    </row>
    <row r="708" spans="1:2" x14ac:dyDescent="0.25">
      <c r="A708" s="201"/>
      <c r="B708" s="201"/>
    </row>
    <row r="709" spans="1:2" x14ac:dyDescent="0.25">
      <c r="A709" s="201"/>
      <c r="B709" s="201"/>
    </row>
    <row r="710" spans="1:2" x14ac:dyDescent="0.25">
      <c r="A710" s="201"/>
      <c r="B710" s="201"/>
    </row>
    <row r="711" spans="1:2" x14ac:dyDescent="0.25">
      <c r="A711" s="201"/>
      <c r="B711" s="201"/>
    </row>
    <row r="712" spans="1:2" x14ac:dyDescent="0.25">
      <c r="A712" s="201"/>
      <c r="B712" s="201"/>
    </row>
    <row r="713" spans="1:2" x14ac:dyDescent="0.25">
      <c r="A713" s="201"/>
      <c r="B713" s="201"/>
    </row>
    <row r="714" spans="1:2" x14ac:dyDescent="0.25">
      <c r="A714" s="201"/>
      <c r="B714" s="201"/>
    </row>
    <row r="715" spans="1:2" x14ac:dyDescent="0.25">
      <c r="A715" s="201"/>
      <c r="B715" s="201"/>
    </row>
    <row r="716" spans="1:2" x14ac:dyDescent="0.25">
      <c r="A716" s="201"/>
      <c r="B716" s="201"/>
    </row>
    <row r="717" spans="1:2" x14ac:dyDescent="0.25">
      <c r="A717" s="201"/>
      <c r="B717" s="201"/>
    </row>
    <row r="718" spans="1:2" x14ac:dyDescent="0.25">
      <c r="A718" s="201"/>
      <c r="B718" s="201"/>
    </row>
    <row r="719" spans="1:2" x14ac:dyDescent="0.25">
      <c r="A719" s="201"/>
      <c r="B719" s="201"/>
    </row>
    <row r="720" spans="1:2" x14ac:dyDescent="0.25">
      <c r="A720" s="201"/>
      <c r="B720" s="201"/>
    </row>
    <row r="721" spans="1:2" x14ac:dyDescent="0.25">
      <c r="A721" s="201"/>
      <c r="B721" s="201"/>
    </row>
    <row r="722" spans="1:2" x14ac:dyDescent="0.25">
      <c r="A722" s="201"/>
      <c r="B722" s="201"/>
    </row>
    <row r="723" spans="1:2" x14ac:dyDescent="0.25">
      <c r="A723" s="201"/>
      <c r="B723" s="201"/>
    </row>
    <row r="724" spans="1:2" x14ac:dyDescent="0.25">
      <c r="A724" s="201"/>
      <c r="B724" s="201"/>
    </row>
    <row r="725" spans="1:2" x14ac:dyDescent="0.25">
      <c r="A725" s="201"/>
      <c r="B725" s="201"/>
    </row>
    <row r="726" spans="1:2" x14ac:dyDescent="0.25">
      <c r="A726" s="201"/>
      <c r="B726" s="201"/>
    </row>
    <row r="727" spans="1:2" x14ac:dyDescent="0.25">
      <c r="A727" s="201"/>
      <c r="B727" s="201"/>
    </row>
    <row r="728" spans="1:2" x14ac:dyDescent="0.25">
      <c r="A728" s="201"/>
      <c r="B728" s="201"/>
    </row>
    <row r="729" spans="1:2" x14ac:dyDescent="0.25">
      <c r="A729" s="201"/>
      <c r="B729" s="201"/>
    </row>
    <row r="730" spans="1:2" x14ac:dyDescent="0.25">
      <c r="A730" s="201"/>
      <c r="B730" s="201"/>
    </row>
    <row r="731" spans="1:2" x14ac:dyDescent="0.25">
      <c r="A731" s="201"/>
      <c r="B731" s="201"/>
    </row>
    <row r="732" spans="1:2" x14ac:dyDescent="0.25">
      <c r="A732" s="201"/>
      <c r="B732" s="201"/>
    </row>
    <row r="733" spans="1:2" x14ac:dyDescent="0.25">
      <c r="A733" s="201"/>
      <c r="B733" s="201"/>
    </row>
    <row r="734" spans="1:2" x14ac:dyDescent="0.25">
      <c r="A734" s="201"/>
      <c r="B734" s="201"/>
    </row>
    <row r="735" spans="1:2" x14ac:dyDescent="0.25">
      <c r="A735" s="201"/>
      <c r="B735" s="201"/>
    </row>
    <row r="736" spans="1:2" x14ac:dyDescent="0.25">
      <c r="A736" s="201"/>
      <c r="B736" s="201"/>
    </row>
    <row r="737" spans="1:2" x14ac:dyDescent="0.25">
      <c r="A737" s="201"/>
      <c r="B737" s="201"/>
    </row>
    <row r="738" spans="1:2" x14ac:dyDescent="0.25">
      <c r="A738" s="201"/>
      <c r="B738" s="201"/>
    </row>
    <row r="739" spans="1:2" x14ac:dyDescent="0.25">
      <c r="A739" s="201"/>
      <c r="B739" s="201"/>
    </row>
    <row r="740" spans="1:2" x14ac:dyDescent="0.25">
      <c r="A740" s="201"/>
      <c r="B740" s="201"/>
    </row>
    <row r="741" spans="1:2" x14ac:dyDescent="0.25">
      <c r="A741" s="201"/>
      <c r="B741" s="201"/>
    </row>
    <row r="742" spans="1:2" x14ac:dyDescent="0.25">
      <c r="A742" s="201"/>
      <c r="B742" s="201"/>
    </row>
    <row r="743" spans="1:2" x14ac:dyDescent="0.25">
      <c r="A743" s="201"/>
      <c r="B743" s="201"/>
    </row>
    <row r="744" spans="1:2" x14ac:dyDescent="0.25">
      <c r="A744" s="201"/>
      <c r="B744" s="201"/>
    </row>
    <row r="745" spans="1:2" x14ac:dyDescent="0.25">
      <c r="A745" s="201"/>
      <c r="B745" s="201"/>
    </row>
    <row r="746" spans="1:2" x14ac:dyDescent="0.25">
      <c r="A746" s="201"/>
      <c r="B746" s="201"/>
    </row>
    <row r="747" spans="1:2" x14ac:dyDescent="0.25">
      <c r="A747" s="201"/>
      <c r="B747" s="201"/>
    </row>
    <row r="748" spans="1:2" x14ac:dyDescent="0.25">
      <c r="A748" s="201"/>
      <c r="B748" s="201"/>
    </row>
    <row r="749" spans="1:2" x14ac:dyDescent="0.25">
      <c r="A749" s="201"/>
      <c r="B749" s="201"/>
    </row>
    <row r="750" spans="1:2" x14ac:dyDescent="0.25">
      <c r="A750" s="201"/>
      <c r="B750" s="201"/>
    </row>
    <row r="751" spans="1:2" x14ac:dyDescent="0.25">
      <c r="A751" s="201"/>
      <c r="B751" s="201"/>
    </row>
    <row r="752" spans="1:2" x14ac:dyDescent="0.25">
      <c r="A752" s="201"/>
      <c r="B752" s="201"/>
    </row>
    <row r="753" spans="1:2" x14ac:dyDescent="0.25">
      <c r="A753" s="201"/>
      <c r="B753" s="201"/>
    </row>
    <row r="754" spans="1:2" x14ac:dyDescent="0.25">
      <c r="A754" s="201"/>
      <c r="B754" s="201"/>
    </row>
    <row r="755" spans="1:2" x14ac:dyDescent="0.25">
      <c r="A755" s="201"/>
      <c r="B755" s="201"/>
    </row>
    <row r="756" spans="1:2" x14ac:dyDescent="0.25">
      <c r="A756" s="201"/>
      <c r="B756" s="201"/>
    </row>
    <row r="757" spans="1:2" x14ac:dyDescent="0.25">
      <c r="A757" s="201"/>
      <c r="B757" s="201"/>
    </row>
    <row r="758" spans="1:2" x14ac:dyDescent="0.25">
      <c r="A758" s="201"/>
      <c r="B758" s="201"/>
    </row>
    <row r="759" spans="1:2" x14ac:dyDescent="0.25">
      <c r="A759" s="201"/>
      <c r="B759" s="201"/>
    </row>
    <row r="760" spans="1:2" x14ac:dyDescent="0.25">
      <c r="A760" s="201"/>
      <c r="B760" s="201"/>
    </row>
    <row r="761" spans="1:2" x14ac:dyDescent="0.25">
      <c r="A761" s="201"/>
      <c r="B761" s="201"/>
    </row>
    <row r="762" spans="1:2" x14ac:dyDescent="0.25">
      <c r="A762" s="201"/>
      <c r="B762" s="201"/>
    </row>
    <row r="763" spans="1:2" x14ac:dyDescent="0.25">
      <c r="A763" s="201"/>
      <c r="B763" s="201"/>
    </row>
    <row r="764" spans="1:2" x14ac:dyDescent="0.25">
      <c r="A764" s="201"/>
      <c r="B764" s="201"/>
    </row>
    <row r="765" spans="1:2" x14ac:dyDescent="0.25">
      <c r="A765" s="201"/>
      <c r="B765" s="201"/>
    </row>
    <row r="766" spans="1:2" x14ac:dyDescent="0.25">
      <c r="A766" s="201"/>
      <c r="B766" s="201"/>
    </row>
    <row r="767" spans="1:2" x14ac:dyDescent="0.25">
      <c r="A767" s="201"/>
      <c r="B767" s="201"/>
    </row>
    <row r="768" spans="1:2" x14ac:dyDescent="0.25">
      <c r="A768" s="201"/>
      <c r="B768" s="201"/>
    </row>
    <row r="769" spans="1:2" x14ac:dyDescent="0.25">
      <c r="A769" s="201"/>
      <c r="B769" s="201"/>
    </row>
    <row r="770" spans="1:2" x14ac:dyDescent="0.25">
      <c r="A770" s="201"/>
      <c r="B770" s="201"/>
    </row>
    <row r="771" spans="1:2" x14ac:dyDescent="0.25">
      <c r="A771" s="201"/>
      <c r="B771" s="201"/>
    </row>
    <row r="772" spans="1:2" x14ac:dyDescent="0.25">
      <c r="A772" s="201"/>
      <c r="B772" s="201"/>
    </row>
    <row r="773" spans="1:2" x14ac:dyDescent="0.25">
      <c r="A773" s="201"/>
      <c r="B773" s="201"/>
    </row>
    <row r="774" spans="1:2" x14ac:dyDescent="0.25">
      <c r="A774" s="201"/>
      <c r="B774" s="201"/>
    </row>
    <row r="775" spans="1:2" x14ac:dyDescent="0.25">
      <c r="A775" s="201"/>
      <c r="B775" s="201"/>
    </row>
    <row r="776" spans="1:2" x14ac:dyDescent="0.25">
      <c r="A776" s="201"/>
      <c r="B776" s="201"/>
    </row>
    <row r="777" spans="1:2" x14ac:dyDescent="0.25">
      <c r="A777" s="201"/>
      <c r="B777" s="201"/>
    </row>
    <row r="778" spans="1:2" x14ac:dyDescent="0.25">
      <c r="A778" s="201"/>
      <c r="B778" s="201"/>
    </row>
    <row r="779" spans="1:2" x14ac:dyDescent="0.25">
      <c r="A779" s="201"/>
      <c r="B779" s="201"/>
    </row>
    <row r="780" spans="1:2" x14ac:dyDescent="0.25">
      <c r="A780" s="201"/>
      <c r="B780" s="201"/>
    </row>
    <row r="781" spans="1:2" x14ac:dyDescent="0.25">
      <c r="A781" s="201"/>
      <c r="B781" s="201"/>
    </row>
    <row r="782" spans="1:2" x14ac:dyDescent="0.25">
      <c r="A782" s="201"/>
      <c r="B782" s="201"/>
    </row>
    <row r="783" spans="1:2" x14ac:dyDescent="0.25">
      <c r="A783" s="201"/>
      <c r="B783" s="201"/>
    </row>
    <row r="784" spans="1:2" x14ac:dyDescent="0.25">
      <c r="A784" s="201"/>
      <c r="B784" s="201"/>
    </row>
    <row r="785" spans="1:2" x14ac:dyDescent="0.25">
      <c r="A785" s="201"/>
      <c r="B785" s="201"/>
    </row>
    <row r="786" spans="1:2" x14ac:dyDescent="0.25">
      <c r="A786" s="201"/>
      <c r="B786" s="201"/>
    </row>
    <row r="787" spans="1:2" x14ac:dyDescent="0.25">
      <c r="A787" s="201"/>
      <c r="B787" s="201"/>
    </row>
    <row r="788" spans="1:2" x14ac:dyDescent="0.25">
      <c r="A788" s="201"/>
      <c r="B788" s="201"/>
    </row>
    <row r="789" spans="1:2" x14ac:dyDescent="0.25">
      <c r="A789" s="201"/>
      <c r="B789" s="201"/>
    </row>
    <row r="790" spans="1:2" x14ac:dyDescent="0.25">
      <c r="A790" s="201"/>
      <c r="B790" s="201"/>
    </row>
    <row r="791" spans="1:2" x14ac:dyDescent="0.25">
      <c r="A791" s="201"/>
      <c r="B791" s="201"/>
    </row>
    <row r="792" spans="1:2" x14ac:dyDescent="0.25">
      <c r="A792" s="201"/>
      <c r="B792" s="201"/>
    </row>
    <row r="793" spans="1:2" x14ac:dyDescent="0.25">
      <c r="A793" s="201"/>
      <c r="B793" s="201"/>
    </row>
    <row r="794" spans="1:2" x14ac:dyDescent="0.25">
      <c r="A794" s="201"/>
      <c r="B794" s="201"/>
    </row>
    <row r="795" spans="1:2" x14ac:dyDescent="0.25">
      <c r="A795" s="201"/>
      <c r="B795" s="201"/>
    </row>
    <row r="796" spans="1:2" x14ac:dyDescent="0.25">
      <c r="A796" s="201"/>
      <c r="B796" s="201"/>
    </row>
    <row r="797" spans="1:2" x14ac:dyDescent="0.25">
      <c r="A797" s="201"/>
      <c r="B797" s="201"/>
    </row>
    <row r="798" spans="1:2" x14ac:dyDescent="0.25">
      <c r="A798" s="201"/>
      <c r="B798" s="201"/>
    </row>
    <row r="799" spans="1:2" x14ac:dyDescent="0.25">
      <c r="A799" s="201"/>
      <c r="B799" s="201"/>
    </row>
    <row r="800" spans="1:2" x14ac:dyDescent="0.25">
      <c r="A800" s="201"/>
      <c r="B800" s="201"/>
    </row>
    <row r="801" spans="1:2" x14ac:dyDescent="0.25">
      <c r="A801" s="201"/>
      <c r="B801" s="201"/>
    </row>
    <row r="802" spans="1:2" x14ac:dyDescent="0.25">
      <c r="A802" s="201"/>
      <c r="B802" s="201"/>
    </row>
    <row r="803" spans="1:2" x14ac:dyDescent="0.25">
      <c r="A803" s="201"/>
      <c r="B803" s="201"/>
    </row>
    <row r="804" spans="1:2" x14ac:dyDescent="0.25">
      <c r="A804" s="201"/>
      <c r="B804" s="201"/>
    </row>
    <row r="805" spans="1:2" x14ac:dyDescent="0.25">
      <c r="A805" s="201"/>
      <c r="B805" s="201"/>
    </row>
    <row r="806" spans="1:2" x14ac:dyDescent="0.25">
      <c r="A806" s="201"/>
      <c r="B806" s="201"/>
    </row>
    <row r="807" spans="1:2" x14ac:dyDescent="0.25">
      <c r="A807" s="201"/>
      <c r="B807" s="201"/>
    </row>
    <row r="808" spans="1:2" x14ac:dyDescent="0.25">
      <c r="A808" s="201"/>
      <c r="B808" s="201"/>
    </row>
    <row r="809" spans="1:2" x14ac:dyDescent="0.25">
      <c r="A809" s="201"/>
      <c r="B809" s="201"/>
    </row>
    <row r="810" spans="1:2" x14ac:dyDescent="0.25">
      <c r="A810" s="201"/>
      <c r="B810" s="201"/>
    </row>
    <row r="811" spans="1:2" x14ac:dyDescent="0.25">
      <c r="A811" s="201"/>
      <c r="B811" s="201"/>
    </row>
    <row r="812" spans="1:2" x14ac:dyDescent="0.25">
      <c r="A812" s="201"/>
      <c r="B812" s="201"/>
    </row>
    <row r="813" spans="1:2" x14ac:dyDescent="0.25">
      <c r="A813" s="201"/>
      <c r="B813" s="201"/>
    </row>
    <row r="814" spans="1:2" x14ac:dyDescent="0.25">
      <c r="A814" s="201"/>
      <c r="B814" s="201"/>
    </row>
    <row r="815" spans="1:2" x14ac:dyDescent="0.25">
      <c r="A815" s="201"/>
      <c r="B815" s="201"/>
    </row>
    <row r="816" spans="1:2" x14ac:dyDescent="0.25">
      <c r="A816" s="201"/>
      <c r="B816" s="201"/>
    </row>
    <row r="817" spans="1:2" x14ac:dyDescent="0.25">
      <c r="A817" s="201"/>
      <c r="B817" s="201"/>
    </row>
    <row r="818" spans="1:2" x14ac:dyDescent="0.25">
      <c r="A818" s="201"/>
      <c r="B818" s="201"/>
    </row>
    <row r="819" spans="1:2" x14ac:dyDescent="0.25">
      <c r="A819" s="201"/>
      <c r="B819" s="201"/>
    </row>
    <row r="820" spans="1:2" x14ac:dyDescent="0.25">
      <c r="A820" s="201"/>
      <c r="B820" s="201"/>
    </row>
    <row r="821" spans="1:2" x14ac:dyDescent="0.25">
      <c r="A821" s="201"/>
      <c r="B821" s="201"/>
    </row>
    <row r="822" spans="1:2" x14ac:dyDescent="0.25">
      <c r="A822" s="201"/>
      <c r="B822" s="201"/>
    </row>
    <row r="823" spans="1:2" x14ac:dyDescent="0.25">
      <c r="A823" s="201"/>
      <c r="B823" s="201"/>
    </row>
    <row r="824" spans="1:2" x14ac:dyDescent="0.25">
      <c r="A824" s="201"/>
      <c r="B824" s="201"/>
    </row>
    <row r="825" spans="1:2" x14ac:dyDescent="0.25">
      <c r="A825" s="201"/>
      <c r="B825" s="201"/>
    </row>
    <row r="826" spans="1:2" x14ac:dyDescent="0.25">
      <c r="A826" s="201"/>
      <c r="B826" s="201"/>
    </row>
    <row r="827" spans="1:2" x14ac:dyDescent="0.25">
      <c r="A827" s="201"/>
      <c r="B827" s="201"/>
    </row>
    <row r="828" spans="1:2" x14ac:dyDescent="0.25">
      <c r="A828" s="201"/>
      <c r="B828" s="201"/>
    </row>
    <row r="829" spans="1:2" x14ac:dyDescent="0.25">
      <c r="A829" s="201"/>
      <c r="B829" s="201"/>
    </row>
    <row r="830" spans="1:2" x14ac:dyDescent="0.25">
      <c r="A830" s="201"/>
      <c r="B830" s="201"/>
    </row>
    <row r="831" spans="1:2" x14ac:dyDescent="0.25">
      <c r="A831" s="201"/>
      <c r="B831" s="201"/>
    </row>
    <row r="832" spans="1:2" x14ac:dyDescent="0.25">
      <c r="A832" s="201"/>
      <c r="B832" s="201"/>
    </row>
    <row r="833" spans="1:2" x14ac:dyDescent="0.25">
      <c r="A833" s="201"/>
      <c r="B833" s="201"/>
    </row>
    <row r="834" spans="1:2" x14ac:dyDescent="0.25">
      <c r="A834" s="201"/>
      <c r="B834" s="201"/>
    </row>
    <row r="835" spans="1:2" x14ac:dyDescent="0.25">
      <c r="A835" s="201"/>
      <c r="B835" s="201"/>
    </row>
    <row r="836" spans="1:2" x14ac:dyDescent="0.25">
      <c r="A836" s="201"/>
      <c r="B836" s="201"/>
    </row>
    <row r="837" spans="1:2" x14ac:dyDescent="0.25">
      <c r="A837" s="201"/>
      <c r="B837" s="201"/>
    </row>
    <row r="838" spans="1:2" x14ac:dyDescent="0.25">
      <c r="A838" s="201"/>
      <c r="B838" s="201"/>
    </row>
    <row r="839" spans="1:2" x14ac:dyDescent="0.25">
      <c r="A839" s="201"/>
      <c r="B839" s="201"/>
    </row>
    <row r="840" spans="1:2" x14ac:dyDescent="0.25">
      <c r="A840" s="201"/>
      <c r="B840" s="201"/>
    </row>
    <row r="841" spans="1:2" x14ac:dyDescent="0.25">
      <c r="A841" s="201"/>
      <c r="B841" s="201"/>
    </row>
    <row r="842" spans="1:2" x14ac:dyDescent="0.25">
      <c r="A842" s="201"/>
      <c r="B842" s="201"/>
    </row>
    <row r="843" spans="1:2" x14ac:dyDescent="0.25">
      <c r="A843" s="201"/>
      <c r="B843" s="201"/>
    </row>
    <row r="844" spans="1:2" x14ac:dyDescent="0.25">
      <c r="A844" s="201"/>
      <c r="B844" s="201"/>
    </row>
    <row r="845" spans="1:2" x14ac:dyDescent="0.25">
      <c r="A845" s="201"/>
      <c r="B845" s="201"/>
    </row>
    <row r="846" spans="1:2" x14ac:dyDescent="0.25">
      <c r="A846" s="201"/>
      <c r="B846" s="201"/>
    </row>
    <row r="847" spans="1:2" x14ac:dyDescent="0.25">
      <c r="A847" s="201"/>
      <c r="B847" s="201"/>
    </row>
    <row r="848" spans="1:2" x14ac:dyDescent="0.25">
      <c r="A848" s="201"/>
      <c r="B848" s="201"/>
    </row>
    <row r="849" spans="1:2" x14ac:dyDescent="0.25">
      <c r="A849" s="201"/>
      <c r="B849" s="201"/>
    </row>
    <row r="850" spans="1:2" x14ac:dyDescent="0.25">
      <c r="A850" s="201"/>
      <c r="B850" s="201"/>
    </row>
    <row r="851" spans="1:2" x14ac:dyDescent="0.25">
      <c r="A851" s="201"/>
      <c r="B851" s="201"/>
    </row>
    <row r="852" spans="1:2" x14ac:dyDescent="0.25">
      <c r="A852" s="201"/>
      <c r="B852" s="201"/>
    </row>
    <row r="853" spans="1:2" x14ac:dyDescent="0.25">
      <c r="A853" s="201"/>
      <c r="B853" s="201"/>
    </row>
    <row r="854" spans="1:2" x14ac:dyDescent="0.25">
      <c r="A854" s="201"/>
      <c r="B854" s="201"/>
    </row>
    <row r="855" spans="1:2" x14ac:dyDescent="0.25">
      <c r="A855" s="201"/>
      <c r="B855" s="201"/>
    </row>
    <row r="856" spans="1:2" x14ac:dyDescent="0.25">
      <c r="A856" s="201"/>
      <c r="B856" s="201"/>
    </row>
    <row r="857" spans="1:2" x14ac:dyDescent="0.25">
      <c r="A857" s="201"/>
      <c r="B857" s="201"/>
    </row>
    <row r="858" spans="1:2" x14ac:dyDescent="0.25">
      <c r="A858" s="201"/>
      <c r="B858" s="201"/>
    </row>
    <row r="859" spans="1:2" x14ac:dyDescent="0.25">
      <c r="A859" s="201"/>
      <c r="B859" s="201"/>
    </row>
    <row r="860" spans="1:2" x14ac:dyDescent="0.25">
      <c r="A860" s="201"/>
      <c r="B860" s="201"/>
    </row>
    <row r="861" spans="1:2" x14ac:dyDescent="0.25">
      <c r="A861" s="201"/>
      <c r="B861" s="201"/>
    </row>
    <row r="862" spans="1:2" x14ac:dyDescent="0.25">
      <c r="A862" s="201"/>
      <c r="B862" s="201"/>
    </row>
    <row r="863" spans="1:2" x14ac:dyDescent="0.25">
      <c r="A863" s="201"/>
      <c r="B863" s="201"/>
    </row>
    <row r="864" spans="1:2" x14ac:dyDescent="0.25">
      <c r="A864" s="201"/>
      <c r="B864" s="201"/>
    </row>
    <row r="865" spans="1:2" x14ac:dyDescent="0.25">
      <c r="A865" s="201"/>
      <c r="B865" s="201"/>
    </row>
    <row r="866" spans="1:2" x14ac:dyDescent="0.25">
      <c r="A866" s="201"/>
      <c r="B866" s="201"/>
    </row>
    <row r="867" spans="1:2" x14ac:dyDescent="0.25">
      <c r="A867" s="201"/>
      <c r="B867" s="201"/>
    </row>
    <row r="868" spans="1:2" x14ac:dyDescent="0.25">
      <c r="A868" s="201"/>
      <c r="B868" s="201"/>
    </row>
    <row r="869" spans="1:2" x14ac:dyDescent="0.25">
      <c r="A869" s="201"/>
      <c r="B869" s="201"/>
    </row>
    <row r="870" spans="1:2" x14ac:dyDescent="0.25">
      <c r="A870" s="201"/>
      <c r="B870" s="201"/>
    </row>
    <row r="871" spans="1:2" x14ac:dyDescent="0.25">
      <c r="A871" s="201"/>
      <c r="B871" s="201"/>
    </row>
    <row r="872" spans="1:2" x14ac:dyDescent="0.25">
      <c r="A872" s="201"/>
      <c r="B872" s="201"/>
    </row>
    <row r="873" spans="1:2" x14ac:dyDescent="0.25">
      <c r="A873" s="201"/>
      <c r="B873" s="201"/>
    </row>
    <row r="874" spans="1:2" x14ac:dyDescent="0.25">
      <c r="A874" s="201"/>
      <c r="B874" s="201"/>
    </row>
    <row r="875" spans="1:2" x14ac:dyDescent="0.25">
      <c r="A875" s="201"/>
      <c r="B875" s="201"/>
    </row>
    <row r="876" spans="1:2" x14ac:dyDescent="0.25">
      <c r="A876" s="201"/>
      <c r="B876" s="201"/>
    </row>
    <row r="877" spans="1:2" x14ac:dyDescent="0.25">
      <c r="A877" s="201"/>
      <c r="B877" s="201"/>
    </row>
    <row r="878" spans="1:2" x14ac:dyDescent="0.25">
      <c r="A878" s="201"/>
      <c r="B878" s="201"/>
    </row>
    <row r="879" spans="1:2" x14ac:dyDescent="0.25">
      <c r="A879" s="201"/>
      <c r="B879" s="201"/>
    </row>
    <row r="880" spans="1:2" x14ac:dyDescent="0.25">
      <c r="A880" s="201"/>
      <c r="B880" s="201"/>
    </row>
    <row r="881" spans="1:2" x14ac:dyDescent="0.25">
      <c r="A881" s="201"/>
      <c r="B881" s="201"/>
    </row>
    <row r="882" spans="1:2" x14ac:dyDescent="0.25">
      <c r="A882" s="201"/>
      <c r="B882" s="201"/>
    </row>
    <row r="883" spans="1:2" x14ac:dyDescent="0.25">
      <c r="A883" s="201"/>
      <c r="B883" s="201"/>
    </row>
    <row r="884" spans="1:2" x14ac:dyDescent="0.25">
      <c r="A884" s="201"/>
      <c r="B884" s="201"/>
    </row>
    <row r="885" spans="1:2" x14ac:dyDescent="0.25">
      <c r="A885" s="201"/>
      <c r="B885" s="201"/>
    </row>
    <row r="886" spans="1:2" x14ac:dyDescent="0.25">
      <c r="A886" s="201"/>
      <c r="B886" s="201"/>
    </row>
    <row r="887" spans="1:2" x14ac:dyDescent="0.25">
      <c r="A887" s="201"/>
      <c r="B887" s="201"/>
    </row>
    <row r="888" spans="1:2" x14ac:dyDescent="0.25">
      <c r="A888" s="201"/>
      <c r="B888" s="201"/>
    </row>
    <row r="889" spans="1:2" x14ac:dyDescent="0.25">
      <c r="A889" s="201"/>
      <c r="B889" s="201"/>
    </row>
    <row r="890" spans="1:2" x14ac:dyDescent="0.25">
      <c r="A890" s="201"/>
      <c r="B890" s="201"/>
    </row>
    <row r="891" spans="1:2" x14ac:dyDescent="0.25">
      <c r="A891" s="201"/>
      <c r="B891" s="201"/>
    </row>
    <row r="892" spans="1:2" x14ac:dyDescent="0.25">
      <c r="A892" s="201"/>
      <c r="B892" s="201"/>
    </row>
    <row r="893" spans="1:2" x14ac:dyDescent="0.25">
      <c r="A893" s="201"/>
      <c r="B893" s="201"/>
    </row>
    <row r="894" spans="1:2" x14ac:dyDescent="0.25">
      <c r="A894" s="201"/>
      <c r="B894" s="201"/>
    </row>
    <row r="895" spans="1:2" x14ac:dyDescent="0.25">
      <c r="A895" s="201"/>
      <c r="B895" s="201"/>
    </row>
    <row r="896" spans="1:2" x14ac:dyDescent="0.25">
      <c r="A896" s="201"/>
      <c r="B896" s="201"/>
    </row>
    <row r="897" spans="1:2" x14ac:dyDescent="0.25">
      <c r="A897" s="201"/>
      <c r="B897" s="201"/>
    </row>
    <row r="898" spans="1:2" x14ac:dyDescent="0.25">
      <c r="A898" s="201"/>
      <c r="B898" s="201"/>
    </row>
    <row r="899" spans="1:2" x14ac:dyDescent="0.25">
      <c r="A899" s="201"/>
      <c r="B899" s="201"/>
    </row>
    <row r="900" spans="1:2" x14ac:dyDescent="0.25">
      <c r="A900" s="201"/>
      <c r="B900" s="201"/>
    </row>
    <row r="901" spans="1:2" x14ac:dyDescent="0.25">
      <c r="A901" s="201"/>
      <c r="B901" s="201"/>
    </row>
    <row r="902" spans="1:2" x14ac:dyDescent="0.25">
      <c r="A902" s="201"/>
      <c r="B902" s="201"/>
    </row>
    <row r="903" spans="1:2" x14ac:dyDescent="0.25">
      <c r="A903" s="201"/>
      <c r="B903" s="201"/>
    </row>
    <row r="904" spans="1:2" x14ac:dyDescent="0.25">
      <c r="A904" s="201"/>
      <c r="B904" s="201"/>
    </row>
    <row r="905" spans="1:2" x14ac:dyDescent="0.25">
      <c r="A905" s="201"/>
      <c r="B905" s="201"/>
    </row>
    <row r="906" spans="1:2" x14ac:dyDescent="0.25">
      <c r="A906" s="201"/>
      <c r="B906" s="201"/>
    </row>
    <row r="907" spans="1:2" x14ac:dyDescent="0.25">
      <c r="A907" s="201"/>
      <c r="B907" s="201"/>
    </row>
    <row r="908" spans="1:2" x14ac:dyDescent="0.25">
      <c r="A908" s="201"/>
      <c r="B908" s="201"/>
    </row>
    <row r="909" spans="1:2" x14ac:dyDescent="0.25">
      <c r="A909" s="201"/>
      <c r="B909" s="201"/>
    </row>
    <row r="910" spans="1:2" x14ac:dyDescent="0.25">
      <c r="A910" s="201"/>
      <c r="B910" s="201"/>
    </row>
    <row r="911" spans="1:2" x14ac:dyDescent="0.25">
      <c r="A911" s="201"/>
      <c r="B911" s="201"/>
    </row>
    <row r="912" spans="1:2" x14ac:dyDescent="0.25">
      <c r="A912" s="201"/>
      <c r="B912" s="201"/>
    </row>
    <row r="913" spans="1:2" x14ac:dyDescent="0.25">
      <c r="A913" s="201"/>
      <c r="B913" s="201"/>
    </row>
    <row r="914" spans="1:2" x14ac:dyDescent="0.25">
      <c r="A914" s="201"/>
      <c r="B914" s="201"/>
    </row>
    <row r="915" spans="1:2" x14ac:dyDescent="0.25">
      <c r="A915" s="201"/>
      <c r="B915" s="201"/>
    </row>
    <row r="916" spans="1:2" x14ac:dyDescent="0.25">
      <c r="A916" s="201"/>
      <c r="B916" s="201"/>
    </row>
    <row r="917" spans="1:2" x14ac:dyDescent="0.25">
      <c r="A917" s="201"/>
      <c r="B917" s="201"/>
    </row>
    <row r="918" spans="1:2" x14ac:dyDescent="0.25">
      <c r="A918" s="201"/>
      <c r="B918" s="201"/>
    </row>
    <row r="919" spans="1:2" x14ac:dyDescent="0.25">
      <c r="A919" s="201"/>
      <c r="B919" s="201"/>
    </row>
    <row r="920" spans="1:2" x14ac:dyDescent="0.25">
      <c r="A920" s="201"/>
      <c r="B920" s="201"/>
    </row>
    <row r="921" spans="1:2" x14ac:dyDescent="0.25">
      <c r="A921" s="201"/>
      <c r="B921" s="201"/>
    </row>
    <row r="922" spans="1:2" x14ac:dyDescent="0.25">
      <c r="A922" s="201"/>
      <c r="B922" s="201"/>
    </row>
    <row r="923" spans="1:2" x14ac:dyDescent="0.25">
      <c r="A923" s="201"/>
      <c r="B923" s="201"/>
    </row>
    <row r="924" spans="1:2" x14ac:dyDescent="0.25">
      <c r="A924" s="201"/>
      <c r="B924" s="201"/>
    </row>
    <row r="925" spans="1:2" x14ac:dyDescent="0.25">
      <c r="A925" s="201"/>
      <c r="B925" s="201"/>
    </row>
    <row r="926" spans="1:2" x14ac:dyDescent="0.25">
      <c r="A926" s="201"/>
      <c r="B926" s="201"/>
    </row>
    <row r="927" spans="1:2" x14ac:dyDescent="0.25">
      <c r="A927" s="201"/>
      <c r="B927" s="201"/>
    </row>
    <row r="928" spans="1:2" x14ac:dyDescent="0.25">
      <c r="A928" s="201"/>
      <c r="B928" s="201"/>
    </row>
    <row r="929" spans="1:2" x14ac:dyDescent="0.25">
      <c r="A929" s="201"/>
      <c r="B929" s="201"/>
    </row>
    <row r="930" spans="1:2" x14ac:dyDescent="0.25">
      <c r="A930" s="201"/>
      <c r="B930" s="201"/>
    </row>
    <row r="931" spans="1:2" x14ac:dyDescent="0.25">
      <c r="A931" s="201"/>
      <c r="B931" s="201"/>
    </row>
    <row r="932" spans="1:2" x14ac:dyDescent="0.25">
      <c r="A932" s="201"/>
      <c r="B932" s="201"/>
    </row>
    <row r="933" spans="1:2" x14ac:dyDescent="0.25">
      <c r="A933" s="201"/>
      <c r="B933" s="201"/>
    </row>
    <row r="934" spans="1:2" x14ac:dyDescent="0.25">
      <c r="A934" s="201"/>
      <c r="B934" s="201"/>
    </row>
    <row r="935" spans="1:2" x14ac:dyDescent="0.25">
      <c r="A935" s="201"/>
      <c r="B935" s="201"/>
    </row>
    <row r="936" spans="1:2" x14ac:dyDescent="0.25">
      <c r="A936" s="201"/>
      <c r="B936" s="201"/>
    </row>
    <row r="937" spans="1:2" x14ac:dyDescent="0.25">
      <c r="A937" s="201"/>
      <c r="B937" s="201"/>
    </row>
    <row r="938" spans="1:2" x14ac:dyDescent="0.25">
      <c r="A938" s="201"/>
      <c r="B938" s="201"/>
    </row>
    <row r="939" spans="1:2" x14ac:dyDescent="0.25">
      <c r="A939" s="201"/>
      <c r="B939" s="201"/>
    </row>
    <row r="940" spans="1:2" x14ac:dyDescent="0.25">
      <c r="A940" s="201"/>
      <c r="B940" s="201"/>
    </row>
    <row r="941" spans="1:2" x14ac:dyDescent="0.25">
      <c r="A941" s="201"/>
      <c r="B941" s="201"/>
    </row>
    <row r="942" spans="1:2" x14ac:dyDescent="0.25">
      <c r="A942" s="201"/>
      <c r="B942" s="201"/>
    </row>
    <row r="943" spans="1:2" x14ac:dyDescent="0.25">
      <c r="A943" s="201"/>
      <c r="B943" s="201"/>
    </row>
    <row r="944" spans="1:2" x14ac:dyDescent="0.25">
      <c r="A944" s="201"/>
      <c r="B944" s="201"/>
    </row>
    <row r="945" spans="1:2" x14ac:dyDescent="0.25">
      <c r="A945" s="201"/>
      <c r="B945" s="201"/>
    </row>
    <row r="946" spans="1:2" x14ac:dyDescent="0.25">
      <c r="A946" s="201"/>
      <c r="B946" s="201"/>
    </row>
    <row r="947" spans="1:2" x14ac:dyDescent="0.25">
      <c r="A947" s="201"/>
      <c r="B947" s="201"/>
    </row>
    <row r="948" spans="1:2" x14ac:dyDescent="0.25">
      <c r="A948" s="201"/>
      <c r="B948" s="201"/>
    </row>
    <row r="949" spans="1:2" x14ac:dyDescent="0.25">
      <c r="A949" s="201"/>
      <c r="B949" s="201"/>
    </row>
    <row r="950" spans="1:2" x14ac:dyDescent="0.25">
      <c r="A950" s="201"/>
      <c r="B950" s="201"/>
    </row>
    <row r="951" spans="1:2" x14ac:dyDescent="0.25">
      <c r="A951" s="201"/>
      <c r="B951" s="201"/>
    </row>
    <row r="952" spans="1:2" x14ac:dyDescent="0.25">
      <c r="A952" s="201"/>
      <c r="B952" s="201"/>
    </row>
    <row r="953" spans="1:2" x14ac:dyDescent="0.25">
      <c r="A953" s="201"/>
      <c r="B953" s="201"/>
    </row>
    <row r="954" spans="1:2" x14ac:dyDescent="0.25">
      <c r="A954" s="201"/>
      <c r="B954" s="201"/>
    </row>
    <row r="955" spans="1:2" x14ac:dyDescent="0.25">
      <c r="A955" s="201"/>
      <c r="B955" s="201"/>
    </row>
    <row r="956" spans="1:2" x14ac:dyDescent="0.25">
      <c r="A956" s="201"/>
      <c r="B956" s="201"/>
    </row>
    <row r="957" spans="1:2" x14ac:dyDescent="0.25">
      <c r="A957" s="201"/>
      <c r="B957" s="201"/>
    </row>
    <row r="958" spans="1:2" x14ac:dyDescent="0.25">
      <c r="A958" s="201"/>
      <c r="B958" s="201"/>
    </row>
    <row r="959" spans="1:2" x14ac:dyDescent="0.25">
      <c r="A959" s="201"/>
      <c r="B959" s="201"/>
    </row>
    <row r="960" spans="1:2" x14ac:dyDescent="0.25">
      <c r="A960" s="201"/>
      <c r="B960" s="201"/>
    </row>
    <row r="961" spans="1:2" x14ac:dyDescent="0.25">
      <c r="A961" s="201"/>
      <c r="B961" s="201"/>
    </row>
    <row r="962" spans="1:2" x14ac:dyDescent="0.25">
      <c r="A962" s="201"/>
      <c r="B962" s="201"/>
    </row>
    <row r="963" spans="1:2" x14ac:dyDescent="0.25">
      <c r="A963" s="201"/>
      <c r="B963" s="201"/>
    </row>
    <row r="964" spans="1:2" x14ac:dyDescent="0.25">
      <c r="A964" s="201"/>
      <c r="B964" s="201"/>
    </row>
    <row r="965" spans="1:2" x14ac:dyDescent="0.25">
      <c r="A965" s="201"/>
      <c r="B965" s="201"/>
    </row>
    <row r="966" spans="1:2" x14ac:dyDescent="0.25">
      <c r="A966" s="201"/>
      <c r="B966" s="201"/>
    </row>
    <row r="967" spans="1:2" x14ac:dyDescent="0.25">
      <c r="A967" s="201"/>
      <c r="B967" s="201"/>
    </row>
    <row r="968" spans="1:2" x14ac:dyDescent="0.25">
      <c r="A968" s="201"/>
      <c r="B968" s="201"/>
    </row>
    <row r="969" spans="1:2" x14ac:dyDescent="0.25">
      <c r="A969" s="201"/>
      <c r="B969" s="201"/>
    </row>
    <row r="970" spans="1:2" x14ac:dyDescent="0.25">
      <c r="A970" s="201"/>
      <c r="B970" s="201"/>
    </row>
    <row r="971" spans="1:2" x14ac:dyDescent="0.25">
      <c r="A971" s="201"/>
      <c r="B971" s="201"/>
    </row>
    <row r="972" spans="1:2" x14ac:dyDescent="0.25">
      <c r="A972" s="201"/>
      <c r="B972" s="201"/>
    </row>
    <row r="973" spans="1:2" x14ac:dyDescent="0.25">
      <c r="A973" s="201"/>
      <c r="B973" s="201"/>
    </row>
    <row r="974" spans="1:2" x14ac:dyDescent="0.25">
      <c r="A974" s="201"/>
      <c r="B974" s="201"/>
    </row>
    <row r="975" spans="1:2" x14ac:dyDescent="0.25">
      <c r="A975" s="201"/>
      <c r="B975" s="201"/>
    </row>
    <row r="976" spans="1:2" x14ac:dyDescent="0.25">
      <c r="A976" s="201"/>
      <c r="B976" s="201"/>
    </row>
    <row r="977" spans="1:2" x14ac:dyDescent="0.25">
      <c r="A977" s="201"/>
      <c r="B977" s="201"/>
    </row>
    <row r="978" spans="1:2" x14ac:dyDescent="0.25">
      <c r="A978" s="201"/>
      <c r="B978" s="201"/>
    </row>
    <row r="979" spans="1:2" x14ac:dyDescent="0.25">
      <c r="A979" s="201"/>
      <c r="B979" s="201"/>
    </row>
    <row r="980" spans="1:2" x14ac:dyDescent="0.25">
      <c r="A980" s="201"/>
      <c r="B980" s="201"/>
    </row>
    <row r="981" spans="1:2" x14ac:dyDescent="0.25">
      <c r="A981" s="201"/>
      <c r="B981" s="201"/>
    </row>
    <row r="982" spans="1:2" x14ac:dyDescent="0.25">
      <c r="A982" s="201"/>
      <c r="B982" s="201"/>
    </row>
    <row r="983" spans="1:2" x14ac:dyDescent="0.25">
      <c r="A983" s="201"/>
      <c r="B983" s="201"/>
    </row>
    <row r="984" spans="1:2" x14ac:dyDescent="0.25">
      <c r="A984" s="201"/>
      <c r="B984" s="201"/>
    </row>
    <row r="985" spans="1:2" x14ac:dyDescent="0.25">
      <c r="A985" s="201"/>
      <c r="B985" s="201"/>
    </row>
    <row r="986" spans="1:2" x14ac:dyDescent="0.25">
      <c r="A986" s="201"/>
      <c r="B986" s="201"/>
    </row>
    <row r="987" spans="1:2" x14ac:dyDescent="0.25">
      <c r="A987" s="201"/>
      <c r="B987" s="201"/>
    </row>
    <row r="988" spans="1:2" x14ac:dyDescent="0.25">
      <c r="A988" s="201"/>
      <c r="B988" s="201"/>
    </row>
    <row r="989" spans="1:2" x14ac:dyDescent="0.25">
      <c r="A989" s="201"/>
      <c r="B989" s="201"/>
    </row>
    <row r="990" spans="1:2" x14ac:dyDescent="0.25">
      <c r="A990" s="201"/>
      <c r="B990" s="201"/>
    </row>
    <row r="991" spans="1:2" x14ac:dyDescent="0.25">
      <c r="A991" s="201"/>
      <c r="B991" s="201"/>
    </row>
    <row r="992" spans="1:2" x14ac:dyDescent="0.25">
      <c r="A992" s="201"/>
      <c r="B992" s="201"/>
    </row>
    <row r="993" spans="1:2" x14ac:dyDescent="0.25">
      <c r="A993" s="201"/>
      <c r="B993" s="201"/>
    </row>
    <row r="994" spans="1:2" x14ac:dyDescent="0.25">
      <c r="A994" s="201"/>
      <c r="B994" s="201"/>
    </row>
    <row r="995" spans="1:2" x14ac:dyDescent="0.25">
      <c r="A995" s="201"/>
      <c r="B995" s="201"/>
    </row>
    <row r="996" spans="1:2" x14ac:dyDescent="0.25">
      <c r="A996" s="201"/>
      <c r="B996" s="201"/>
    </row>
    <row r="997" spans="1:2" x14ac:dyDescent="0.25">
      <c r="A997" s="201"/>
      <c r="B997" s="201"/>
    </row>
    <row r="998" spans="1:2" x14ac:dyDescent="0.25">
      <c r="A998" s="201"/>
      <c r="B998" s="201"/>
    </row>
    <row r="999" spans="1:2" x14ac:dyDescent="0.25">
      <c r="A999" s="201"/>
      <c r="B999" s="201"/>
    </row>
    <row r="1000" spans="1:2" x14ac:dyDescent="0.25">
      <c r="A1000" s="201"/>
      <c r="B1000" s="201"/>
    </row>
    <row r="1001" spans="1:2" x14ac:dyDescent="0.25">
      <c r="A1001" s="201"/>
      <c r="B1001" s="201"/>
    </row>
    <row r="1002" spans="1:2" x14ac:dyDescent="0.25">
      <c r="A1002" s="201"/>
      <c r="B1002" s="201"/>
    </row>
    <row r="1003" spans="1:2" x14ac:dyDescent="0.25">
      <c r="A1003" s="201"/>
      <c r="B1003" s="201"/>
    </row>
    <row r="1004" spans="1:2" x14ac:dyDescent="0.25">
      <c r="A1004" s="201"/>
      <c r="B1004" s="201"/>
    </row>
    <row r="1005" spans="1:2" x14ac:dyDescent="0.25">
      <c r="A1005" s="201"/>
      <c r="B1005" s="201"/>
    </row>
    <row r="1006" spans="1:2" x14ac:dyDescent="0.25">
      <c r="A1006" s="201"/>
      <c r="B1006" s="201"/>
    </row>
    <row r="1007" spans="1:2" x14ac:dyDescent="0.25">
      <c r="A1007" s="201"/>
      <c r="B1007" s="201"/>
    </row>
    <row r="1008" spans="1:2" x14ac:dyDescent="0.25">
      <c r="A1008" s="201"/>
      <c r="B1008" s="201"/>
    </row>
    <row r="1009" spans="1:2" x14ac:dyDescent="0.25">
      <c r="A1009" s="201"/>
      <c r="B1009" s="201"/>
    </row>
    <row r="1010" spans="1:2" x14ac:dyDescent="0.25">
      <c r="A1010" s="201"/>
      <c r="B1010" s="201"/>
    </row>
    <row r="1011" spans="1:2" x14ac:dyDescent="0.25">
      <c r="A1011" s="201"/>
      <c r="B1011" s="201"/>
    </row>
    <row r="1012" spans="1:2" x14ac:dyDescent="0.25">
      <c r="A1012" s="201"/>
      <c r="B1012" s="201"/>
    </row>
    <row r="1013" spans="1:2" x14ac:dyDescent="0.25">
      <c r="A1013" s="201"/>
      <c r="B1013" s="201"/>
    </row>
    <row r="1014" spans="1:2" x14ac:dyDescent="0.25">
      <c r="A1014" s="201"/>
      <c r="B1014" s="201"/>
    </row>
    <row r="1015" spans="1:2" x14ac:dyDescent="0.25">
      <c r="A1015" s="201"/>
      <c r="B1015" s="201"/>
    </row>
    <row r="1016" spans="1:2" x14ac:dyDescent="0.25">
      <c r="A1016" s="201"/>
      <c r="B1016" s="201"/>
    </row>
    <row r="1017" spans="1:2" x14ac:dyDescent="0.25">
      <c r="A1017" s="201"/>
      <c r="B1017" s="201"/>
    </row>
    <row r="1018" spans="1:2" x14ac:dyDescent="0.25">
      <c r="A1018" s="201"/>
      <c r="B1018" s="201"/>
    </row>
    <row r="1019" spans="1:2" x14ac:dyDescent="0.25">
      <c r="A1019" s="201"/>
      <c r="B1019" s="201"/>
    </row>
    <row r="1020" spans="1:2" x14ac:dyDescent="0.25">
      <c r="A1020" s="201"/>
      <c r="B1020" s="201"/>
    </row>
    <row r="1021" spans="1:2" x14ac:dyDescent="0.25">
      <c r="A1021" s="201"/>
      <c r="B1021" s="201"/>
    </row>
    <row r="1022" spans="1:2" x14ac:dyDescent="0.25">
      <c r="A1022" s="201"/>
      <c r="B1022" s="201"/>
    </row>
    <row r="1023" spans="1:2" x14ac:dyDescent="0.25">
      <c r="A1023" s="201"/>
      <c r="B1023" s="201"/>
    </row>
    <row r="1024" spans="1:2" x14ac:dyDescent="0.25">
      <c r="A1024" s="201"/>
      <c r="B1024" s="201"/>
    </row>
    <row r="1025" spans="1:2" x14ac:dyDescent="0.25">
      <c r="A1025" s="201"/>
      <c r="B1025" s="201"/>
    </row>
    <row r="1026" spans="1:2" x14ac:dyDescent="0.25">
      <c r="A1026" s="201"/>
      <c r="B1026" s="201"/>
    </row>
    <row r="1027" spans="1:2" x14ac:dyDescent="0.25">
      <c r="A1027" s="201"/>
      <c r="B1027" s="201"/>
    </row>
    <row r="1028" spans="1:2" x14ac:dyDescent="0.25">
      <c r="A1028" s="201"/>
      <c r="B1028" s="201"/>
    </row>
    <row r="1029" spans="1:2" x14ac:dyDescent="0.25">
      <c r="A1029" s="201"/>
      <c r="B1029" s="201"/>
    </row>
    <row r="1030" spans="1:2" x14ac:dyDescent="0.25">
      <c r="A1030" s="201"/>
      <c r="B1030" s="201"/>
    </row>
    <row r="1031" spans="1:2" x14ac:dyDescent="0.25">
      <c r="A1031" s="201"/>
      <c r="B1031" s="201"/>
    </row>
    <row r="1032" spans="1:2" x14ac:dyDescent="0.25">
      <c r="A1032" s="201"/>
      <c r="B1032" s="201"/>
    </row>
    <row r="1033" spans="1:2" x14ac:dyDescent="0.25">
      <c r="A1033" s="201"/>
      <c r="B1033" s="201"/>
    </row>
    <row r="1034" spans="1:2" x14ac:dyDescent="0.25">
      <c r="A1034" s="201"/>
      <c r="B1034" s="201"/>
    </row>
    <row r="1035" spans="1:2" x14ac:dyDescent="0.25">
      <c r="A1035" s="201"/>
      <c r="B1035" s="201"/>
    </row>
    <row r="1036" spans="1:2" x14ac:dyDescent="0.25">
      <c r="A1036" s="201"/>
      <c r="B1036" s="201"/>
    </row>
    <row r="1037" spans="1:2" x14ac:dyDescent="0.25">
      <c r="A1037" s="201"/>
      <c r="B1037" s="201"/>
    </row>
    <row r="1038" spans="1:2" x14ac:dyDescent="0.25">
      <c r="A1038" s="201"/>
      <c r="B1038" s="201"/>
    </row>
    <row r="1039" spans="1:2" x14ac:dyDescent="0.25">
      <c r="A1039" s="201"/>
      <c r="B1039" s="201"/>
    </row>
    <row r="1040" spans="1:2" x14ac:dyDescent="0.25">
      <c r="A1040" s="201"/>
      <c r="B1040" s="201"/>
    </row>
    <row r="1041" spans="1:2" x14ac:dyDescent="0.25">
      <c r="A1041" s="201"/>
      <c r="B1041" s="201"/>
    </row>
    <row r="1042" spans="1:2" x14ac:dyDescent="0.25">
      <c r="A1042" s="201"/>
      <c r="B1042" s="201"/>
    </row>
    <row r="1043" spans="1:2" x14ac:dyDescent="0.25">
      <c r="A1043" s="201"/>
      <c r="B1043" s="201"/>
    </row>
    <row r="1044" spans="1:2" x14ac:dyDescent="0.25">
      <c r="A1044" s="201"/>
      <c r="B1044" s="201"/>
    </row>
    <row r="1045" spans="1:2" x14ac:dyDescent="0.25">
      <c r="A1045" s="201"/>
      <c r="B1045" s="201"/>
    </row>
    <row r="1046" spans="1:2" x14ac:dyDescent="0.25">
      <c r="A1046" s="201"/>
      <c r="B1046" s="201"/>
    </row>
    <row r="1047" spans="1:2" x14ac:dyDescent="0.25">
      <c r="A1047" s="201"/>
      <c r="B1047" s="201"/>
    </row>
    <row r="1048" spans="1:2" x14ac:dyDescent="0.25">
      <c r="A1048" s="201"/>
      <c r="B1048" s="201"/>
    </row>
    <row r="1049" spans="1:2" x14ac:dyDescent="0.25">
      <c r="A1049" s="201"/>
      <c r="B1049" s="201"/>
    </row>
    <row r="1050" spans="1:2" x14ac:dyDescent="0.25">
      <c r="A1050" s="201"/>
      <c r="B1050" s="201"/>
    </row>
    <row r="1051" spans="1:2" x14ac:dyDescent="0.25">
      <c r="A1051" s="201"/>
      <c r="B1051" s="201"/>
    </row>
    <row r="1052" spans="1:2" x14ac:dyDescent="0.25">
      <c r="A1052" s="201"/>
      <c r="B1052" s="201"/>
    </row>
    <row r="1053" spans="1:2" x14ac:dyDescent="0.25">
      <c r="A1053" s="201"/>
      <c r="B1053" s="201"/>
    </row>
    <row r="1054" spans="1:2" x14ac:dyDescent="0.25">
      <c r="A1054" s="201"/>
      <c r="B1054" s="201"/>
    </row>
    <row r="1055" spans="1:2" x14ac:dyDescent="0.25">
      <c r="A1055" s="201"/>
      <c r="B1055" s="201"/>
    </row>
    <row r="1056" spans="1:2" x14ac:dyDescent="0.25">
      <c r="A1056" s="201"/>
      <c r="B1056" s="201"/>
    </row>
    <row r="1057" spans="1:2" x14ac:dyDescent="0.25">
      <c r="A1057" s="201"/>
      <c r="B1057" s="201"/>
    </row>
    <row r="1058" spans="1:2" x14ac:dyDescent="0.25">
      <c r="A1058" s="201"/>
      <c r="B1058" s="201"/>
    </row>
    <row r="1059" spans="1:2" x14ac:dyDescent="0.25">
      <c r="A1059" s="201"/>
      <c r="B1059" s="201"/>
    </row>
    <row r="1060" spans="1:2" x14ac:dyDescent="0.25">
      <c r="A1060" s="201"/>
      <c r="B1060" s="201"/>
    </row>
    <row r="1061" spans="1:2" x14ac:dyDescent="0.25">
      <c r="A1061" s="201"/>
      <c r="B1061" s="201"/>
    </row>
    <row r="1062" spans="1:2" x14ac:dyDescent="0.25">
      <c r="A1062" s="201"/>
      <c r="B1062" s="201"/>
    </row>
    <row r="1063" spans="1:2" x14ac:dyDescent="0.25">
      <c r="A1063" s="201"/>
      <c r="B1063" s="201"/>
    </row>
    <row r="1064" spans="1:2" x14ac:dyDescent="0.25">
      <c r="A1064" s="201"/>
      <c r="B1064" s="201"/>
    </row>
    <row r="1065" spans="1:2" x14ac:dyDescent="0.25">
      <c r="A1065" s="201"/>
      <c r="B1065" s="201"/>
    </row>
    <row r="1066" spans="1:2" x14ac:dyDescent="0.25">
      <c r="A1066" s="201"/>
      <c r="B1066" s="201"/>
    </row>
    <row r="1067" spans="1:2" x14ac:dyDescent="0.25">
      <c r="A1067" s="201"/>
      <c r="B1067" s="201"/>
    </row>
    <row r="1068" spans="1:2" x14ac:dyDescent="0.25">
      <c r="A1068" s="201"/>
      <c r="B1068" s="201"/>
    </row>
    <row r="1069" spans="1:2" x14ac:dyDescent="0.25">
      <c r="A1069" s="201"/>
      <c r="B1069" s="201"/>
    </row>
    <row r="1070" spans="1:2" x14ac:dyDescent="0.25">
      <c r="A1070" s="201"/>
      <c r="B1070" s="201"/>
    </row>
    <row r="1071" spans="1:2" x14ac:dyDescent="0.25">
      <c r="A1071" s="201"/>
      <c r="B1071" s="201"/>
    </row>
    <row r="1072" spans="1:2" x14ac:dyDescent="0.25">
      <c r="A1072" s="201"/>
      <c r="B1072" s="201"/>
    </row>
    <row r="1073" spans="1:2" x14ac:dyDescent="0.25">
      <c r="A1073" s="201"/>
      <c r="B1073" s="201"/>
    </row>
    <row r="1074" spans="1:2" x14ac:dyDescent="0.25">
      <c r="A1074" s="201"/>
      <c r="B1074" s="201"/>
    </row>
    <row r="1075" spans="1:2" x14ac:dyDescent="0.25">
      <c r="A1075" s="201"/>
      <c r="B1075" s="201"/>
    </row>
    <row r="1076" spans="1:2" x14ac:dyDescent="0.25">
      <c r="A1076" s="201"/>
      <c r="B1076" s="201"/>
    </row>
    <row r="1077" spans="1:2" x14ac:dyDescent="0.25">
      <c r="A1077" s="201"/>
      <c r="B1077" s="201"/>
    </row>
    <row r="1078" spans="1:2" x14ac:dyDescent="0.25">
      <c r="A1078" s="201"/>
      <c r="B1078" s="201"/>
    </row>
    <row r="1079" spans="1:2" x14ac:dyDescent="0.25">
      <c r="A1079" s="201"/>
      <c r="B1079" s="201"/>
    </row>
    <row r="1080" spans="1:2" x14ac:dyDescent="0.25">
      <c r="A1080" s="201"/>
      <c r="B1080" s="201"/>
    </row>
    <row r="1081" spans="1:2" x14ac:dyDescent="0.25">
      <c r="A1081" s="201"/>
      <c r="B1081" s="201"/>
    </row>
    <row r="1082" spans="1:2" x14ac:dyDescent="0.25">
      <c r="A1082" s="201"/>
      <c r="B1082" s="201"/>
    </row>
    <row r="1083" spans="1:2" x14ac:dyDescent="0.25">
      <c r="A1083" s="201"/>
      <c r="B1083" s="201"/>
    </row>
    <row r="1084" spans="1:2" x14ac:dyDescent="0.25">
      <c r="A1084" s="201"/>
      <c r="B1084" s="201"/>
    </row>
    <row r="1085" spans="1:2" x14ac:dyDescent="0.25">
      <c r="A1085" s="201"/>
      <c r="B1085" s="201"/>
    </row>
    <row r="1086" spans="1:2" x14ac:dyDescent="0.25">
      <c r="A1086" s="201"/>
      <c r="B1086" s="201"/>
    </row>
    <row r="1087" spans="1:2" x14ac:dyDescent="0.25">
      <c r="A1087" s="201"/>
      <c r="B1087" s="201"/>
    </row>
    <row r="1088" spans="1:2" x14ac:dyDescent="0.25">
      <c r="A1088" s="201"/>
      <c r="B1088" s="201"/>
    </row>
    <row r="1089" spans="1:2" x14ac:dyDescent="0.25">
      <c r="A1089" s="201"/>
      <c r="B1089" s="201"/>
    </row>
    <row r="1090" spans="1:2" x14ac:dyDescent="0.25">
      <c r="A1090" s="201"/>
      <c r="B1090" s="201"/>
    </row>
    <row r="1091" spans="1:2" x14ac:dyDescent="0.25">
      <c r="A1091" s="201"/>
      <c r="B1091" s="201"/>
    </row>
    <row r="1092" spans="1:2" x14ac:dyDescent="0.25">
      <c r="A1092" s="201"/>
      <c r="B1092" s="201"/>
    </row>
    <row r="1093" spans="1:2" x14ac:dyDescent="0.25">
      <c r="A1093" s="201"/>
      <c r="B1093" s="201"/>
    </row>
    <row r="1094" spans="1:2" x14ac:dyDescent="0.25">
      <c r="A1094" s="201"/>
      <c r="B1094" s="201"/>
    </row>
    <row r="1095" spans="1:2" x14ac:dyDescent="0.25">
      <c r="A1095" s="201"/>
      <c r="B1095" s="201"/>
    </row>
    <row r="1096" spans="1:2" x14ac:dyDescent="0.25">
      <c r="A1096" s="201"/>
      <c r="B1096" s="201"/>
    </row>
    <row r="1097" spans="1:2" x14ac:dyDescent="0.25">
      <c r="A1097" s="201"/>
      <c r="B1097" s="201"/>
    </row>
    <row r="1098" spans="1:2" x14ac:dyDescent="0.25">
      <c r="A1098" s="201"/>
      <c r="B1098" s="201"/>
    </row>
    <row r="1099" spans="1:2" x14ac:dyDescent="0.25">
      <c r="A1099" s="201"/>
      <c r="B1099" s="201"/>
    </row>
    <row r="1100" spans="1:2" x14ac:dyDescent="0.25">
      <c r="A1100" s="201"/>
      <c r="B1100" s="201"/>
    </row>
    <row r="1101" spans="1:2" x14ac:dyDescent="0.25">
      <c r="A1101" s="201"/>
      <c r="B1101" s="201"/>
    </row>
    <row r="1102" spans="1:2" x14ac:dyDescent="0.25">
      <c r="A1102" s="201"/>
      <c r="B1102" s="201"/>
    </row>
    <row r="1103" spans="1:2" x14ac:dyDescent="0.25">
      <c r="A1103" s="201"/>
      <c r="B1103" s="201"/>
    </row>
    <row r="1104" spans="1:2" x14ac:dyDescent="0.25">
      <c r="A1104" s="201"/>
      <c r="B1104" s="201"/>
    </row>
    <row r="1105" spans="1:2" x14ac:dyDescent="0.25">
      <c r="A1105" s="201"/>
      <c r="B1105" s="201"/>
    </row>
    <row r="1106" spans="1:2" x14ac:dyDescent="0.25">
      <c r="A1106" s="201"/>
      <c r="B1106" s="201"/>
    </row>
    <row r="1107" spans="1:2" x14ac:dyDescent="0.25">
      <c r="A1107" s="201"/>
      <c r="B1107" s="201"/>
    </row>
    <row r="1108" spans="1:2" x14ac:dyDescent="0.25">
      <c r="A1108" s="201"/>
      <c r="B1108" s="201"/>
    </row>
    <row r="1109" spans="1:2" x14ac:dyDescent="0.25">
      <c r="A1109" s="201"/>
      <c r="B1109" s="201"/>
    </row>
    <row r="1110" spans="1:2" x14ac:dyDescent="0.25">
      <c r="A1110" s="201"/>
      <c r="B1110" s="201"/>
    </row>
    <row r="1111" spans="1:2" x14ac:dyDescent="0.25">
      <c r="A1111" s="201"/>
      <c r="B1111" s="201"/>
    </row>
    <row r="1112" spans="1:2" x14ac:dyDescent="0.25">
      <c r="A1112" s="201"/>
      <c r="B1112" s="201"/>
    </row>
    <row r="1113" spans="1:2" x14ac:dyDescent="0.25">
      <c r="A1113" s="201"/>
      <c r="B1113" s="201"/>
    </row>
    <row r="1114" spans="1:2" x14ac:dyDescent="0.25">
      <c r="A1114" s="201"/>
      <c r="B1114" s="201"/>
    </row>
    <row r="1115" spans="1:2" x14ac:dyDescent="0.25">
      <c r="A1115" s="201"/>
      <c r="B1115" s="201"/>
    </row>
    <row r="1116" spans="1:2" x14ac:dyDescent="0.25">
      <c r="A1116" s="201"/>
      <c r="B1116" s="201"/>
    </row>
    <row r="1117" spans="1:2" x14ac:dyDescent="0.25">
      <c r="A1117" s="201"/>
      <c r="B1117" s="201"/>
    </row>
    <row r="1118" spans="1:2" x14ac:dyDescent="0.25">
      <c r="A1118" s="201"/>
      <c r="B1118" s="201"/>
    </row>
    <row r="1119" spans="1:2" x14ac:dyDescent="0.25">
      <c r="A1119" s="201"/>
      <c r="B1119" s="201"/>
    </row>
    <row r="1120" spans="1:2" x14ac:dyDescent="0.25">
      <c r="A1120" s="201"/>
      <c r="B1120" s="201"/>
    </row>
    <row r="1121" spans="1:2" x14ac:dyDescent="0.25">
      <c r="A1121" s="201"/>
      <c r="B1121" s="201"/>
    </row>
    <row r="1122" spans="1:2" x14ac:dyDescent="0.25">
      <c r="A1122" s="201"/>
      <c r="B1122" s="201"/>
    </row>
    <row r="1123" spans="1:2" x14ac:dyDescent="0.25">
      <c r="A1123" s="201"/>
      <c r="B1123" s="201"/>
    </row>
    <row r="1124" spans="1:2" x14ac:dyDescent="0.25">
      <c r="A1124" s="201"/>
      <c r="B1124" s="201"/>
    </row>
    <row r="1125" spans="1:2" x14ac:dyDescent="0.25">
      <c r="A1125" s="201"/>
      <c r="B1125" s="201"/>
    </row>
    <row r="1126" spans="1:2" x14ac:dyDescent="0.25">
      <c r="A1126" s="201"/>
      <c r="B1126" s="201"/>
    </row>
    <row r="1127" spans="1:2" x14ac:dyDescent="0.25">
      <c r="A1127" s="201"/>
      <c r="B1127" s="201"/>
    </row>
    <row r="1128" spans="1:2" x14ac:dyDescent="0.25">
      <c r="A1128" s="201"/>
      <c r="B1128" s="201"/>
    </row>
    <row r="1129" spans="1:2" x14ac:dyDescent="0.25">
      <c r="A1129" s="201"/>
      <c r="B1129" s="201"/>
    </row>
    <row r="1130" spans="1:2" x14ac:dyDescent="0.25">
      <c r="A1130" s="201"/>
      <c r="B1130" s="201"/>
    </row>
    <row r="1131" spans="1:2" x14ac:dyDescent="0.25">
      <c r="A1131" s="201"/>
      <c r="B1131" s="201"/>
    </row>
    <row r="1132" spans="1:2" x14ac:dyDescent="0.25">
      <c r="A1132" s="201"/>
      <c r="B1132" s="201"/>
    </row>
    <row r="1133" spans="1:2" x14ac:dyDescent="0.25">
      <c r="A1133" s="201"/>
      <c r="B1133" s="201"/>
    </row>
    <row r="1134" spans="1:2" x14ac:dyDescent="0.25">
      <c r="A1134" s="201"/>
      <c r="B1134" s="201"/>
    </row>
    <row r="1135" spans="1:2" x14ac:dyDescent="0.25">
      <c r="A1135" s="201"/>
      <c r="B1135" s="201"/>
    </row>
    <row r="1136" spans="1:2" x14ac:dyDescent="0.25">
      <c r="A1136" s="201"/>
      <c r="B1136" s="201"/>
    </row>
    <row r="1137" spans="1:2" x14ac:dyDescent="0.25">
      <c r="A1137" s="201"/>
      <c r="B1137" s="201"/>
    </row>
    <row r="1138" spans="1:2" x14ac:dyDescent="0.25">
      <c r="A1138" s="201"/>
      <c r="B1138" s="201"/>
    </row>
    <row r="1139" spans="1:2" x14ac:dyDescent="0.25">
      <c r="A1139" s="201"/>
      <c r="B1139" s="201"/>
    </row>
    <row r="1140" spans="1:2" x14ac:dyDescent="0.25">
      <c r="A1140" s="201"/>
      <c r="B1140" s="201"/>
    </row>
    <row r="1141" spans="1:2" x14ac:dyDescent="0.25">
      <c r="A1141" s="201"/>
      <c r="B1141" s="201"/>
    </row>
    <row r="1142" spans="1:2" x14ac:dyDescent="0.25">
      <c r="A1142" s="201"/>
      <c r="B1142" s="201"/>
    </row>
    <row r="1143" spans="1:2" x14ac:dyDescent="0.25">
      <c r="A1143" s="201"/>
      <c r="B1143" s="201"/>
    </row>
    <row r="1144" spans="1:2" x14ac:dyDescent="0.25">
      <c r="A1144" s="201"/>
      <c r="B1144" s="201"/>
    </row>
    <row r="1145" spans="1:2" x14ac:dyDescent="0.25">
      <c r="A1145" s="201"/>
      <c r="B1145" s="201"/>
    </row>
    <row r="1146" spans="1:2" x14ac:dyDescent="0.25">
      <c r="A1146" s="201"/>
      <c r="B1146" s="201"/>
    </row>
    <row r="1147" spans="1:2" x14ac:dyDescent="0.25">
      <c r="A1147" s="201"/>
      <c r="B1147" s="201"/>
    </row>
    <row r="1148" spans="1:2" x14ac:dyDescent="0.25">
      <c r="A1148" s="201"/>
      <c r="B1148" s="201"/>
    </row>
    <row r="1149" spans="1:2" x14ac:dyDescent="0.25">
      <c r="A1149" s="201"/>
      <c r="B1149" s="201"/>
    </row>
    <row r="1150" spans="1:2" x14ac:dyDescent="0.25">
      <c r="A1150" s="201"/>
      <c r="B1150" s="201"/>
    </row>
    <row r="1151" spans="1:2" x14ac:dyDescent="0.25">
      <c r="A1151" s="201"/>
      <c r="B1151" s="201"/>
    </row>
    <row r="1152" spans="1:2" x14ac:dyDescent="0.25">
      <c r="A1152" s="201"/>
      <c r="B1152" s="201"/>
    </row>
    <row r="1153" spans="1:2" x14ac:dyDescent="0.25">
      <c r="A1153" s="201"/>
      <c r="B1153" s="201"/>
    </row>
    <row r="1154" spans="1:2" x14ac:dyDescent="0.25">
      <c r="A1154" s="201"/>
      <c r="B1154" s="201"/>
    </row>
    <row r="1155" spans="1:2" x14ac:dyDescent="0.25">
      <c r="A1155" s="201"/>
      <c r="B1155" s="201"/>
    </row>
    <row r="1156" spans="1:2" x14ac:dyDescent="0.25">
      <c r="A1156" s="201"/>
      <c r="B1156" s="201"/>
    </row>
    <row r="1157" spans="1:2" x14ac:dyDescent="0.25">
      <c r="A1157" s="201"/>
      <c r="B1157" s="201"/>
    </row>
    <row r="1158" spans="1:2" x14ac:dyDescent="0.25">
      <c r="A1158" s="201"/>
      <c r="B1158" s="201"/>
    </row>
    <row r="1159" spans="1:2" x14ac:dyDescent="0.25">
      <c r="A1159" s="201"/>
      <c r="B1159" s="201"/>
    </row>
    <row r="1160" spans="1:2" x14ac:dyDescent="0.25">
      <c r="A1160" s="201"/>
      <c r="B1160" s="201"/>
    </row>
    <row r="1161" spans="1:2" x14ac:dyDescent="0.25">
      <c r="A1161" s="201"/>
      <c r="B1161" s="201"/>
    </row>
    <row r="1162" spans="1:2" x14ac:dyDescent="0.25">
      <c r="A1162" s="201"/>
      <c r="B1162" s="201"/>
    </row>
    <row r="1163" spans="1:2" x14ac:dyDescent="0.25">
      <c r="A1163" s="201"/>
      <c r="B1163" s="201"/>
    </row>
    <row r="1164" spans="1:2" x14ac:dyDescent="0.25">
      <c r="A1164" s="201"/>
      <c r="B1164" s="201"/>
    </row>
    <row r="1165" spans="1:2" x14ac:dyDescent="0.25">
      <c r="A1165" s="201"/>
      <c r="B1165" s="201"/>
    </row>
    <row r="1166" spans="1:2" x14ac:dyDescent="0.25">
      <c r="A1166" s="201"/>
      <c r="B1166" s="201"/>
    </row>
    <row r="1167" spans="1:2" x14ac:dyDescent="0.25">
      <c r="A1167" s="201"/>
      <c r="B1167" s="201"/>
    </row>
    <row r="1168" spans="1:2" x14ac:dyDescent="0.25">
      <c r="A1168" s="201"/>
      <c r="B1168" s="201"/>
    </row>
    <row r="1169" spans="1:2" x14ac:dyDescent="0.25">
      <c r="A1169" s="201"/>
      <c r="B1169" s="201"/>
    </row>
    <row r="1170" spans="1:2" x14ac:dyDescent="0.25">
      <c r="A1170" s="201"/>
      <c r="B1170" s="201"/>
    </row>
    <row r="1171" spans="1:2" x14ac:dyDescent="0.25">
      <c r="A1171" s="201"/>
      <c r="B1171" s="201"/>
    </row>
    <row r="1172" spans="1:2" x14ac:dyDescent="0.25">
      <c r="A1172" s="201"/>
      <c r="B1172" s="201"/>
    </row>
    <row r="1173" spans="1:2" x14ac:dyDescent="0.25">
      <c r="A1173" s="201"/>
      <c r="B1173" s="201"/>
    </row>
    <row r="1174" spans="1:2" x14ac:dyDescent="0.25">
      <c r="A1174" s="201"/>
      <c r="B1174" s="201"/>
    </row>
    <row r="1175" spans="1:2" x14ac:dyDescent="0.25">
      <c r="A1175" s="201"/>
      <c r="B1175" s="201"/>
    </row>
    <row r="1176" spans="1:2" x14ac:dyDescent="0.25">
      <c r="A1176" s="201"/>
      <c r="B1176" s="201"/>
    </row>
    <row r="1177" spans="1:2" x14ac:dyDescent="0.25">
      <c r="A1177" s="201"/>
      <c r="B1177" s="201"/>
    </row>
    <row r="1178" spans="1:2" x14ac:dyDescent="0.25">
      <c r="A1178" s="201"/>
      <c r="B1178" s="201"/>
    </row>
    <row r="1179" spans="1:2" x14ac:dyDescent="0.25">
      <c r="A1179" s="201"/>
      <c r="B1179" s="201"/>
    </row>
    <row r="1180" spans="1:2" x14ac:dyDescent="0.25">
      <c r="A1180" s="201"/>
      <c r="B1180" s="201"/>
    </row>
    <row r="1181" spans="1:2" x14ac:dyDescent="0.25">
      <c r="A1181" s="201"/>
      <c r="B1181" s="201"/>
    </row>
    <row r="1182" spans="1:2" x14ac:dyDescent="0.25">
      <c r="A1182" s="201"/>
      <c r="B1182" s="201"/>
    </row>
    <row r="1183" spans="1:2" x14ac:dyDescent="0.25">
      <c r="A1183" s="201"/>
      <c r="B1183" s="201"/>
    </row>
    <row r="1184" spans="1:2" x14ac:dyDescent="0.25">
      <c r="A1184" s="201"/>
      <c r="B1184" s="201"/>
    </row>
    <row r="1185" spans="1:2" x14ac:dyDescent="0.25">
      <c r="A1185" s="201"/>
      <c r="B1185" s="201"/>
    </row>
    <row r="1186" spans="1:2" x14ac:dyDescent="0.25">
      <c r="A1186" s="201"/>
      <c r="B1186" s="201"/>
    </row>
    <row r="1187" spans="1:2" x14ac:dyDescent="0.25">
      <c r="A1187" s="201"/>
      <c r="B1187" s="201"/>
    </row>
    <row r="1188" spans="1:2" x14ac:dyDescent="0.25">
      <c r="A1188" s="201"/>
      <c r="B1188" s="201"/>
    </row>
    <row r="1189" spans="1:2" x14ac:dyDescent="0.25">
      <c r="A1189" s="201"/>
      <c r="B1189" s="201"/>
    </row>
    <row r="1190" spans="1:2" x14ac:dyDescent="0.25">
      <c r="A1190" s="201"/>
      <c r="B1190" s="201"/>
    </row>
    <row r="1191" spans="1:2" x14ac:dyDescent="0.25">
      <c r="A1191" s="201"/>
      <c r="B1191" s="201"/>
    </row>
    <row r="1192" spans="1:2" x14ac:dyDescent="0.25">
      <c r="A1192" s="201"/>
      <c r="B1192" s="201"/>
    </row>
    <row r="1193" spans="1:2" x14ac:dyDescent="0.25">
      <c r="A1193" s="201"/>
      <c r="B1193" s="201"/>
    </row>
    <row r="1194" spans="1:2" x14ac:dyDescent="0.25">
      <c r="A1194" s="201"/>
      <c r="B1194" s="201"/>
    </row>
    <row r="1195" spans="1:2" x14ac:dyDescent="0.25">
      <c r="A1195" s="201"/>
      <c r="B1195" s="201"/>
    </row>
    <row r="1196" spans="1:2" x14ac:dyDescent="0.25">
      <c r="A1196" s="201"/>
      <c r="B1196" s="201"/>
    </row>
    <row r="1197" spans="1:2" x14ac:dyDescent="0.25">
      <c r="A1197" s="201"/>
      <c r="B1197" s="201"/>
    </row>
    <row r="1198" spans="1:2" x14ac:dyDescent="0.25">
      <c r="A1198" s="201"/>
      <c r="B1198" s="201"/>
    </row>
    <row r="1199" spans="1:2" x14ac:dyDescent="0.25">
      <c r="A1199" s="201"/>
      <c r="B1199" s="201"/>
    </row>
    <row r="1200" spans="1:2" x14ac:dyDescent="0.25">
      <c r="A1200" s="201"/>
      <c r="B1200" s="201"/>
    </row>
    <row r="1201" spans="1:2" x14ac:dyDescent="0.25">
      <c r="A1201" s="201"/>
      <c r="B1201" s="201"/>
    </row>
    <row r="1202" spans="1:2" x14ac:dyDescent="0.25">
      <c r="A1202" s="201"/>
      <c r="B1202" s="201"/>
    </row>
    <row r="1203" spans="1:2" x14ac:dyDescent="0.25">
      <c r="A1203" s="201"/>
      <c r="B1203" s="201"/>
    </row>
    <row r="1204" spans="1:2" x14ac:dyDescent="0.25">
      <c r="A1204" s="201"/>
      <c r="B1204" s="201"/>
    </row>
    <row r="1205" spans="1:2" x14ac:dyDescent="0.25">
      <c r="A1205" s="201"/>
      <c r="B1205" s="201"/>
    </row>
    <row r="1206" spans="1:2" x14ac:dyDescent="0.25">
      <c r="A1206" s="201"/>
      <c r="B1206" s="201"/>
    </row>
    <row r="1207" spans="1:2" x14ac:dyDescent="0.25">
      <c r="A1207" s="201"/>
      <c r="B1207" s="201"/>
    </row>
    <row r="1208" spans="1:2" x14ac:dyDescent="0.25">
      <c r="A1208" s="201"/>
      <c r="B1208" s="201"/>
    </row>
    <row r="1209" spans="1:2" x14ac:dyDescent="0.25">
      <c r="A1209" s="201"/>
      <c r="B1209" s="201"/>
    </row>
    <row r="1210" spans="1:2" x14ac:dyDescent="0.25">
      <c r="A1210" s="201"/>
      <c r="B1210" s="201"/>
    </row>
    <row r="1211" spans="1:2" x14ac:dyDescent="0.25">
      <c r="A1211" s="201"/>
      <c r="B1211" s="201"/>
    </row>
    <row r="1212" spans="1:2" x14ac:dyDescent="0.25">
      <c r="A1212" s="201"/>
      <c r="B1212" s="201"/>
    </row>
    <row r="1213" spans="1:2" x14ac:dyDescent="0.25">
      <c r="A1213" s="201"/>
      <c r="B1213" s="201"/>
    </row>
    <row r="1214" spans="1:2" x14ac:dyDescent="0.25">
      <c r="A1214" s="201"/>
      <c r="B1214" s="201"/>
    </row>
    <row r="1215" spans="1:2" x14ac:dyDescent="0.25">
      <c r="A1215" s="201"/>
      <c r="B1215" s="201"/>
    </row>
    <row r="1216" spans="1:2" x14ac:dyDescent="0.25">
      <c r="A1216" s="201"/>
      <c r="B1216" s="201"/>
    </row>
    <row r="1217" spans="1:2" x14ac:dyDescent="0.25">
      <c r="A1217" s="201"/>
      <c r="B1217" s="201"/>
    </row>
    <row r="1218" spans="1:2" x14ac:dyDescent="0.25">
      <c r="A1218" s="201"/>
      <c r="B1218" s="201"/>
    </row>
    <row r="1219" spans="1:2" x14ac:dyDescent="0.25">
      <c r="A1219" s="201"/>
      <c r="B1219" s="201"/>
    </row>
    <row r="1220" spans="1:2" x14ac:dyDescent="0.25">
      <c r="A1220" s="201"/>
      <c r="B1220" s="201"/>
    </row>
    <row r="1221" spans="1:2" x14ac:dyDescent="0.25">
      <c r="A1221" s="201"/>
      <c r="B1221" s="201"/>
    </row>
    <row r="1222" spans="1:2" x14ac:dyDescent="0.25">
      <c r="A1222" s="201"/>
      <c r="B1222" s="201"/>
    </row>
    <row r="1223" spans="1:2" x14ac:dyDescent="0.25">
      <c r="A1223" s="201"/>
      <c r="B1223" s="201"/>
    </row>
    <row r="1224" spans="1:2" x14ac:dyDescent="0.25">
      <c r="A1224" s="201"/>
      <c r="B1224" s="201"/>
    </row>
    <row r="1225" spans="1:2" x14ac:dyDescent="0.25">
      <c r="A1225" s="201"/>
      <c r="B1225" s="201"/>
    </row>
    <row r="1226" spans="1:2" x14ac:dyDescent="0.25">
      <c r="A1226" s="201"/>
      <c r="B1226" s="201"/>
    </row>
    <row r="1227" spans="1:2" x14ac:dyDescent="0.25">
      <c r="A1227" s="201"/>
      <c r="B1227" s="201"/>
    </row>
    <row r="1228" spans="1:2" x14ac:dyDescent="0.25">
      <c r="A1228" s="201"/>
      <c r="B1228" s="201"/>
    </row>
    <row r="1229" spans="1:2" x14ac:dyDescent="0.25">
      <c r="A1229" s="201"/>
      <c r="B1229" s="201"/>
    </row>
    <row r="1230" spans="1:2" x14ac:dyDescent="0.25">
      <c r="A1230" s="201"/>
      <c r="B1230" s="201"/>
    </row>
    <row r="1231" spans="1:2" x14ac:dyDescent="0.25">
      <c r="A1231" s="201"/>
      <c r="B1231" s="201"/>
    </row>
    <row r="1232" spans="1:2" x14ac:dyDescent="0.25">
      <c r="A1232" s="201"/>
      <c r="B1232" s="201"/>
    </row>
    <row r="1233" spans="1:2" x14ac:dyDescent="0.25">
      <c r="A1233" s="201"/>
      <c r="B1233" s="201"/>
    </row>
    <row r="1234" spans="1:2" x14ac:dyDescent="0.25">
      <c r="A1234" s="201"/>
      <c r="B1234" s="201"/>
    </row>
    <row r="1235" spans="1:2" x14ac:dyDescent="0.25">
      <c r="A1235" s="201"/>
      <c r="B1235" s="201"/>
    </row>
    <row r="1236" spans="1:2" x14ac:dyDescent="0.25">
      <c r="A1236" s="201"/>
      <c r="B1236" s="201"/>
    </row>
    <row r="1237" spans="1:2" x14ac:dyDescent="0.25">
      <c r="A1237" s="201"/>
      <c r="B1237" s="201"/>
    </row>
    <row r="1238" spans="1:2" x14ac:dyDescent="0.25">
      <c r="A1238" s="201"/>
      <c r="B1238" s="201"/>
    </row>
    <row r="1239" spans="1:2" x14ac:dyDescent="0.25">
      <c r="A1239" s="201"/>
      <c r="B1239" s="201"/>
    </row>
    <row r="1240" spans="1:2" x14ac:dyDescent="0.25">
      <c r="A1240" s="201"/>
      <c r="B1240" s="201"/>
    </row>
    <row r="1241" spans="1:2" x14ac:dyDescent="0.25">
      <c r="A1241" s="201"/>
      <c r="B1241" s="201"/>
    </row>
    <row r="1242" spans="1:2" x14ac:dyDescent="0.25">
      <c r="A1242" s="201"/>
      <c r="B1242" s="201"/>
    </row>
    <row r="1243" spans="1:2" x14ac:dyDescent="0.25">
      <c r="A1243" s="201"/>
      <c r="B1243" s="201"/>
    </row>
    <row r="1244" spans="1:2" x14ac:dyDescent="0.25">
      <c r="A1244" s="201"/>
      <c r="B1244" s="201"/>
    </row>
    <row r="1245" spans="1:2" x14ac:dyDescent="0.25">
      <c r="A1245" s="201"/>
      <c r="B1245" s="201"/>
    </row>
    <row r="1246" spans="1:2" x14ac:dyDescent="0.25">
      <c r="A1246" s="201"/>
      <c r="B1246" s="201"/>
    </row>
    <row r="1247" spans="1:2" x14ac:dyDescent="0.25">
      <c r="A1247" s="201"/>
      <c r="B1247" s="201"/>
    </row>
    <row r="1248" spans="1:2" x14ac:dyDescent="0.25">
      <c r="A1248" s="201"/>
      <c r="B1248" s="201"/>
    </row>
    <row r="1249" spans="1:2" x14ac:dyDescent="0.25">
      <c r="A1249" s="201"/>
      <c r="B1249" s="201"/>
    </row>
    <row r="1250" spans="1:2" x14ac:dyDescent="0.25">
      <c r="A1250" s="201"/>
      <c r="B1250" s="201"/>
    </row>
    <row r="1251" spans="1:2" x14ac:dyDescent="0.25">
      <c r="A1251" s="201"/>
      <c r="B1251" s="201"/>
    </row>
    <row r="1252" spans="1:2" x14ac:dyDescent="0.25">
      <c r="A1252" s="201"/>
      <c r="B1252" s="201"/>
    </row>
    <row r="1253" spans="1:2" x14ac:dyDescent="0.25">
      <c r="A1253" s="201"/>
      <c r="B1253" s="201"/>
    </row>
    <row r="1254" spans="1:2" x14ac:dyDescent="0.25">
      <c r="A1254" s="201"/>
      <c r="B1254" s="201"/>
    </row>
    <row r="1255" spans="1:2" x14ac:dyDescent="0.25">
      <c r="A1255" s="201"/>
      <c r="B1255" s="201"/>
    </row>
    <row r="1256" spans="1:2" x14ac:dyDescent="0.25">
      <c r="A1256" s="201"/>
      <c r="B1256" s="201"/>
    </row>
    <row r="1257" spans="1:2" x14ac:dyDescent="0.25">
      <c r="A1257" s="201"/>
      <c r="B1257" s="201"/>
    </row>
    <row r="1258" spans="1:2" x14ac:dyDescent="0.25">
      <c r="A1258" s="201"/>
      <c r="B1258" s="201"/>
    </row>
    <row r="1259" spans="1:2" x14ac:dyDescent="0.25">
      <c r="A1259" s="201"/>
      <c r="B1259" s="201"/>
    </row>
    <row r="1260" spans="1:2" x14ac:dyDescent="0.25">
      <c r="A1260" s="201"/>
      <c r="B1260" s="201"/>
    </row>
    <row r="1261" spans="1:2" x14ac:dyDescent="0.25">
      <c r="A1261" s="201"/>
      <c r="B1261" s="201"/>
    </row>
    <row r="1262" spans="1:2" x14ac:dyDescent="0.25">
      <c r="A1262" s="201"/>
      <c r="B1262" s="201"/>
    </row>
    <row r="1263" spans="1:2" x14ac:dyDescent="0.25">
      <c r="A1263" s="201"/>
      <c r="B1263" s="201"/>
    </row>
    <row r="1264" spans="1:2" x14ac:dyDescent="0.25">
      <c r="A1264" s="201"/>
      <c r="B1264" s="201"/>
    </row>
    <row r="1265" spans="1:2" x14ac:dyDescent="0.25">
      <c r="A1265" s="201"/>
      <c r="B1265" s="201"/>
    </row>
    <row r="1266" spans="1:2" x14ac:dyDescent="0.25">
      <c r="A1266" s="201"/>
      <c r="B1266" s="201"/>
    </row>
    <row r="1267" spans="1:2" x14ac:dyDescent="0.25">
      <c r="A1267" s="201"/>
      <c r="B1267" s="201"/>
    </row>
    <row r="1268" spans="1:2" x14ac:dyDescent="0.25">
      <c r="A1268" s="201"/>
      <c r="B1268" s="201"/>
    </row>
    <row r="1269" spans="1:2" x14ac:dyDescent="0.25">
      <c r="A1269" s="201"/>
      <c r="B1269" s="201"/>
    </row>
    <row r="1270" spans="1:2" x14ac:dyDescent="0.25">
      <c r="A1270" s="201"/>
      <c r="B1270" s="201"/>
    </row>
    <row r="1271" spans="1:2" x14ac:dyDescent="0.25">
      <c r="A1271" s="201"/>
      <c r="B1271" s="201"/>
    </row>
    <row r="1272" spans="1:2" x14ac:dyDescent="0.25">
      <c r="A1272" s="201"/>
      <c r="B1272" s="201"/>
    </row>
    <row r="1273" spans="1:2" x14ac:dyDescent="0.25">
      <c r="A1273" s="201"/>
      <c r="B1273" s="201"/>
    </row>
    <row r="1274" spans="1:2" x14ac:dyDescent="0.25">
      <c r="A1274" s="201"/>
      <c r="B1274" s="201"/>
    </row>
    <row r="1275" spans="1:2" x14ac:dyDescent="0.25">
      <c r="A1275" s="201"/>
      <c r="B1275" s="201"/>
    </row>
    <row r="1276" spans="1:2" x14ac:dyDescent="0.25">
      <c r="A1276" s="201"/>
      <c r="B1276" s="201"/>
    </row>
    <row r="1277" spans="1:2" x14ac:dyDescent="0.25">
      <c r="A1277" s="201"/>
      <c r="B1277" s="201"/>
    </row>
    <row r="1278" spans="1:2" x14ac:dyDescent="0.25">
      <c r="A1278" s="201"/>
      <c r="B1278" s="201"/>
    </row>
    <row r="1279" spans="1:2" x14ac:dyDescent="0.25">
      <c r="A1279" s="201"/>
      <c r="B1279" s="201"/>
    </row>
    <row r="1280" spans="1:2" x14ac:dyDescent="0.25">
      <c r="A1280" s="201"/>
      <c r="B1280" s="201"/>
    </row>
    <row r="1281" spans="1:2" x14ac:dyDescent="0.25">
      <c r="A1281" s="201"/>
      <c r="B1281" s="201"/>
    </row>
    <row r="1282" spans="1:2" x14ac:dyDescent="0.25">
      <c r="A1282" s="201"/>
      <c r="B1282" s="201"/>
    </row>
    <row r="1283" spans="1:2" x14ac:dyDescent="0.25">
      <c r="A1283" s="201"/>
      <c r="B1283" s="201"/>
    </row>
    <row r="1284" spans="1:2" x14ac:dyDescent="0.25">
      <c r="A1284" s="201"/>
      <c r="B1284" s="201"/>
    </row>
    <row r="1285" spans="1:2" x14ac:dyDescent="0.25">
      <c r="A1285" s="201"/>
      <c r="B1285" s="201"/>
    </row>
    <row r="1286" spans="1:2" x14ac:dyDescent="0.25">
      <c r="A1286" s="201"/>
      <c r="B1286" s="201"/>
    </row>
    <row r="1287" spans="1:2" x14ac:dyDescent="0.25">
      <c r="A1287" s="201"/>
      <c r="B1287" s="201"/>
    </row>
    <row r="1288" spans="1:2" x14ac:dyDescent="0.25">
      <c r="A1288" s="201"/>
      <c r="B1288" s="201"/>
    </row>
    <row r="1289" spans="1:2" x14ac:dyDescent="0.25">
      <c r="A1289" s="201"/>
      <c r="B1289" s="201"/>
    </row>
    <row r="1290" spans="1:2" x14ac:dyDescent="0.25">
      <c r="A1290" s="201"/>
      <c r="B1290" s="201"/>
    </row>
    <row r="1291" spans="1:2" x14ac:dyDescent="0.25">
      <c r="A1291" s="201"/>
      <c r="B1291" s="201"/>
    </row>
    <row r="1292" spans="1:2" x14ac:dyDescent="0.25">
      <c r="A1292" s="201"/>
      <c r="B1292" s="201"/>
    </row>
    <row r="1293" spans="1:2" x14ac:dyDescent="0.25">
      <c r="A1293" s="201"/>
      <c r="B1293" s="201"/>
    </row>
    <row r="1294" spans="1:2" x14ac:dyDescent="0.25">
      <c r="A1294" s="201"/>
      <c r="B1294" s="201"/>
    </row>
    <row r="1295" spans="1:2" x14ac:dyDescent="0.25">
      <c r="A1295" s="201"/>
      <c r="B1295" s="201"/>
    </row>
    <row r="1296" spans="1:2" x14ac:dyDescent="0.25">
      <c r="A1296" s="201"/>
      <c r="B1296" s="201"/>
    </row>
    <row r="1297" spans="1:2" x14ac:dyDescent="0.25">
      <c r="A1297" s="201"/>
      <c r="B1297" s="201"/>
    </row>
    <row r="1298" spans="1:2" x14ac:dyDescent="0.25">
      <c r="A1298" s="201"/>
      <c r="B1298" s="201"/>
    </row>
    <row r="1299" spans="1:2" x14ac:dyDescent="0.25">
      <c r="A1299" s="201"/>
      <c r="B1299" s="201"/>
    </row>
    <row r="1300" spans="1:2" x14ac:dyDescent="0.25">
      <c r="A1300" s="201"/>
      <c r="B1300" s="201"/>
    </row>
    <row r="1301" spans="1:2" x14ac:dyDescent="0.25">
      <c r="A1301" s="201"/>
      <c r="B1301" s="201"/>
    </row>
    <row r="1302" spans="1:2" x14ac:dyDescent="0.25">
      <c r="A1302" s="201"/>
      <c r="B1302" s="201"/>
    </row>
    <row r="1303" spans="1:2" x14ac:dyDescent="0.25">
      <c r="A1303" s="201"/>
      <c r="B1303" s="201"/>
    </row>
    <row r="1304" spans="1:2" x14ac:dyDescent="0.25">
      <c r="A1304" s="201"/>
      <c r="B1304" s="201"/>
    </row>
    <row r="1305" spans="1:2" x14ac:dyDescent="0.25">
      <c r="A1305" s="201"/>
      <c r="B1305" s="201"/>
    </row>
    <row r="1306" spans="1:2" x14ac:dyDescent="0.25">
      <c r="A1306" s="201"/>
      <c r="B1306" s="201"/>
    </row>
    <row r="1307" spans="1:2" x14ac:dyDescent="0.25">
      <c r="A1307" s="201"/>
      <c r="B1307" s="201"/>
    </row>
    <row r="1308" spans="1:2" x14ac:dyDescent="0.25">
      <c r="A1308" s="201"/>
      <c r="B1308" s="201"/>
    </row>
    <row r="1309" spans="1:2" x14ac:dyDescent="0.25">
      <c r="A1309" s="201"/>
      <c r="B1309" s="201"/>
    </row>
    <row r="1310" spans="1:2" x14ac:dyDescent="0.25">
      <c r="A1310" s="201"/>
      <c r="B1310" s="201"/>
    </row>
    <row r="1311" spans="1:2" x14ac:dyDescent="0.25">
      <c r="A1311" s="201"/>
      <c r="B1311" s="201"/>
    </row>
    <row r="1312" spans="1:2" x14ac:dyDescent="0.25">
      <c r="A1312" s="201"/>
      <c r="B1312" s="201"/>
    </row>
    <row r="1313" spans="1:2" x14ac:dyDescent="0.25">
      <c r="A1313" s="201"/>
      <c r="B1313" s="201"/>
    </row>
    <row r="1314" spans="1:2" x14ac:dyDescent="0.25">
      <c r="A1314" s="201"/>
      <c r="B1314" s="201"/>
    </row>
    <row r="1315" spans="1:2" x14ac:dyDescent="0.25">
      <c r="A1315" s="201"/>
      <c r="B1315" s="201"/>
    </row>
    <row r="1316" spans="1:2" x14ac:dyDescent="0.25">
      <c r="A1316" s="201"/>
      <c r="B1316" s="201"/>
    </row>
    <row r="1317" spans="1:2" x14ac:dyDescent="0.25">
      <c r="A1317" s="201"/>
      <c r="B1317" s="201"/>
    </row>
    <row r="1318" spans="1:2" x14ac:dyDescent="0.25">
      <c r="A1318" s="201"/>
      <c r="B1318" s="201"/>
    </row>
    <row r="1319" spans="1:2" x14ac:dyDescent="0.25">
      <c r="A1319" s="201"/>
      <c r="B1319" s="201"/>
    </row>
    <row r="1320" spans="1:2" x14ac:dyDescent="0.25">
      <c r="A1320" s="201"/>
      <c r="B1320" s="201"/>
    </row>
    <row r="1321" spans="1:2" x14ac:dyDescent="0.25">
      <c r="A1321" s="201"/>
      <c r="B1321" s="201"/>
    </row>
    <row r="1322" spans="1:2" x14ac:dyDescent="0.25">
      <c r="A1322" s="201"/>
      <c r="B1322" s="201"/>
    </row>
    <row r="1323" spans="1:2" x14ac:dyDescent="0.25">
      <c r="A1323" s="201"/>
      <c r="B1323" s="201"/>
    </row>
    <row r="1324" spans="1:2" x14ac:dyDescent="0.25">
      <c r="A1324" s="201"/>
      <c r="B1324" s="201"/>
    </row>
    <row r="1325" spans="1:2" x14ac:dyDescent="0.25">
      <c r="A1325" s="201"/>
      <c r="B1325" s="201"/>
    </row>
    <row r="1326" spans="1:2" x14ac:dyDescent="0.25">
      <c r="A1326" s="201"/>
      <c r="B1326" s="201"/>
    </row>
    <row r="1327" spans="1:2" x14ac:dyDescent="0.25">
      <c r="A1327" s="201"/>
      <c r="B1327" s="201"/>
    </row>
    <row r="1328" spans="1:2" x14ac:dyDescent="0.25">
      <c r="A1328" s="201"/>
      <c r="B1328" s="201"/>
    </row>
    <row r="1329" spans="1:2" x14ac:dyDescent="0.25">
      <c r="A1329" s="201"/>
      <c r="B1329" s="201"/>
    </row>
    <row r="1330" spans="1:2" x14ac:dyDescent="0.25">
      <c r="A1330" s="201"/>
      <c r="B1330" s="201"/>
    </row>
    <row r="1331" spans="1:2" x14ac:dyDescent="0.25">
      <c r="A1331" s="201"/>
      <c r="B1331" s="201"/>
    </row>
    <row r="1332" spans="1:2" x14ac:dyDescent="0.25">
      <c r="A1332" s="201"/>
      <c r="B1332" s="201"/>
    </row>
    <row r="1333" spans="1:2" x14ac:dyDescent="0.25">
      <c r="A1333" s="201"/>
      <c r="B1333" s="201"/>
    </row>
    <row r="1334" spans="1:2" x14ac:dyDescent="0.25">
      <c r="A1334" s="201"/>
      <c r="B1334" s="201"/>
    </row>
    <row r="1335" spans="1:2" x14ac:dyDescent="0.25">
      <c r="A1335" s="201"/>
      <c r="B1335" s="201"/>
    </row>
    <row r="1336" spans="1:2" x14ac:dyDescent="0.25">
      <c r="A1336" s="201"/>
      <c r="B1336" s="201"/>
    </row>
    <row r="1337" spans="1:2" x14ac:dyDescent="0.25">
      <c r="A1337" s="201"/>
      <c r="B1337" s="201"/>
    </row>
    <row r="1338" spans="1:2" x14ac:dyDescent="0.25">
      <c r="A1338" s="201"/>
      <c r="B1338" s="201"/>
    </row>
    <row r="1339" spans="1:2" x14ac:dyDescent="0.25">
      <c r="A1339" s="201"/>
      <c r="B1339" s="201"/>
    </row>
    <row r="1340" spans="1:2" x14ac:dyDescent="0.25">
      <c r="A1340" s="201"/>
      <c r="B1340" s="201"/>
    </row>
    <row r="1341" spans="1:2" x14ac:dyDescent="0.25">
      <c r="A1341" s="201"/>
      <c r="B1341" s="201"/>
    </row>
    <row r="1342" spans="1:2" x14ac:dyDescent="0.25">
      <c r="A1342" s="201"/>
      <c r="B1342" s="201"/>
    </row>
    <row r="1343" spans="1:2" x14ac:dyDescent="0.25">
      <c r="A1343" s="201"/>
      <c r="B1343" s="201"/>
    </row>
    <row r="1344" spans="1:2" x14ac:dyDescent="0.25">
      <c r="A1344" s="201"/>
      <c r="B1344" s="201"/>
    </row>
    <row r="1345" spans="1:2" x14ac:dyDescent="0.25">
      <c r="A1345" s="201"/>
      <c r="B1345" s="201"/>
    </row>
    <row r="1346" spans="1:2" x14ac:dyDescent="0.25">
      <c r="A1346" s="201"/>
      <c r="B1346" s="201"/>
    </row>
    <row r="1347" spans="1:2" x14ac:dyDescent="0.25">
      <c r="A1347" s="201"/>
      <c r="B1347" s="201"/>
    </row>
    <row r="1348" spans="1:2" x14ac:dyDescent="0.25">
      <c r="A1348" s="201"/>
      <c r="B1348" s="201"/>
    </row>
    <row r="1349" spans="1:2" x14ac:dyDescent="0.25">
      <c r="A1349" s="201"/>
      <c r="B1349" s="201"/>
    </row>
    <row r="1350" spans="1:2" x14ac:dyDescent="0.25">
      <c r="A1350" s="201"/>
      <c r="B1350" s="201"/>
    </row>
    <row r="1351" spans="1:2" x14ac:dyDescent="0.25">
      <c r="A1351" s="201"/>
      <c r="B1351" s="201"/>
    </row>
    <row r="1352" spans="1:2" x14ac:dyDescent="0.25">
      <c r="A1352" s="201"/>
      <c r="B1352" s="201"/>
    </row>
    <row r="1353" spans="1:2" x14ac:dyDescent="0.25">
      <c r="A1353" s="201"/>
      <c r="B1353" s="201"/>
    </row>
    <row r="1354" spans="1:2" x14ac:dyDescent="0.25">
      <c r="A1354" s="201"/>
      <c r="B1354" s="201"/>
    </row>
    <row r="1355" spans="1:2" x14ac:dyDescent="0.25">
      <c r="A1355" s="201"/>
      <c r="B1355" s="201"/>
    </row>
    <row r="1356" spans="1:2" x14ac:dyDescent="0.25">
      <c r="A1356" s="201"/>
      <c r="B1356" s="201"/>
    </row>
    <row r="1357" spans="1:2" x14ac:dyDescent="0.25">
      <c r="A1357" s="201"/>
      <c r="B1357" s="201"/>
    </row>
    <row r="1358" spans="1:2" x14ac:dyDescent="0.25">
      <c r="A1358" s="201"/>
      <c r="B1358" s="201"/>
    </row>
    <row r="1359" spans="1:2" x14ac:dyDescent="0.25">
      <c r="A1359" s="201"/>
      <c r="B1359" s="201"/>
    </row>
    <row r="1360" spans="1:2" x14ac:dyDescent="0.25">
      <c r="A1360" s="201"/>
      <c r="B1360" s="201"/>
    </row>
    <row r="1361" spans="1:2" x14ac:dyDescent="0.25">
      <c r="A1361" s="201"/>
      <c r="B1361" s="201"/>
    </row>
    <row r="1362" spans="1:2" x14ac:dyDescent="0.25">
      <c r="A1362" s="201"/>
      <c r="B1362" s="201"/>
    </row>
    <row r="1363" spans="1:2" x14ac:dyDescent="0.25">
      <c r="A1363" s="201"/>
      <c r="B1363" s="201"/>
    </row>
    <row r="1364" spans="1:2" x14ac:dyDescent="0.25">
      <c r="A1364" s="201"/>
      <c r="B1364" s="201"/>
    </row>
    <row r="1365" spans="1:2" x14ac:dyDescent="0.25">
      <c r="A1365" s="201"/>
      <c r="B1365" s="201"/>
    </row>
    <row r="1366" spans="1:2" x14ac:dyDescent="0.25">
      <c r="A1366" s="201"/>
      <c r="B1366" s="201"/>
    </row>
    <row r="1367" spans="1:2" x14ac:dyDescent="0.25">
      <c r="A1367" s="201"/>
      <c r="B1367" s="201"/>
    </row>
    <row r="1368" spans="1:2" x14ac:dyDescent="0.25">
      <c r="A1368" s="201"/>
      <c r="B1368" s="201"/>
    </row>
    <row r="1369" spans="1:2" x14ac:dyDescent="0.25">
      <c r="A1369" s="201"/>
      <c r="B1369" s="201"/>
    </row>
    <row r="1370" spans="1:2" x14ac:dyDescent="0.25">
      <c r="A1370" s="201"/>
      <c r="B1370" s="201"/>
    </row>
    <row r="1371" spans="1:2" x14ac:dyDescent="0.25">
      <c r="A1371" s="201"/>
      <c r="B1371" s="201"/>
    </row>
    <row r="1372" spans="1:2" x14ac:dyDescent="0.25">
      <c r="A1372" s="201"/>
      <c r="B1372" s="201"/>
    </row>
    <row r="1373" spans="1:2" x14ac:dyDescent="0.25">
      <c r="A1373" s="201"/>
      <c r="B1373" s="201"/>
    </row>
    <row r="1374" spans="1:2" x14ac:dyDescent="0.25">
      <c r="A1374" s="201"/>
      <c r="B1374" s="201"/>
    </row>
    <row r="1375" spans="1:2" x14ac:dyDescent="0.25">
      <c r="A1375" s="201"/>
      <c r="B1375" s="201"/>
    </row>
    <row r="1376" spans="1:2" x14ac:dyDescent="0.25">
      <c r="A1376" s="201"/>
      <c r="B1376" s="201"/>
    </row>
    <row r="1377" spans="1:2" x14ac:dyDescent="0.25">
      <c r="A1377" s="201"/>
      <c r="B1377" s="201"/>
    </row>
    <row r="1378" spans="1:2" x14ac:dyDescent="0.25">
      <c r="A1378" s="201"/>
      <c r="B1378" s="201"/>
    </row>
    <row r="1379" spans="1:2" x14ac:dyDescent="0.25">
      <c r="A1379" s="201"/>
      <c r="B1379" s="201"/>
    </row>
    <row r="1380" spans="1:2" x14ac:dyDescent="0.25">
      <c r="A1380" s="201"/>
      <c r="B1380" s="201"/>
    </row>
    <row r="1381" spans="1:2" x14ac:dyDescent="0.25">
      <c r="A1381" s="201"/>
      <c r="B1381" s="201"/>
    </row>
    <row r="1382" spans="1:2" x14ac:dyDescent="0.25">
      <c r="A1382" s="201"/>
      <c r="B1382" s="201"/>
    </row>
    <row r="1383" spans="1:2" x14ac:dyDescent="0.25">
      <c r="A1383" s="201"/>
      <c r="B1383" s="201"/>
    </row>
    <row r="1384" spans="1:2" x14ac:dyDescent="0.25">
      <c r="A1384" s="201"/>
      <c r="B1384" s="201"/>
    </row>
    <row r="1385" spans="1:2" x14ac:dyDescent="0.25">
      <c r="A1385" s="201"/>
      <c r="B1385" s="201"/>
    </row>
    <row r="1386" spans="1:2" x14ac:dyDescent="0.25">
      <c r="A1386" s="201"/>
      <c r="B1386" s="201"/>
    </row>
    <row r="1387" spans="1:2" x14ac:dyDescent="0.25">
      <c r="A1387" s="201"/>
      <c r="B1387" s="201"/>
    </row>
    <row r="1388" spans="1:2" x14ac:dyDescent="0.25">
      <c r="A1388" s="201"/>
      <c r="B1388" s="201"/>
    </row>
    <row r="1389" spans="1:2" x14ac:dyDescent="0.25">
      <c r="A1389" s="201"/>
      <c r="B1389" s="201"/>
    </row>
    <row r="1390" spans="1:2" x14ac:dyDescent="0.25">
      <c r="A1390" s="201"/>
      <c r="B1390" s="201"/>
    </row>
    <row r="1391" spans="1:2" x14ac:dyDescent="0.25">
      <c r="A1391" s="201"/>
      <c r="B1391" s="201"/>
    </row>
    <row r="1392" spans="1:2" x14ac:dyDescent="0.25">
      <c r="A1392" s="201"/>
      <c r="B1392" s="201"/>
    </row>
    <row r="1393" spans="1:2" x14ac:dyDescent="0.25">
      <c r="A1393" s="201"/>
      <c r="B1393" s="201"/>
    </row>
    <row r="1394" spans="1:2" x14ac:dyDescent="0.25">
      <c r="A1394" s="201"/>
      <c r="B1394" s="201"/>
    </row>
    <row r="1395" spans="1:2" x14ac:dyDescent="0.25">
      <c r="A1395" s="201"/>
      <c r="B1395" s="201"/>
    </row>
    <row r="1396" spans="1:2" x14ac:dyDescent="0.25">
      <c r="A1396" s="201"/>
      <c r="B1396" s="201"/>
    </row>
    <row r="1397" spans="1:2" x14ac:dyDescent="0.25">
      <c r="A1397" s="201"/>
      <c r="B1397" s="201"/>
    </row>
    <row r="1398" spans="1:2" x14ac:dyDescent="0.25">
      <c r="A1398" s="201"/>
      <c r="B1398" s="201"/>
    </row>
    <row r="1399" spans="1:2" x14ac:dyDescent="0.25">
      <c r="A1399" s="201"/>
      <c r="B1399" s="201"/>
    </row>
    <row r="1400" spans="1:2" x14ac:dyDescent="0.25">
      <c r="A1400" s="201"/>
      <c r="B1400" s="201"/>
    </row>
    <row r="1401" spans="1:2" x14ac:dyDescent="0.25">
      <c r="A1401" s="201"/>
      <c r="B1401" s="201"/>
    </row>
    <row r="1402" spans="1:2" x14ac:dyDescent="0.25">
      <c r="A1402" s="201"/>
      <c r="B1402" s="201"/>
    </row>
    <row r="1403" spans="1:2" x14ac:dyDescent="0.25">
      <c r="A1403" s="201"/>
      <c r="B1403" s="201"/>
    </row>
    <row r="1404" spans="1:2" x14ac:dyDescent="0.25">
      <c r="A1404" s="201"/>
      <c r="B1404" s="201"/>
    </row>
    <row r="1405" spans="1:2" x14ac:dyDescent="0.25">
      <c r="A1405" s="201"/>
      <c r="B1405" s="201"/>
    </row>
    <row r="1406" spans="1:2" x14ac:dyDescent="0.25">
      <c r="A1406" s="201"/>
      <c r="B1406" s="201"/>
    </row>
    <row r="1407" spans="1:2" x14ac:dyDescent="0.25">
      <c r="A1407" s="201"/>
      <c r="B1407" s="201"/>
    </row>
    <row r="1408" spans="1:2" x14ac:dyDescent="0.25">
      <c r="A1408" s="201"/>
      <c r="B1408" s="201"/>
    </row>
    <row r="1409" spans="1:2" x14ac:dyDescent="0.25">
      <c r="A1409" s="201"/>
      <c r="B1409" s="201"/>
    </row>
    <row r="1410" spans="1:2" x14ac:dyDescent="0.25">
      <c r="A1410" s="201"/>
      <c r="B1410" s="201"/>
    </row>
    <row r="1411" spans="1:2" x14ac:dyDescent="0.25">
      <c r="A1411" s="201"/>
      <c r="B1411" s="201"/>
    </row>
    <row r="1412" spans="1:2" x14ac:dyDescent="0.25">
      <c r="A1412" s="201"/>
      <c r="B1412" s="201"/>
    </row>
    <row r="1413" spans="1:2" x14ac:dyDescent="0.25">
      <c r="A1413" s="201"/>
      <c r="B1413" s="201"/>
    </row>
    <row r="1414" spans="1:2" x14ac:dyDescent="0.25">
      <c r="A1414" s="201"/>
      <c r="B1414" s="201"/>
    </row>
    <row r="1415" spans="1:2" x14ac:dyDescent="0.25">
      <c r="A1415" s="201"/>
      <c r="B1415" s="201"/>
    </row>
    <row r="1416" spans="1:2" x14ac:dyDescent="0.25">
      <c r="A1416" s="201"/>
      <c r="B1416" s="201"/>
    </row>
    <row r="1417" spans="1:2" x14ac:dyDescent="0.25">
      <c r="A1417" s="201"/>
      <c r="B1417" s="201"/>
    </row>
    <row r="1418" spans="1:2" x14ac:dyDescent="0.25">
      <c r="A1418" s="201"/>
      <c r="B1418" s="201"/>
    </row>
    <row r="1419" spans="1:2" x14ac:dyDescent="0.25">
      <c r="A1419" s="201"/>
      <c r="B1419" s="201"/>
    </row>
    <row r="1420" spans="1:2" x14ac:dyDescent="0.25">
      <c r="A1420" s="201"/>
      <c r="B1420" s="201"/>
    </row>
    <row r="1421" spans="1:2" x14ac:dyDescent="0.25">
      <c r="A1421" s="201"/>
      <c r="B1421" s="201"/>
    </row>
    <row r="1422" spans="1:2" x14ac:dyDescent="0.25">
      <c r="A1422" s="201"/>
      <c r="B1422" s="201"/>
    </row>
    <row r="1423" spans="1:2" x14ac:dyDescent="0.25">
      <c r="A1423" s="201"/>
      <c r="B1423" s="201"/>
    </row>
    <row r="1424" spans="1:2" x14ac:dyDescent="0.25">
      <c r="A1424" s="201"/>
      <c r="B1424" s="201"/>
    </row>
    <row r="1425" spans="1:2" x14ac:dyDescent="0.25">
      <c r="A1425" s="201"/>
      <c r="B1425" s="201"/>
    </row>
    <row r="1426" spans="1:2" x14ac:dyDescent="0.25">
      <c r="A1426" s="201"/>
      <c r="B1426" s="201"/>
    </row>
    <row r="1427" spans="1:2" x14ac:dyDescent="0.25">
      <c r="A1427" s="201"/>
      <c r="B1427" s="201"/>
    </row>
    <row r="1428" spans="1:2" x14ac:dyDescent="0.25">
      <c r="A1428" s="201"/>
      <c r="B1428" s="201"/>
    </row>
    <row r="1429" spans="1:2" x14ac:dyDescent="0.25">
      <c r="A1429" s="201"/>
      <c r="B1429" s="201"/>
    </row>
    <row r="1430" spans="1:2" x14ac:dyDescent="0.25">
      <c r="A1430" s="201"/>
      <c r="B1430" s="201"/>
    </row>
    <row r="1431" spans="1:2" x14ac:dyDescent="0.25">
      <c r="A1431" s="201"/>
      <c r="B1431" s="201"/>
    </row>
    <row r="1432" spans="1:2" x14ac:dyDescent="0.25">
      <c r="A1432" s="201"/>
      <c r="B1432" s="201"/>
    </row>
    <row r="1433" spans="1:2" x14ac:dyDescent="0.25">
      <c r="A1433" s="201"/>
      <c r="B1433" s="201"/>
    </row>
    <row r="1434" spans="1:2" x14ac:dyDescent="0.25">
      <c r="A1434" s="201"/>
      <c r="B1434" s="201"/>
    </row>
    <row r="1435" spans="1:2" x14ac:dyDescent="0.25">
      <c r="A1435" s="201"/>
      <c r="B1435" s="201"/>
    </row>
    <row r="1436" spans="1:2" x14ac:dyDescent="0.25">
      <c r="A1436" s="201"/>
      <c r="B1436" s="201"/>
    </row>
    <row r="1437" spans="1:2" x14ac:dyDescent="0.25">
      <c r="A1437" s="201"/>
      <c r="B1437" s="201"/>
    </row>
    <row r="1438" spans="1:2" x14ac:dyDescent="0.25">
      <c r="A1438" s="201"/>
      <c r="B1438" s="201"/>
    </row>
    <row r="1439" spans="1:2" x14ac:dyDescent="0.25">
      <c r="A1439" s="201"/>
      <c r="B1439" s="201"/>
    </row>
    <row r="1440" spans="1:2" x14ac:dyDescent="0.25">
      <c r="A1440" s="201"/>
      <c r="B1440" s="201"/>
    </row>
    <row r="1441" spans="1:2" x14ac:dyDescent="0.25">
      <c r="A1441" s="201"/>
      <c r="B1441" s="201"/>
    </row>
    <row r="1442" spans="1:2" x14ac:dyDescent="0.25">
      <c r="A1442" s="201"/>
      <c r="B1442" s="201"/>
    </row>
    <row r="1443" spans="1:2" x14ac:dyDescent="0.25">
      <c r="A1443" s="201"/>
      <c r="B1443" s="201"/>
    </row>
    <row r="1444" spans="1:2" x14ac:dyDescent="0.25">
      <c r="A1444" s="201"/>
      <c r="B1444" s="201"/>
    </row>
    <row r="1445" spans="1:2" x14ac:dyDescent="0.25">
      <c r="A1445" s="201"/>
      <c r="B1445" s="201"/>
    </row>
    <row r="1446" spans="1:2" x14ac:dyDescent="0.25">
      <c r="A1446" s="201"/>
      <c r="B1446" s="201"/>
    </row>
    <row r="1447" spans="1:2" x14ac:dyDescent="0.25">
      <c r="A1447" s="201"/>
      <c r="B1447" s="201"/>
    </row>
    <row r="1448" spans="1:2" x14ac:dyDescent="0.25">
      <c r="A1448" s="201"/>
      <c r="B1448" s="201"/>
    </row>
    <row r="1449" spans="1:2" x14ac:dyDescent="0.25">
      <c r="A1449" s="201"/>
      <c r="B1449" s="201"/>
    </row>
    <row r="1450" spans="1:2" x14ac:dyDescent="0.25">
      <c r="A1450" s="201"/>
      <c r="B1450" s="201"/>
    </row>
    <row r="1451" spans="1:2" x14ac:dyDescent="0.25">
      <c r="A1451" s="201"/>
      <c r="B1451" s="201"/>
    </row>
    <row r="1452" spans="1:2" x14ac:dyDescent="0.25">
      <c r="A1452" s="201"/>
      <c r="B1452" s="201"/>
    </row>
    <row r="1453" spans="1:2" x14ac:dyDescent="0.25">
      <c r="A1453" s="201"/>
      <c r="B1453" s="201"/>
    </row>
    <row r="1454" spans="1:2" x14ac:dyDescent="0.25">
      <c r="A1454" s="201"/>
      <c r="B1454" s="201"/>
    </row>
    <row r="1455" spans="1:2" x14ac:dyDescent="0.25">
      <c r="A1455" s="201"/>
      <c r="B1455" s="201"/>
    </row>
    <row r="1456" spans="1:2" x14ac:dyDescent="0.25">
      <c r="A1456" s="201"/>
      <c r="B1456" s="201"/>
    </row>
    <row r="1457" spans="1:2" x14ac:dyDescent="0.25">
      <c r="A1457" s="201"/>
      <c r="B1457" s="201"/>
    </row>
    <row r="1458" spans="1:2" x14ac:dyDescent="0.25">
      <c r="A1458" s="201"/>
      <c r="B1458" s="201"/>
    </row>
    <row r="1459" spans="1:2" x14ac:dyDescent="0.25">
      <c r="A1459" s="201"/>
      <c r="B1459" s="201"/>
    </row>
    <row r="1460" spans="1:2" x14ac:dyDescent="0.25">
      <c r="A1460" s="201"/>
      <c r="B1460" s="201"/>
    </row>
    <row r="1461" spans="1:2" x14ac:dyDescent="0.25">
      <c r="A1461" s="201"/>
      <c r="B1461" s="201"/>
    </row>
    <row r="1462" spans="1:2" x14ac:dyDescent="0.25">
      <c r="A1462" s="201"/>
      <c r="B1462" s="201"/>
    </row>
    <row r="1463" spans="1:2" x14ac:dyDescent="0.25">
      <c r="A1463" s="201"/>
      <c r="B1463" s="201"/>
    </row>
    <row r="1464" spans="1:2" x14ac:dyDescent="0.25">
      <c r="A1464" s="201"/>
      <c r="B1464" s="201"/>
    </row>
    <row r="1465" spans="1:2" x14ac:dyDescent="0.25">
      <c r="A1465" s="201"/>
      <c r="B1465" s="201"/>
    </row>
    <row r="1466" spans="1:2" x14ac:dyDescent="0.25">
      <c r="A1466" s="201"/>
      <c r="B1466" s="201"/>
    </row>
    <row r="1467" spans="1:2" x14ac:dyDescent="0.25">
      <c r="A1467" s="201"/>
      <c r="B1467" s="201"/>
    </row>
    <row r="1468" spans="1:2" x14ac:dyDescent="0.25">
      <c r="A1468" s="201"/>
      <c r="B1468" s="201"/>
    </row>
    <row r="1469" spans="1:2" x14ac:dyDescent="0.25">
      <c r="A1469" s="201"/>
      <c r="B1469" s="201"/>
    </row>
    <row r="1470" spans="1:2" x14ac:dyDescent="0.25">
      <c r="A1470" s="201"/>
      <c r="B1470" s="201"/>
    </row>
    <row r="1471" spans="1:2" x14ac:dyDescent="0.25">
      <c r="A1471" s="201"/>
      <c r="B1471" s="201"/>
    </row>
    <row r="1472" spans="1:2" x14ac:dyDescent="0.25">
      <c r="A1472" s="201"/>
      <c r="B1472" s="201"/>
    </row>
    <row r="1473" spans="1:2" x14ac:dyDescent="0.25">
      <c r="A1473" s="201"/>
      <c r="B1473" s="201"/>
    </row>
    <row r="1474" spans="1:2" x14ac:dyDescent="0.25">
      <c r="A1474" s="201"/>
      <c r="B1474" s="201"/>
    </row>
    <row r="1475" spans="1:2" x14ac:dyDescent="0.25">
      <c r="A1475" s="201"/>
      <c r="B1475" s="201"/>
    </row>
    <row r="1476" spans="1:2" x14ac:dyDescent="0.25">
      <c r="A1476" s="201"/>
      <c r="B1476" s="201"/>
    </row>
    <row r="1477" spans="1:2" x14ac:dyDescent="0.25">
      <c r="A1477" s="201"/>
      <c r="B1477" s="201"/>
    </row>
    <row r="1478" spans="1:2" x14ac:dyDescent="0.25">
      <c r="A1478" s="201"/>
      <c r="B1478" s="201"/>
    </row>
    <row r="1479" spans="1:2" x14ac:dyDescent="0.25">
      <c r="A1479" s="201"/>
      <c r="B1479" s="201"/>
    </row>
    <row r="1480" spans="1:2" x14ac:dyDescent="0.25">
      <c r="A1480" s="201"/>
      <c r="B1480" s="201"/>
    </row>
    <row r="1481" spans="1:2" x14ac:dyDescent="0.25">
      <c r="A1481" s="201"/>
      <c r="B1481" s="201"/>
    </row>
    <row r="1482" spans="1:2" x14ac:dyDescent="0.25">
      <c r="A1482" s="201"/>
      <c r="B1482" s="201"/>
    </row>
    <row r="1483" spans="1:2" x14ac:dyDescent="0.25">
      <c r="A1483" s="201"/>
      <c r="B1483" s="201"/>
    </row>
    <row r="1484" spans="1:2" x14ac:dyDescent="0.25">
      <c r="A1484" s="201"/>
      <c r="B1484" s="201"/>
    </row>
    <row r="1485" spans="1:2" x14ac:dyDescent="0.25">
      <c r="A1485" s="201"/>
      <c r="B1485" s="201"/>
    </row>
    <row r="1486" spans="1:2" x14ac:dyDescent="0.25">
      <c r="A1486" s="201"/>
      <c r="B1486" s="201"/>
    </row>
    <row r="1487" spans="1:2" x14ac:dyDescent="0.25">
      <c r="A1487" s="201"/>
      <c r="B1487" s="201"/>
    </row>
    <row r="1488" spans="1:2" x14ac:dyDescent="0.25">
      <c r="A1488" s="201"/>
      <c r="B1488" s="201"/>
    </row>
    <row r="1489" spans="1:2" x14ac:dyDescent="0.25">
      <c r="A1489" s="201"/>
      <c r="B1489" s="201"/>
    </row>
    <row r="1490" spans="1:2" x14ac:dyDescent="0.25">
      <c r="A1490" s="201"/>
      <c r="B1490" s="201"/>
    </row>
    <row r="1491" spans="1:2" x14ac:dyDescent="0.25">
      <c r="A1491" s="201"/>
      <c r="B1491" s="201"/>
    </row>
    <row r="1492" spans="1:2" x14ac:dyDescent="0.25">
      <c r="A1492" s="201"/>
      <c r="B1492" s="201"/>
    </row>
    <row r="1493" spans="1:2" x14ac:dyDescent="0.25">
      <c r="A1493" s="201"/>
      <c r="B1493" s="201"/>
    </row>
    <row r="1494" spans="1:2" x14ac:dyDescent="0.25">
      <c r="A1494" s="201"/>
      <c r="B1494" s="201"/>
    </row>
    <row r="1495" spans="1:2" x14ac:dyDescent="0.25">
      <c r="A1495" s="201"/>
      <c r="B1495" s="201"/>
    </row>
    <row r="1496" spans="1:2" x14ac:dyDescent="0.25">
      <c r="A1496" s="201"/>
      <c r="B1496" s="201"/>
    </row>
    <row r="1497" spans="1:2" x14ac:dyDescent="0.25">
      <c r="A1497" s="201"/>
      <c r="B1497" s="201"/>
    </row>
    <row r="1498" spans="1:2" x14ac:dyDescent="0.25">
      <c r="A1498" s="201"/>
      <c r="B1498" s="201"/>
    </row>
    <row r="1499" spans="1:2" x14ac:dyDescent="0.25">
      <c r="A1499" s="201"/>
      <c r="B1499" s="201"/>
    </row>
    <row r="1500" spans="1:2" x14ac:dyDescent="0.25">
      <c r="A1500" s="201"/>
      <c r="B1500" s="201"/>
    </row>
    <row r="1501" spans="1:2" x14ac:dyDescent="0.25">
      <c r="A1501" s="201"/>
      <c r="B1501" s="201"/>
    </row>
    <row r="1502" spans="1:2" x14ac:dyDescent="0.25">
      <c r="A1502" s="201"/>
      <c r="B1502" s="201"/>
    </row>
    <row r="1503" spans="1:2" x14ac:dyDescent="0.25">
      <c r="A1503" s="201"/>
      <c r="B1503" s="201"/>
    </row>
    <row r="1504" spans="1:2" x14ac:dyDescent="0.25">
      <c r="A1504" s="201"/>
      <c r="B1504" s="201"/>
    </row>
    <row r="1505" spans="1:2" x14ac:dyDescent="0.25">
      <c r="A1505" s="201"/>
      <c r="B1505" s="201"/>
    </row>
    <row r="1506" spans="1:2" x14ac:dyDescent="0.25">
      <c r="A1506" s="201"/>
      <c r="B1506" s="201"/>
    </row>
    <row r="1507" spans="1:2" x14ac:dyDescent="0.25">
      <c r="A1507" s="201"/>
      <c r="B1507" s="201"/>
    </row>
    <row r="1508" spans="1:2" x14ac:dyDescent="0.25">
      <c r="A1508" s="201"/>
      <c r="B1508" s="201"/>
    </row>
    <row r="1509" spans="1:2" x14ac:dyDescent="0.25">
      <c r="A1509" s="201"/>
      <c r="B1509" s="201"/>
    </row>
    <row r="1510" spans="1:2" x14ac:dyDescent="0.25">
      <c r="A1510" s="201"/>
      <c r="B1510" s="201"/>
    </row>
    <row r="1511" spans="1:2" x14ac:dyDescent="0.25">
      <c r="A1511" s="201"/>
      <c r="B1511" s="201"/>
    </row>
    <row r="1512" spans="1:2" x14ac:dyDescent="0.25">
      <c r="A1512" s="201"/>
      <c r="B1512" s="201"/>
    </row>
    <row r="1513" spans="1:2" x14ac:dyDescent="0.25">
      <c r="A1513" s="201"/>
      <c r="B1513" s="201"/>
    </row>
    <row r="1514" spans="1:2" x14ac:dyDescent="0.25">
      <c r="A1514" s="201"/>
      <c r="B1514" s="201"/>
    </row>
    <row r="1515" spans="1:2" x14ac:dyDescent="0.25">
      <c r="A1515" s="201"/>
      <c r="B1515" s="201"/>
    </row>
    <row r="1516" spans="1:2" x14ac:dyDescent="0.25">
      <c r="A1516" s="201"/>
      <c r="B1516" s="201"/>
    </row>
    <row r="1517" spans="1:2" x14ac:dyDescent="0.25">
      <c r="A1517" s="201"/>
      <c r="B1517" s="201"/>
    </row>
    <row r="1518" spans="1:2" x14ac:dyDescent="0.25">
      <c r="A1518" s="201"/>
      <c r="B1518" s="201"/>
    </row>
    <row r="1519" spans="1:2" x14ac:dyDescent="0.25">
      <c r="A1519" s="201"/>
      <c r="B1519" s="201"/>
    </row>
    <row r="1520" spans="1:2" x14ac:dyDescent="0.25">
      <c r="A1520" s="201"/>
      <c r="B1520" s="201"/>
    </row>
    <row r="1521" spans="1:2" x14ac:dyDescent="0.25">
      <c r="A1521" s="201"/>
      <c r="B1521" s="201"/>
    </row>
    <row r="1522" spans="1:2" x14ac:dyDescent="0.25">
      <c r="A1522" s="201"/>
      <c r="B1522" s="201"/>
    </row>
    <row r="1523" spans="1:2" x14ac:dyDescent="0.25">
      <c r="A1523" s="201"/>
      <c r="B1523" s="201"/>
    </row>
    <row r="1524" spans="1:2" x14ac:dyDescent="0.25">
      <c r="A1524" s="201"/>
      <c r="B1524" s="201"/>
    </row>
    <row r="1525" spans="1:2" x14ac:dyDescent="0.25">
      <c r="A1525" s="201"/>
      <c r="B1525" s="201"/>
    </row>
    <row r="1526" spans="1:2" x14ac:dyDescent="0.25">
      <c r="A1526" s="201"/>
      <c r="B1526" s="201"/>
    </row>
    <row r="1527" spans="1:2" x14ac:dyDescent="0.25">
      <c r="A1527" s="201"/>
      <c r="B1527" s="201"/>
    </row>
    <row r="1528" spans="1:2" x14ac:dyDescent="0.25">
      <c r="A1528" s="201"/>
      <c r="B1528" s="201"/>
    </row>
    <row r="1529" spans="1:2" x14ac:dyDescent="0.25">
      <c r="A1529" s="201"/>
      <c r="B1529" s="201"/>
    </row>
    <row r="1530" spans="1:2" x14ac:dyDescent="0.25">
      <c r="A1530" s="201"/>
      <c r="B1530" s="201"/>
    </row>
    <row r="1531" spans="1:2" x14ac:dyDescent="0.25">
      <c r="A1531" s="201"/>
      <c r="B1531" s="201"/>
    </row>
    <row r="1532" spans="1:2" x14ac:dyDescent="0.25">
      <c r="A1532" s="201"/>
      <c r="B1532" s="201"/>
    </row>
    <row r="1533" spans="1:2" x14ac:dyDescent="0.25">
      <c r="A1533" s="201"/>
      <c r="B1533" s="201"/>
    </row>
    <row r="1534" spans="1:2" x14ac:dyDescent="0.25">
      <c r="A1534" s="201"/>
      <c r="B1534" s="201"/>
    </row>
    <row r="1535" spans="1:2" x14ac:dyDescent="0.25">
      <c r="A1535" s="201"/>
      <c r="B1535" s="201"/>
    </row>
    <row r="1536" spans="1:2" x14ac:dyDescent="0.25">
      <c r="A1536" s="201"/>
      <c r="B1536" s="201"/>
    </row>
    <row r="1537" spans="1:2" x14ac:dyDescent="0.25">
      <c r="A1537" s="201"/>
      <c r="B1537" s="201"/>
    </row>
    <row r="1538" spans="1:2" x14ac:dyDescent="0.25">
      <c r="A1538" s="201"/>
      <c r="B1538" s="201"/>
    </row>
    <row r="1539" spans="1:2" x14ac:dyDescent="0.25">
      <c r="A1539" s="201"/>
      <c r="B1539" s="201"/>
    </row>
    <row r="1540" spans="1:2" x14ac:dyDescent="0.25">
      <c r="A1540" s="201"/>
      <c r="B1540" s="201"/>
    </row>
    <row r="1541" spans="1:2" x14ac:dyDescent="0.25">
      <c r="A1541" s="201"/>
      <c r="B1541" s="201"/>
    </row>
    <row r="1542" spans="1:2" x14ac:dyDescent="0.25">
      <c r="A1542" s="201"/>
      <c r="B1542" s="201"/>
    </row>
    <row r="1543" spans="1:2" x14ac:dyDescent="0.25">
      <c r="A1543" s="201"/>
      <c r="B1543" s="201"/>
    </row>
    <row r="1544" spans="1:2" x14ac:dyDescent="0.25">
      <c r="A1544" s="201"/>
      <c r="B1544" s="201"/>
    </row>
    <row r="1545" spans="1:2" x14ac:dyDescent="0.25">
      <c r="A1545" s="201"/>
      <c r="B1545" s="201"/>
    </row>
    <row r="1546" spans="1:2" x14ac:dyDescent="0.25">
      <c r="A1546" s="201"/>
      <c r="B1546" s="201"/>
    </row>
    <row r="1547" spans="1:2" x14ac:dyDescent="0.25">
      <c r="A1547" s="201"/>
      <c r="B1547" s="201"/>
    </row>
    <row r="1548" spans="1:2" x14ac:dyDescent="0.25">
      <c r="A1548" s="201"/>
      <c r="B1548" s="201"/>
    </row>
    <row r="1549" spans="1:2" x14ac:dyDescent="0.25">
      <c r="A1549" s="201"/>
      <c r="B1549" s="201"/>
    </row>
    <row r="1550" spans="1:2" x14ac:dyDescent="0.25">
      <c r="A1550" s="201"/>
      <c r="B1550" s="201"/>
    </row>
    <row r="1551" spans="1:2" x14ac:dyDescent="0.25">
      <c r="A1551" s="201"/>
      <c r="B1551" s="201"/>
    </row>
    <row r="1552" spans="1:2" x14ac:dyDescent="0.25">
      <c r="A1552" s="201"/>
      <c r="B1552" s="201"/>
    </row>
    <row r="1553" spans="1:2" x14ac:dyDescent="0.25">
      <c r="A1553" s="201"/>
      <c r="B1553" s="201"/>
    </row>
    <row r="1554" spans="1:2" x14ac:dyDescent="0.25">
      <c r="A1554" s="201"/>
      <c r="B1554" s="201"/>
    </row>
    <row r="1555" spans="1:2" x14ac:dyDescent="0.25">
      <c r="A1555" s="201"/>
      <c r="B1555" s="201"/>
    </row>
    <row r="1556" spans="1:2" x14ac:dyDescent="0.25">
      <c r="A1556" s="201"/>
      <c r="B1556" s="201"/>
    </row>
    <row r="1557" spans="1:2" x14ac:dyDescent="0.25">
      <c r="A1557" s="201"/>
      <c r="B1557" s="201"/>
    </row>
    <row r="1558" spans="1:2" x14ac:dyDescent="0.25">
      <c r="A1558" s="201"/>
      <c r="B1558" s="201"/>
    </row>
    <row r="1559" spans="1:2" x14ac:dyDescent="0.25">
      <c r="A1559" s="201"/>
      <c r="B1559" s="201"/>
    </row>
    <row r="1560" spans="1:2" x14ac:dyDescent="0.25">
      <c r="A1560" s="201"/>
      <c r="B1560" s="201"/>
    </row>
    <row r="1561" spans="1:2" x14ac:dyDescent="0.25">
      <c r="A1561" s="201"/>
      <c r="B1561" s="201"/>
    </row>
    <row r="1562" spans="1:2" x14ac:dyDescent="0.25">
      <c r="A1562" s="201"/>
      <c r="B1562" s="201"/>
    </row>
    <row r="1563" spans="1:2" x14ac:dyDescent="0.25">
      <c r="A1563" s="201"/>
      <c r="B1563" s="201"/>
    </row>
    <row r="1564" spans="1:2" x14ac:dyDescent="0.25">
      <c r="A1564" s="201"/>
      <c r="B1564" s="201"/>
    </row>
    <row r="1565" spans="1:2" x14ac:dyDescent="0.25">
      <c r="A1565" s="201"/>
      <c r="B1565" s="201"/>
    </row>
    <row r="1566" spans="1:2" x14ac:dyDescent="0.25">
      <c r="A1566" s="201"/>
      <c r="B1566" s="201"/>
    </row>
    <row r="1567" spans="1:2" x14ac:dyDescent="0.25">
      <c r="A1567" s="201"/>
      <c r="B1567" s="201"/>
    </row>
    <row r="1568" spans="1:2" x14ac:dyDescent="0.25">
      <c r="A1568" s="201"/>
      <c r="B1568" s="201"/>
    </row>
    <row r="1569" spans="1:2" x14ac:dyDescent="0.25">
      <c r="A1569" s="201"/>
      <c r="B1569" s="201"/>
    </row>
    <row r="1570" spans="1:2" x14ac:dyDescent="0.25">
      <c r="A1570" s="201"/>
      <c r="B1570" s="201"/>
    </row>
    <row r="1571" spans="1:2" x14ac:dyDescent="0.25">
      <c r="A1571" s="201"/>
      <c r="B1571" s="201"/>
    </row>
    <row r="1572" spans="1:2" x14ac:dyDescent="0.25">
      <c r="A1572" s="201"/>
      <c r="B1572" s="201"/>
    </row>
    <row r="1573" spans="1:2" x14ac:dyDescent="0.25">
      <c r="A1573" s="201"/>
      <c r="B1573" s="201"/>
    </row>
    <row r="1574" spans="1:2" x14ac:dyDescent="0.25">
      <c r="A1574" s="201"/>
      <c r="B1574" s="201"/>
    </row>
    <row r="1575" spans="1:2" x14ac:dyDescent="0.25">
      <c r="A1575" s="201"/>
      <c r="B1575" s="201"/>
    </row>
    <row r="1576" spans="1:2" x14ac:dyDescent="0.25">
      <c r="A1576" s="201"/>
      <c r="B1576" s="201"/>
    </row>
    <row r="1577" spans="1:2" x14ac:dyDescent="0.25">
      <c r="A1577" s="201"/>
      <c r="B1577" s="201"/>
    </row>
    <row r="1578" spans="1:2" x14ac:dyDescent="0.25">
      <c r="A1578" s="201"/>
      <c r="B1578" s="201"/>
    </row>
    <row r="1579" spans="1:2" x14ac:dyDescent="0.25">
      <c r="A1579" s="201"/>
      <c r="B1579" s="201"/>
    </row>
    <row r="1580" spans="1:2" x14ac:dyDescent="0.25">
      <c r="A1580" s="201"/>
      <c r="B1580" s="201"/>
    </row>
    <row r="1581" spans="1:2" x14ac:dyDescent="0.25">
      <c r="A1581" s="201"/>
      <c r="B1581" s="201"/>
    </row>
    <row r="1582" spans="1:2" x14ac:dyDescent="0.25">
      <c r="A1582" s="201"/>
      <c r="B1582" s="201"/>
    </row>
    <row r="1583" spans="1:2" x14ac:dyDescent="0.25">
      <c r="A1583" s="201"/>
      <c r="B1583" s="201"/>
    </row>
    <row r="1584" spans="1:2" x14ac:dyDescent="0.25">
      <c r="A1584" s="201"/>
      <c r="B1584" s="201"/>
    </row>
    <row r="1585" spans="1:2" x14ac:dyDescent="0.25">
      <c r="A1585" s="201"/>
      <c r="B1585" s="201"/>
    </row>
    <row r="1586" spans="1:2" x14ac:dyDescent="0.25">
      <c r="A1586" s="201"/>
      <c r="B1586" s="201"/>
    </row>
    <row r="1587" spans="1:2" x14ac:dyDescent="0.25">
      <c r="A1587" s="201"/>
      <c r="B1587" s="201"/>
    </row>
    <row r="1588" spans="1:2" x14ac:dyDescent="0.25">
      <c r="A1588" s="201"/>
      <c r="B1588" s="201"/>
    </row>
    <row r="1589" spans="1:2" x14ac:dyDescent="0.25">
      <c r="A1589" s="201"/>
      <c r="B1589" s="201"/>
    </row>
    <row r="1590" spans="1:2" x14ac:dyDescent="0.25">
      <c r="A1590" s="201"/>
      <c r="B1590" s="201"/>
    </row>
    <row r="1591" spans="1:2" x14ac:dyDescent="0.25">
      <c r="A1591" s="201"/>
      <c r="B1591" s="201"/>
    </row>
    <row r="1592" spans="1:2" x14ac:dyDescent="0.25">
      <c r="A1592" s="201"/>
      <c r="B1592" s="201"/>
    </row>
    <row r="1593" spans="1:2" x14ac:dyDescent="0.25">
      <c r="A1593" s="201"/>
      <c r="B1593" s="201"/>
    </row>
    <row r="1594" spans="1:2" x14ac:dyDescent="0.25">
      <c r="A1594" s="201"/>
      <c r="B1594" s="201"/>
    </row>
    <row r="1595" spans="1:2" x14ac:dyDescent="0.25">
      <c r="A1595" s="201"/>
      <c r="B1595" s="201"/>
    </row>
    <row r="1596" spans="1:2" x14ac:dyDescent="0.25">
      <c r="A1596" s="201"/>
      <c r="B1596" s="201"/>
    </row>
    <row r="1597" spans="1:2" x14ac:dyDescent="0.25">
      <c r="A1597" s="201"/>
      <c r="B1597" s="201"/>
    </row>
    <row r="1598" spans="1:2" x14ac:dyDescent="0.25">
      <c r="A1598" s="201"/>
      <c r="B1598" s="201"/>
    </row>
    <row r="1599" spans="1:2" x14ac:dyDescent="0.25">
      <c r="A1599" s="201"/>
      <c r="B1599" s="201"/>
    </row>
    <row r="1600" spans="1:2" x14ac:dyDescent="0.25">
      <c r="A1600" s="201"/>
      <c r="B1600" s="201"/>
    </row>
    <row r="1601" spans="1:2" x14ac:dyDescent="0.25">
      <c r="A1601" s="201"/>
      <c r="B1601" s="201"/>
    </row>
    <row r="1602" spans="1:2" x14ac:dyDescent="0.25">
      <c r="A1602" s="201"/>
      <c r="B1602" s="201"/>
    </row>
    <row r="1603" spans="1:2" x14ac:dyDescent="0.25">
      <c r="A1603" s="201"/>
      <c r="B1603" s="201"/>
    </row>
    <row r="1604" spans="1:2" x14ac:dyDescent="0.25">
      <c r="A1604" s="201"/>
      <c r="B1604" s="201"/>
    </row>
    <row r="1605" spans="1:2" x14ac:dyDescent="0.25">
      <c r="A1605" s="201"/>
      <c r="B1605" s="201"/>
    </row>
    <row r="1606" spans="1:2" x14ac:dyDescent="0.25">
      <c r="A1606" s="201"/>
      <c r="B1606" s="201"/>
    </row>
    <row r="1607" spans="1:2" x14ac:dyDescent="0.25">
      <c r="A1607" s="201"/>
      <c r="B1607" s="201"/>
    </row>
    <row r="1608" spans="1:2" x14ac:dyDescent="0.25">
      <c r="A1608" s="201"/>
      <c r="B1608" s="201"/>
    </row>
    <row r="1609" spans="1:2" x14ac:dyDescent="0.25">
      <c r="A1609" s="201"/>
      <c r="B1609" s="201"/>
    </row>
    <row r="1610" spans="1:2" x14ac:dyDescent="0.25">
      <c r="A1610" s="201"/>
      <c r="B1610" s="201"/>
    </row>
    <row r="1611" spans="1:2" x14ac:dyDescent="0.25">
      <c r="A1611" s="201"/>
      <c r="B1611" s="201"/>
    </row>
    <row r="1612" spans="1:2" x14ac:dyDescent="0.25">
      <c r="A1612" s="201"/>
      <c r="B1612" s="201"/>
    </row>
    <row r="1613" spans="1:2" x14ac:dyDescent="0.25">
      <c r="A1613" s="201"/>
      <c r="B1613" s="201"/>
    </row>
    <row r="1614" spans="1:2" x14ac:dyDescent="0.25">
      <c r="A1614" s="201"/>
      <c r="B1614" s="201"/>
    </row>
    <row r="1615" spans="1:2" x14ac:dyDescent="0.25">
      <c r="A1615" s="201"/>
      <c r="B1615" s="201"/>
    </row>
    <row r="1616" spans="1:2" x14ac:dyDescent="0.25">
      <c r="A1616" s="201"/>
      <c r="B1616" s="201"/>
    </row>
    <row r="1617" spans="1:2" x14ac:dyDescent="0.25">
      <c r="A1617" s="201"/>
      <c r="B1617" s="201"/>
    </row>
    <row r="1618" spans="1:2" x14ac:dyDescent="0.25">
      <c r="A1618" s="201"/>
      <c r="B1618" s="201"/>
    </row>
    <row r="1619" spans="1:2" x14ac:dyDescent="0.25">
      <c r="A1619" s="201"/>
      <c r="B1619" s="201"/>
    </row>
    <row r="1620" spans="1:2" x14ac:dyDescent="0.25">
      <c r="A1620" s="201"/>
      <c r="B1620" s="201"/>
    </row>
    <row r="1621" spans="1:2" x14ac:dyDescent="0.25">
      <c r="A1621" s="201"/>
      <c r="B1621" s="201"/>
    </row>
    <row r="1622" spans="1:2" x14ac:dyDescent="0.25">
      <c r="A1622" s="201"/>
      <c r="B1622" s="201"/>
    </row>
    <row r="1623" spans="1:2" x14ac:dyDescent="0.25">
      <c r="A1623" s="201"/>
      <c r="B1623" s="201"/>
    </row>
    <row r="1624" spans="1:2" x14ac:dyDescent="0.25">
      <c r="A1624" s="201"/>
      <c r="B1624" s="201"/>
    </row>
    <row r="1625" spans="1:2" x14ac:dyDescent="0.25">
      <c r="A1625" s="201"/>
      <c r="B1625" s="201"/>
    </row>
    <row r="1626" spans="1:2" x14ac:dyDescent="0.25">
      <c r="A1626" s="201"/>
      <c r="B1626" s="201"/>
    </row>
    <row r="1627" spans="1:2" x14ac:dyDescent="0.25">
      <c r="A1627" s="201"/>
      <c r="B1627" s="201"/>
    </row>
    <row r="1628" spans="1:2" x14ac:dyDescent="0.25">
      <c r="A1628" s="201"/>
      <c r="B1628" s="201"/>
    </row>
    <row r="1629" spans="1:2" x14ac:dyDescent="0.25">
      <c r="A1629" s="201"/>
      <c r="B1629" s="201"/>
    </row>
    <row r="1630" spans="1:2" x14ac:dyDescent="0.25">
      <c r="A1630" s="201"/>
      <c r="B1630" s="201"/>
    </row>
    <row r="1631" spans="1:2" x14ac:dyDescent="0.25">
      <c r="A1631" s="201"/>
      <c r="B1631" s="201"/>
    </row>
    <row r="1632" spans="1:2" x14ac:dyDescent="0.25">
      <c r="A1632" s="201"/>
      <c r="B1632" s="201"/>
    </row>
    <row r="1633" spans="1:2" x14ac:dyDescent="0.25">
      <c r="A1633" s="201"/>
      <c r="B1633" s="201"/>
    </row>
    <row r="1634" spans="1:2" x14ac:dyDescent="0.25">
      <c r="A1634" s="201"/>
      <c r="B1634" s="201"/>
    </row>
    <row r="1635" spans="1:2" x14ac:dyDescent="0.25">
      <c r="A1635" s="201"/>
      <c r="B1635" s="201"/>
    </row>
    <row r="1636" spans="1:2" x14ac:dyDescent="0.25">
      <c r="A1636" s="201"/>
      <c r="B1636" s="201"/>
    </row>
    <row r="1637" spans="1:2" x14ac:dyDescent="0.25">
      <c r="A1637" s="201"/>
      <c r="B1637" s="201"/>
    </row>
    <row r="1638" spans="1:2" x14ac:dyDescent="0.25">
      <c r="A1638" s="201"/>
      <c r="B1638" s="201"/>
    </row>
    <row r="1639" spans="1:2" x14ac:dyDescent="0.25">
      <c r="A1639" s="201"/>
      <c r="B1639" s="201"/>
    </row>
    <row r="1640" spans="1:2" x14ac:dyDescent="0.25">
      <c r="A1640" s="201"/>
      <c r="B1640" s="201"/>
    </row>
    <row r="1641" spans="1:2" x14ac:dyDescent="0.25">
      <c r="A1641" s="201"/>
      <c r="B1641" s="201"/>
    </row>
    <row r="1642" spans="1:2" x14ac:dyDescent="0.25">
      <c r="A1642" s="201"/>
      <c r="B1642" s="201"/>
    </row>
    <row r="1643" spans="1:2" x14ac:dyDescent="0.25">
      <c r="A1643" s="201"/>
      <c r="B1643" s="201"/>
    </row>
    <row r="1644" spans="1:2" x14ac:dyDescent="0.25">
      <c r="A1644" s="201"/>
      <c r="B1644" s="201"/>
    </row>
    <row r="1645" spans="1:2" x14ac:dyDescent="0.25">
      <c r="A1645" s="201"/>
      <c r="B1645" s="201"/>
    </row>
    <row r="1646" spans="1:2" x14ac:dyDescent="0.25">
      <c r="A1646" s="201"/>
      <c r="B1646" s="201"/>
    </row>
    <row r="1647" spans="1:2" x14ac:dyDescent="0.25">
      <c r="A1647" s="201"/>
      <c r="B1647" s="201"/>
    </row>
    <row r="1648" spans="1:2" x14ac:dyDescent="0.25">
      <c r="A1648" s="201"/>
      <c r="B1648" s="201"/>
    </row>
    <row r="1649" spans="1:2" x14ac:dyDescent="0.25">
      <c r="A1649" s="201"/>
      <c r="B1649" s="201"/>
    </row>
    <row r="1650" spans="1:2" x14ac:dyDescent="0.25">
      <c r="A1650" s="201"/>
      <c r="B1650" s="201"/>
    </row>
    <row r="1651" spans="1:2" x14ac:dyDescent="0.25">
      <c r="A1651" s="201"/>
      <c r="B1651" s="201"/>
    </row>
    <row r="1652" spans="1:2" x14ac:dyDescent="0.25">
      <c r="A1652" s="201"/>
      <c r="B1652" s="201"/>
    </row>
    <row r="1653" spans="1:2" x14ac:dyDescent="0.25">
      <c r="A1653" s="201"/>
      <c r="B1653" s="201"/>
    </row>
    <row r="1654" spans="1:2" x14ac:dyDescent="0.25">
      <c r="A1654" s="201"/>
      <c r="B1654" s="201"/>
    </row>
    <row r="1655" spans="1:2" x14ac:dyDescent="0.25">
      <c r="A1655" s="201"/>
      <c r="B1655" s="201"/>
    </row>
    <row r="1656" spans="1:2" x14ac:dyDescent="0.25">
      <c r="A1656" s="201"/>
      <c r="B1656" s="201"/>
    </row>
    <row r="1657" spans="1:2" x14ac:dyDescent="0.25">
      <c r="A1657" s="201"/>
      <c r="B1657" s="201"/>
    </row>
    <row r="1658" spans="1:2" x14ac:dyDescent="0.25">
      <c r="A1658" s="201"/>
      <c r="B1658" s="201"/>
    </row>
    <row r="1659" spans="1:2" x14ac:dyDescent="0.25">
      <c r="A1659" s="201"/>
      <c r="B1659" s="201"/>
    </row>
    <row r="1660" spans="1:2" x14ac:dyDescent="0.25">
      <c r="A1660" s="201"/>
      <c r="B1660" s="201"/>
    </row>
    <row r="1661" spans="1:2" x14ac:dyDescent="0.25">
      <c r="A1661" s="201"/>
      <c r="B1661" s="201"/>
    </row>
    <row r="1662" spans="1:2" x14ac:dyDescent="0.25">
      <c r="A1662" s="201"/>
      <c r="B1662" s="201"/>
    </row>
    <row r="1663" spans="1:2" x14ac:dyDescent="0.25">
      <c r="A1663" s="201"/>
      <c r="B1663" s="201"/>
    </row>
    <row r="1664" spans="1:2" x14ac:dyDescent="0.25">
      <c r="A1664" s="201"/>
      <c r="B1664" s="201"/>
    </row>
    <row r="1665" spans="1:2" x14ac:dyDescent="0.25">
      <c r="A1665" s="201"/>
      <c r="B1665" s="201"/>
    </row>
    <row r="1666" spans="1:2" x14ac:dyDescent="0.25">
      <c r="A1666" s="201"/>
      <c r="B1666" s="201"/>
    </row>
    <row r="1667" spans="1:2" x14ac:dyDescent="0.25">
      <c r="A1667" s="201"/>
      <c r="B1667" s="201"/>
    </row>
    <row r="1668" spans="1:2" x14ac:dyDescent="0.25">
      <c r="A1668" s="201"/>
      <c r="B1668" s="201"/>
    </row>
    <row r="1669" spans="1:2" x14ac:dyDescent="0.25">
      <c r="A1669" s="201"/>
      <c r="B1669" s="201"/>
    </row>
    <row r="1670" spans="1:2" x14ac:dyDescent="0.25">
      <c r="A1670" s="201"/>
      <c r="B1670" s="201"/>
    </row>
    <row r="1671" spans="1:2" x14ac:dyDescent="0.25">
      <c r="A1671" s="201"/>
      <c r="B1671" s="201"/>
    </row>
    <row r="1672" spans="1:2" x14ac:dyDescent="0.25">
      <c r="A1672" s="201"/>
      <c r="B1672" s="201"/>
    </row>
    <row r="1673" spans="1:2" x14ac:dyDescent="0.25">
      <c r="A1673" s="201"/>
      <c r="B1673" s="201"/>
    </row>
    <row r="1674" spans="1:2" x14ac:dyDescent="0.25">
      <c r="A1674" s="201"/>
      <c r="B1674" s="201"/>
    </row>
    <row r="1675" spans="1:2" x14ac:dyDescent="0.25">
      <c r="A1675" s="201"/>
      <c r="B1675" s="201"/>
    </row>
    <row r="1676" spans="1:2" x14ac:dyDescent="0.25">
      <c r="A1676" s="201"/>
      <c r="B1676" s="201"/>
    </row>
    <row r="1677" spans="1:2" x14ac:dyDescent="0.25">
      <c r="A1677" s="201"/>
      <c r="B1677" s="201"/>
    </row>
    <row r="1678" spans="1:2" x14ac:dyDescent="0.25">
      <c r="A1678" s="201"/>
      <c r="B1678" s="201"/>
    </row>
    <row r="1679" spans="1:2" x14ac:dyDescent="0.25">
      <c r="A1679" s="201"/>
      <c r="B1679" s="201"/>
    </row>
    <row r="1680" spans="1:2" x14ac:dyDescent="0.25">
      <c r="A1680" s="201"/>
      <c r="B1680" s="201"/>
    </row>
    <row r="1681" spans="1:2" x14ac:dyDescent="0.25">
      <c r="A1681" s="201"/>
      <c r="B1681" s="201"/>
    </row>
    <row r="1682" spans="1:2" x14ac:dyDescent="0.25">
      <c r="A1682" s="201"/>
      <c r="B1682" s="201"/>
    </row>
    <row r="1683" spans="1:2" x14ac:dyDescent="0.25">
      <c r="A1683" s="201"/>
      <c r="B1683" s="201"/>
    </row>
    <row r="1684" spans="1:2" x14ac:dyDescent="0.25">
      <c r="A1684" s="201"/>
      <c r="B1684" s="201"/>
    </row>
    <row r="1685" spans="1:2" x14ac:dyDescent="0.25">
      <c r="A1685" s="201"/>
      <c r="B1685" s="201"/>
    </row>
    <row r="1686" spans="1:2" x14ac:dyDescent="0.25">
      <c r="A1686" s="201"/>
      <c r="B1686" s="201"/>
    </row>
    <row r="1687" spans="1:2" x14ac:dyDescent="0.25">
      <c r="A1687" s="201"/>
      <c r="B1687" s="201"/>
    </row>
    <row r="1688" spans="1:2" x14ac:dyDescent="0.25">
      <c r="A1688" s="201"/>
      <c r="B1688" s="201"/>
    </row>
    <row r="1689" spans="1:2" x14ac:dyDescent="0.25">
      <c r="A1689" s="201"/>
      <c r="B1689" s="201"/>
    </row>
    <row r="1690" spans="1:2" x14ac:dyDescent="0.25">
      <c r="A1690" s="201"/>
      <c r="B1690" s="201"/>
    </row>
    <row r="1691" spans="1:2" x14ac:dyDescent="0.25">
      <c r="A1691" s="201"/>
      <c r="B1691" s="201"/>
    </row>
    <row r="1692" spans="1:2" x14ac:dyDescent="0.25">
      <c r="A1692" s="201"/>
      <c r="B1692" s="201"/>
    </row>
    <row r="1693" spans="1:2" x14ac:dyDescent="0.25">
      <c r="A1693" s="201"/>
      <c r="B1693" s="201"/>
    </row>
    <row r="1694" spans="1:2" x14ac:dyDescent="0.25">
      <c r="A1694" s="201"/>
      <c r="B1694" s="201"/>
    </row>
    <row r="1695" spans="1:2" x14ac:dyDescent="0.25">
      <c r="A1695" s="201"/>
      <c r="B1695" s="201"/>
    </row>
    <row r="1696" spans="1:2" x14ac:dyDescent="0.25">
      <c r="A1696" s="201"/>
      <c r="B1696" s="201"/>
    </row>
    <row r="1697" spans="1:2" x14ac:dyDescent="0.25">
      <c r="A1697" s="201"/>
      <c r="B1697" s="201"/>
    </row>
    <row r="1698" spans="1:2" x14ac:dyDescent="0.25">
      <c r="A1698" s="201"/>
      <c r="B1698" s="201"/>
    </row>
    <row r="1699" spans="1:2" x14ac:dyDescent="0.25">
      <c r="A1699" s="201"/>
      <c r="B1699" s="201"/>
    </row>
    <row r="1700" spans="1:2" x14ac:dyDescent="0.25">
      <c r="A1700" s="201"/>
      <c r="B1700" s="201"/>
    </row>
    <row r="1701" spans="1:2" x14ac:dyDescent="0.25">
      <c r="A1701" s="201"/>
      <c r="B1701" s="201"/>
    </row>
    <row r="1702" spans="1:2" x14ac:dyDescent="0.25">
      <c r="A1702" s="201"/>
      <c r="B1702" s="201"/>
    </row>
    <row r="1703" spans="1:2" x14ac:dyDescent="0.25">
      <c r="A1703" s="201"/>
      <c r="B1703" s="201"/>
    </row>
    <row r="1704" spans="1:2" x14ac:dyDescent="0.25">
      <c r="A1704" s="201"/>
      <c r="B1704" s="201"/>
    </row>
    <row r="1705" spans="1:2" x14ac:dyDescent="0.25">
      <c r="A1705" s="201"/>
      <c r="B1705" s="201"/>
    </row>
    <row r="1706" spans="1:2" x14ac:dyDescent="0.25">
      <c r="A1706" s="201"/>
      <c r="B1706" s="201"/>
    </row>
    <row r="1707" spans="1:2" x14ac:dyDescent="0.25">
      <c r="A1707" s="201"/>
      <c r="B1707" s="201"/>
    </row>
    <row r="1708" spans="1:2" x14ac:dyDescent="0.25">
      <c r="A1708" s="201"/>
      <c r="B1708" s="201"/>
    </row>
    <row r="1709" spans="1:2" x14ac:dyDescent="0.25">
      <c r="A1709" s="201"/>
      <c r="B1709" s="201"/>
    </row>
    <row r="1710" spans="1:2" x14ac:dyDescent="0.25">
      <c r="A1710" s="201"/>
      <c r="B1710" s="201"/>
    </row>
    <row r="1711" spans="1:2" x14ac:dyDescent="0.25">
      <c r="A1711" s="201"/>
      <c r="B1711" s="201"/>
    </row>
    <row r="1712" spans="1:2" x14ac:dyDescent="0.25">
      <c r="A1712" s="201"/>
      <c r="B1712" s="201"/>
    </row>
    <row r="1713" spans="1:2" x14ac:dyDescent="0.25">
      <c r="A1713" s="201"/>
      <c r="B1713" s="201"/>
    </row>
    <row r="1714" spans="1:2" x14ac:dyDescent="0.25">
      <c r="A1714" s="201"/>
      <c r="B1714" s="201"/>
    </row>
    <row r="1715" spans="1:2" x14ac:dyDescent="0.25">
      <c r="A1715" s="201"/>
      <c r="B1715" s="201"/>
    </row>
    <row r="1716" spans="1:2" x14ac:dyDescent="0.25">
      <c r="A1716" s="201"/>
      <c r="B1716" s="201"/>
    </row>
    <row r="1717" spans="1:2" x14ac:dyDescent="0.25">
      <c r="A1717" s="201"/>
      <c r="B1717" s="201"/>
    </row>
    <row r="1718" spans="1:2" x14ac:dyDescent="0.25">
      <c r="A1718" s="201"/>
      <c r="B1718" s="201"/>
    </row>
    <row r="1719" spans="1:2" x14ac:dyDescent="0.25">
      <c r="A1719" s="201"/>
      <c r="B1719" s="201"/>
    </row>
    <row r="1720" spans="1:2" x14ac:dyDescent="0.25">
      <c r="A1720" s="201"/>
      <c r="B1720" s="201"/>
    </row>
    <row r="1721" spans="1:2" x14ac:dyDescent="0.25">
      <c r="A1721" s="201"/>
      <c r="B1721" s="201"/>
    </row>
    <row r="1722" spans="1:2" x14ac:dyDescent="0.25">
      <c r="A1722" s="201"/>
      <c r="B1722" s="201"/>
    </row>
    <row r="1723" spans="1:2" x14ac:dyDescent="0.25">
      <c r="A1723" s="201"/>
      <c r="B1723" s="201"/>
    </row>
    <row r="1724" spans="1:2" x14ac:dyDescent="0.25">
      <c r="A1724" s="201"/>
      <c r="B1724" s="201"/>
    </row>
    <row r="1725" spans="1:2" x14ac:dyDescent="0.25">
      <c r="A1725" s="201"/>
      <c r="B1725" s="201"/>
    </row>
    <row r="1726" spans="1:2" x14ac:dyDescent="0.25">
      <c r="A1726" s="201"/>
      <c r="B1726" s="201"/>
    </row>
    <row r="1727" spans="1:2" x14ac:dyDescent="0.25">
      <c r="A1727" s="201"/>
      <c r="B1727" s="201"/>
    </row>
    <row r="1728" spans="1:2" x14ac:dyDescent="0.25">
      <c r="A1728" s="201"/>
      <c r="B1728" s="201"/>
    </row>
    <row r="1729" spans="1:2" x14ac:dyDescent="0.25">
      <c r="A1729" s="201"/>
      <c r="B1729" s="201"/>
    </row>
    <row r="1730" spans="1:2" x14ac:dyDescent="0.25">
      <c r="A1730" s="201"/>
      <c r="B1730" s="201"/>
    </row>
    <row r="1731" spans="1:2" x14ac:dyDescent="0.25">
      <c r="A1731" s="201"/>
      <c r="B1731" s="201"/>
    </row>
    <row r="1732" spans="1:2" x14ac:dyDescent="0.25">
      <c r="A1732" s="201"/>
      <c r="B1732" s="201"/>
    </row>
    <row r="1733" spans="1:2" x14ac:dyDescent="0.25">
      <c r="A1733" s="201"/>
      <c r="B1733" s="201"/>
    </row>
    <row r="1734" spans="1:2" x14ac:dyDescent="0.25">
      <c r="A1734" s="201"/>
      <c r="B1734" s="201"/>
    </row>
    <row r="1735" spans="1:2" x14ac:dyDescent="0.25">
      <c r="A1735" s="201"/>
      <c r="B1735" s="201"/>
    </row>
    <row r="1736" spans="1:2" x14ac:dyDescent="0.25">
      <c r="A1736" s="201"/>
      <c r="B1736" s="201"/>
    </row>
    <row r="1737" spans="1:2" x14ac:dyDescent="0.25">
      <c r="A1737" s="201"/>
      <c r="B1737" s="201"/>
    </row>
    <row r="1738" spans="1:2" x14ac:dyDescent="0.25">
      <c r="A1738" s="201"/>
      <c r="B1738" s="201"/>
    </row>
    <row r="1739" spans="1:2" x14ac:dyDescent="0.25">
      <c r="A1739" s="201"/>
      <c r="B1739" s="201"/>
    </row>
    <row r="1740" spans="1:2" x14ac:dyDescent="0.25">
      <c r="A1740" s="201"/>
      <c r="B1740" s="201"/>
    </row>
    <row r="1741" spans="1:2" x14ac:dyDescent="0.25">
      <c r="A1741" s="201"/>
      <c r="B1741" s="201"/>
    </row>
    <row r="1742" spans="1:2" x14ac:dyDescent="0.25">
      <c r="A1742" s="201"/>
      <c r="B1742" s="201"/>
    </row>
    <row r="1743" spans="1:2" x14ac:dyDescent="0.25">
      <c r="A1743" s="201"/>
      <c r="B1743" s="201"/>
    </row>
    <row r="1744" spans="1:2" x14ac:dyDescent="0.25">
      <c r="A1744" s="201"/>
      <c r="B1744" s="201"/>
    </row>
    <row r="1745" spans="1:2" x14ac:dyDescent="0.25">
      <c r="A1745" s="201"/>
      <c r="B1745" s="201"/>
    </row>
    <row r="1746" spans="1:2" x14ac:dyDescent="0.25">
      <c r="A1746" s="201"/>
      <c r="B1746" s="201"/>
    </row>
    <row r="1747" spans="1:2" x14ac:dyDescent="0.25">
      <c r="A1747" s="201"/>
      <c r="B1747" s="201"/>
    </row>
    <row r="1748" spans="1:2" x14ac:dyDescent="0.25">
      <c r="A1748" s="201"/>
      <c r="B1748" s="201"/>
    </row>
    <row r="1749" spans="1:2" x14ac:dyDescent="0.25">
      <c r="A1749" s="201"/>
      <c r="B1749" s="201"/>
    </row>
    <row r="1750" spans="1:2" x14ac:dyDescent="0.25">
      <c r="A1750" s="201"/>
      <c r="B1750" s="201"/>
    </row>
    <row r="1751" spans="1:2" x14ac:dyDescent="0.25">
      <c r="A1751" s="201"/>
      <c r="B1751" s="201"/>
    </row>
    <row r="1752" spans="1:2" x14ac:dyDescent="0.25">
      <c r="A1752" s="201"/>
      <c r="B1752" s="201"/>
    </row>
    <row r="1753" spans="1:2" x14ac:dyDescent="0.25">
      <c r="A1753" s="201"/>
      <c r="B1753" s="201"/>
    </row>
    <row r="1754" spans="1:2" x14ac:dyDescent="0.25">
      <c r="A1754" s="201"/>
      <c r="B1754" s="201"/>
    </row>
    <row r="1755" spans="1:2" x14ac:dyDescent="0.25">
      <c r="A1755" s="201"/>
      <c r="B1755" s="201"/>
    </row>
    <row r="1756" spans="1:2" x14ac:dyDescent="0.25">
      <c r="A1756" s="201"/>
      <c r="B1756" s="201"/>
    </row>
    <row r="1757" spans="1:2" x14ac:dyDescent="0.25">
      <c r="A1757" s="201"/>
      <c r="B1757" s="201"/>
    </row>
    <row r="1758" spans="1:2" x14ac:dyDescent="0.25">
      <c r="A1758" s="201"/>
      <c r="B1758" s="201"/>
    </row>
    <row r="1759" spans="1:2" x14ac:dyDescent="0.25">
      <c r="A1759" s="201"/>
      <c r="B1759" s="201"/>
    </row>
    <row r="1760" spans="1:2" x14ac:dyDescent="0.25">
      <c r="A1760" s="201"/>
      <c r="B1760" s="201"/>
    </row>
    <row r="1761" spans="1:2" x14ac:dyDescent="0.25">
      <c r="A1761" s="201"/>
      <c r="B1761" s="201"/>
    </row>
    <row r="1762" spans="1:2" x14ac:dyDescent="0.25">
      <c r="A1762" s="201"/>
      <c r="B1762" s="201"/>
    </row>
    <row r="1763" spans="1:2" x14ac:dyDescent="0.25">
      <c r="A1763" s="201"/>
      <c r="B1763" s="201"/>
    </row>
    <row r="1764" spans="1:2" x14ac:dyDescent="0.25">
      <c r="A1764" s="201"/>
      <c r="B1764" s="201"/>
    </row>
    <row r="1765" spans="1:2" x14ac:dyDescent="0.25">
      <c r="A1765" s="201"/>
      <c r="B1765" s="201"/>
    </row>
    <row r="1766" spans="1:2" x14ac:dyDescent="0.25">
      <c r="A1766" s="201"/>
      <c r="B1766" s="201"/>
    </row>
    <row r="1767" spans="1:2" x14ac:dyDescent="0.25">
      <c r="A1767" s="201"/>
      <c r="B1767" s="201"/>
    </row>
    <row r="1768" spans="1:2" x14ac:dyDescent="0.25">
      <c r="A1768" s="201"/>
      <c r="B1768" s="201"/>
    </row>
    <row r="1769" spans="1:2" x14ac:dyDescent="0.25">
      <c r="A1769" s="201"/>
      <c r="B1769" s="201"/>
    </row>
    <row r="1770" spans="1:2" x14ac:dyDescent="0.25">
      <c r="A1770" s="201"/>
      <c r="B1770" s="201"/>
    </row>
    <row r="1771" spans="1:2" x14ac:dyDescent="0.25">
      <c r="A1771" s="201"/>
      <c r="B1771" s="201"/>
    </row>
    <row r="1772" spans="1:2" x14ac:dyDescent="0.25">
      <c r="A1772" s="201"/>
      <c r="B1772" s="201"/>
    </row>
    <row r="1773" spans="1:2" x14ac:dyDescent="0.25">
      <c r="A1773" s="201"/>
      <c r="B1773" s="201"/>
    </row>
    <row r="1774" spans="1:2" x14ac:dyDescent="0.25">
      <c r="A1774" s="201"/>
      <c r="B1774" s="201"/>
    </row>
    <row r="1775" spans="1:2" x14ac:dyDescent="0.25">
      <c r="A1775" s="201"/>
      <c r="B1775" s="201"/>
    </row>
    <row r="1776" spans="1:2" x14ac:dyDescent="0.25">
      <c r="A1776" s="201"/>
      <c r="B1776" s="201"/>
    </row>
    <row r="1777" spans="1:2" x14ac:dyDescent="0.25">
      <c r="A1777" s="201"/>
      <c r="B1777" s="201"/>
    </row>
    <row r="1778" spans="1:2" x14ac:dyDescent="0.25">
      <c r="A1778" s="201"/>
      <c r="B1778" s="201"/>
    </row>
    <row r="1779" spans="1:2" x14ac:dyDescent="0.25">
      <c r="A1779" s="201"/>
      <c r="B1779" s="201"/>
    </row>
    <row r="1780" spans="1:2" x14ac:dyDescent="0.25">
      <c r="A1780" s="201"/>
      <c r="B1780" s="201"/>
    </row>
    <row r="1781" spans="1:2" x14ac:dyDescent="0.25">
      <c r="A1781" s="201"/>
      <c r="B1781" s="201"/>
    </row>
    <row r="1782" spans="1:2" x14ac:dyDescent="0.25">
      <c r="A1782" s="201"/>
      <c r="B1782" s="201"/>
    </row>
    <row r="1783" spans="1:2" x14ac:dyDescent="0.25">
      <c r="A1783" s="201"/>
      <c r="B1783" s="201"/>
    </row>
    <row r="1784" spans="1:2" x14ac:dyDescent="0.25">
      <c r="A1784" s="201"/>
      <c r="B1784" s="201"/>
    </row>
    <row r="1785" spans="1:2" x14ac:dyDescent="0.25">
      <c r="A1785" s="201"/>
      <c r="B1785" s="201"/>
    </row>
    <row r="1786" spans="1:2" x14ac:dyDescent="0.25">
      <c r="A1786" s="201"/>
      <c r="B1786" s="201"/>
    </row>
    <row r="1787" spans="1:2" x14ac:dyDescent="0.25">
      <c r="A1787" s="201"/>
      <c r="B1787" s="201"/>
    </row>
    <row r="1788" spans="1:2" x14ac:dyDescent="0.25">
      <c r="A1788" s="201"/>
      <c r="B1788" s="201"/>
    </row>
    <row r="1789" spans="1:2" x14ac:dyDescent="0.25">
      <c r="A1789" s="201"/>
      <c r="B1789" s="201"/>
    </row>
    <row r="1790" spans="1:2" x14ac:dyDescent="0.25">
      <c r="A1790" s="201"/>
      <c r="B1790" s="201"/>
    </row>
    <row r="1791" spans="1:2" x14ac:dyDescent="0.25">
      <c r="A1791" s="201"/>
      <c r="B1791" s="201"/>
    </row>
    <row r="1792" spans="1:2" x14ac:dyDescent="0.25">
      <c r="A1792" s="201"/>
      <c r="B1792" s="201"/>
    </row>
    <row r="1793" spans="1:2" x14ac:dyDescent="0.25">
      <c r="A1793" s="201"/>
      <c r="B1793" s="201"/>
    </row>
    <row r="1794" spans="1:2" x14ac:dyDescent="0.25">
      <c r="A1794" s="201"/>
      <c r="B1794" s="201"/>
    </row>
    <row r="1795" spans="1:2" x14ac:dyDescent="0.25">
      <c r="A1795" s="201"/>
      <c r="B1795" s="201"/>
    </row>
    <row r="1796" spans="1:2" x14ac:dyDescent="0.25">
      <c r="A1796" s="201"/>
      <c r="B1796" s="201"/>
    </row>
    <row r="1797" spans="1:2" x14ac:dyDescent="0.25">
      <c r="A1797" s="201"/>
      <c r="B1797" s="201"/>
    </row>
    <row r="1798" spans="1:2" x14ac:dyDescent="0.25">
      <c r="A1798" s="201"/>
      <c r="B1798" s="201"/>
    </row>
    <row r="1799" spans="1:2" x14ac:dyDescent="0.25">
      <c r="A1799" s="201"/>
      <c r="B1799" s="201"/>
    </row>
    <row r="1800" spans="1:2" x14ac:dyDescent="0.25">
      <c r="A1800" s="201"/>
      <c r="B1800" s="201"/>
    </row>
    <row r="1801" spans="1:2" x14ac:dyDescent="0.25">
      <c r="A1801" s="201"/>
      <c r="B1801" s="201"/>
    </row>
    <row r="1802" spans="1:2" x14ac:dyDescent="0.25">
      <c r="A1802" s="201"/>
      <c r="B1802" s="201"/>
    </row>
    <row r="1803" spans="1:2" x14ac:dyDescent="0.25">
      <c r="A1803" s="201"/>
      <c r="B1803" s="201"/>
    </row>
    <row r="1804" spans="1:2" x14ac:dyDescent="0.25">
      <c r="A1804" s="201"/>
      <c r="B1804" s="201"/>
    </row>
    <row r="1805" spans="1:2" x14ac:dyDescent="0.25">
      <c r="A1805" s="201"/>
      <c r="B1805" s="201"/>
    </row>
    <row r="1806" spans="1:2" x14ac:dyDescent="0.25">
      <c r="A1806" s="201"/>
      <c r="B1806" s="201"/>
    </row>
    <row r="1807" spans="1:2" x14ac:dyDescent="0.25">
      <c r="A1807" s="201"/>
      <c r="B1807" s="201"/>
    </row>
    <row r="1808" spans="1:2" x14ac:dyDescent="0.25">
      <c r="A1808" s="201"/>
      <c r="B1808" s="201"/>
    </row>
    <row r="1809" spans="1:2" x14ac:dyDescent="0.25">
      <c r="A1809" s="201"/>
      <c r="B1809" s="201"/>
    </row>
    <row r="1810" spans="1:2" x14ac:dyDescent="0.25">
      <c r="A1810" s="201"/>
      <c r="B1810" s="201"/>
    </row>
    <row r="1811" spans="1:2" x14ac:dyDescent="0.25">
      <c r="A1811" s="201"/>
      <c r="B1811" s="201"/>
    </row>
    <row r="1812" spans="1:2" x14ac:dyDescent="0.25">
      <c r="A1812" s="201"/>
      <c r="B1812" s="201"/>
    </row>
    <row r="1813" spans="1:2" x14ac:dyDescent="0.25">
      <c r="A1813" s="201"/>
      <c r="B1813" s="201"/>
    </row>
    <row r="1814" spans="1:2" x14ac:dyDescent="0.25">
      <c r="A1814" s="201"/>
      <c r="B1814" s="201"/>
    </row>
    <row r="1815" spans="1:2" x14ac:dyDescent="0.25">
      <c r="A1815" s="201"/>
      <c r="B1815" s="201"/>
    </row>
    <row r="1816" spans="1:2" x14ac:dyDescent="0.25">
      <c r="A1816" s="201"/>
      <c r="B1816" s="201"/>
    </row>
    <row r="1817" spans="1:2" x14ac:dyDescent="0.25">
      <c r="A1817" s="201"/>
      <c r="B1817" s="201"/>
    </row>
    <row r="1818" spans="1:2" x14ac:dyDescent="0.25">
      <c r="A1818" s="201"/>
      <c r="B1818" s="201"/>
    </row>
    <row r="1819" spans="1:2" x14ac:dyDescent="0.25">
      <c r="A1819" s="201"/>
      <c r="B1819" s="201"/>
    </row>
    <row r="1820" spans="1:2" x14ac:dyDescent="0.25">
      <c r="A1820" s="201"/>
      <c r="B1820" s="201"/>
    </row>
    <row r="1821" spans="1:2" x14ac:dyDescent="0.25">
      <c r="A1821" s="201"/>
      <c r="B1821" s="201"/>
    </row>
    <row r="1822" spans="1:2" x14ac:dyDescent="0.25">
      <c r="A1822" s="201"/>
      <c r="B1822" s="201"/>
    </row>
    <row r="1823" spans="1:2" x14ac:dyDescent="0.25">
      <c r="A1823" s="201"/>
      <c r="B1823" s="201"/>
    </row>
    <row r="1824" spans="1:2" x14ac:dyDescent="0.25">
      <c r="A1824" s="201"/>
      <c r="B1824" s="201"/>
    </row>
    <row r="1825" spans="1:2" x14ac:dyDescent="0.25">
      <c r="A1825" s="201"/>
      <c r="B1825" s="201"/>
    </row>
    <row r="1826" spans="1:2" x14ac:dyDescent="0.25">
      <c r="A1826" s="201"/>
      <c r="B1826" s="201"/>
    </row>
    <row r="1827" spans="1:2" x14ac:dyDescent="0.25">
      <c r="A1827" s="201"/>
      <c r="B1827" s="201"/>
    </row>
    <row r="1828" spans="1:2" x14ac:dyDescent="0.25">
      <c r="A1828" s="201"/>
      <c r="B1828" s="201"/>
    </row>
    <row r="1829" spans="1:2" x14ac:dyDescent="0.25">
      <c r="A1829" s="201"/>
      <c r="B1829" s="201"/>
    </row>
    <row r="1830" spans="1:2" x14ac:dyDescent="0.25">
      <c r="A1830" s="201"/>
      <c r="B1830" s="201"/>
    </row>
    <row r="1831" spans="1:2" x14ac:dyDescent="0.25">
      <c r="A1831" s="201"/>
      <c r="B1831" s="201"/>
    </row>
    <row r="1832" spans="1:2" x14ac:dyDescent="0.25">
      <c r="A1832" s="201"/>
      <c r="B1832" s="201"/>
    </row>
    <row r="1833" spans="1:2" x14ac:dyDescent="0.25">
      <c r="A1833" s="201"/>
      <c r="B1833" s="201"/>
    </row>
    <row r="1834" spans="1:2" x14ac:dyDescent="0.25">
      <c r="A1834" s="201"/>
      <c r="B1834" s="201"/>
    </row>
    <row r="1835" spans="1:2" x14ac:dyDescent="0.25">
      <c r="A1835" s="201"/>
      <c r="B1835" s="201"/>
    </row>
    <row r="1836" spans="1:2" x14ac:dyDescent="0.25">
      <c r="A1836" s="201"/>
      <c r="B1836" s="201"/>
    </row>
    <row r="1837" spans="1:2" x14ac:dyDescent="0.25">
      <c r="A1837" s="201"/>
      <c r="B1837" s="201"/>
    </row>
    <row r="1838" spans="1:2" x14ac:dyDescent="0.25">
      <c r="A1838" s="201"/>
      <c r="B1838" s="201"/>
    </row>
    <row r="1839" spans="1:2" x14ac:dyDescent="0.25">
      <c r="A1839" s="201"/>
      <c r="B1839" s="201"/>
    </row>
    <row r="1840" spans="1:2" x14ac:dyDescent="0.25">
      <c r="A1840" s="201"/>
      <c r="B1840" s="201"/>
    </row>
    <row r="1841" spans="1:2" x14ac:dyDescent="0.25">
      <c r="A1841" s="201"/>
      <c r="B1841" s="201"/>
    </row>
    <row r="1842" spans="1:2" x14ac:dyDescent="0.25">
      <c r="A1842" s="201"/>
      <c r="B1842" s="201"/>
    </row>
    <row r="1843" spans="1:2" x14ac:dyDescent="0.25">
      <c r="A1843" s="201"/>
      <c r="B1843" s="201"/>
    </row>
    <row r="1844" spans="1:2" x14ac:dyDescent="0.25">
      <c r="A1844" s="201"/>
      <c r="B1844" s="201"/>
    </row>
    <row r="1845" spans="1:2" x14ac:dyDescent="0.25">
      <c r="A1845" s="201"/>
      <c r="B1845" s="201"/>
    </row>
    <row r="1846" spans="1:2" x14ac:dyDescent="0.25">
      <c r="A1846" s="201"/>
      <c r="B1846" s="201"/>
    </row>
    <row r="1847" spans="1:2" x14ac:dyDescent="0.25">
      <c r="A1847" s="201"/>
      <c r="B1847" s="201"/>
    </row>
    <row r="1848" spans="1:2" x14ac:dyDescent="0.25">
      <c r="A1848" s="201"/>
      <c r="B1848" s="201"/>
    </row>
    <row r="1849" spans="1:2" x14ac:dyDescent="0.25">
      <c r="A1849" s="201"/>
      <c r="B1849" s="201"/>
    </row>
    <row r="1850" spans="1:2" x14ac:dyDescent="0.25">
      <c r="A1850" s="201"/>
      <c r="B1850" s="201"/>
    </row>
    <row r="1851" spans="1:2" x14ac:dyDescent="0.25">
      <c r="A1851" s="201"/>
      <c r="B1851" s="201"/>
    </row>
    <row r="1852" spans="1:2" x14ac:dyDescent="0.25">
      <c r="A1852" s="201"/>
      <c r="B1852" s="201"/>
    </row>
    <row r="1853" spans="1:2" x14ac:dyDescent="0.25">
      <c r="A1853" s="201"/>
      <c r="B1853" s="201"/>
    </row>
    <row r="1854" spans="1:2" x14ac:dyDescent="0.25">
      <c r="A1854" s="201"/>
      <c r="B1854" s="201"/>
    </row>
    <row r="1855" spans="1:2" x14ac:dyDescent="0.25">
      <c r="A1855" s="201"/>
      <c r="B1855" s="201"/>
    </row>
    <row r="1856" spans="1:2" x14ac:dyDescent="0.25">
      <c r="A1856" s="201"/>
      <c r="B1856" s="201"/>
    </row>
    <row r="1857" spans="1:2" x14ac:dyDescent="0.25">
      <c r="A1857" s="201"/>
      <c r="B1857" s="201"/>
    </row>
    <row r="1858" spans="1:2" x14ac:dyDescent="0.25">
      <c r="A1858" s="201"/>
      <c r="B1858" s="201"/>
    </row>
    <row r="1859" spans="1:2" x14ac:dyDescent="0.25">
      <c r="A1859" s="201"/>
      <c r="B1859" s="201"/>
    </row>
    <row r="1860" spans="1:2" x14ac:dyDescent="0.25">
      <c r="A1860" s="201"/>
      <c r="B1860" s="201"/>
    </row>
    <row r="1861" spans="1:2" x14ac:dyDescent="0.25">
      <c r="A1861" s="201"/>
      <c r="B1861" s="201"/>
    </row>
    <row r="1862" spans="1:2" x14ac:dyDescent="0.25">
      <c r="A1862" s="201"/>
      <c r="B1862" s="201"/>
    </row>
    <row r="1863" spans="1:2" x14ac:dyDescent="0.25">
      <c r="A1863" s="201"/>
      <c r="B1863" s="201"/>
    </row>
    <row r="1864" spans="1:2" x14ac:dyDescent="0.25">
      <c r="A1864" s="201"/>
      <c r="B1864" s="201"/>
    </row>
    <row r="1865" spans="1:2" x14ac:dyDescent="0.25">
      <c r="A1865" s="201"/>
      <c r="B1865" s="201"/>
    </row>
    <row r="1866" spans="1:2" x14ac:dyDescent="0.25">
      <c r="A1866" s="201"/>
      <c r="B1866" s="201"/>
    </row>
    <row r="1867" spans="1:2" x14ac:dyDescent="0.25">
      <c r="A1867" s="201"/>
      <c r="B1867" s="201"/>
    </row>
    <row r="1868" spans="1:2" x14ac:dyDescent="0.25">
      <c r="A1868" s="201"/>
      <c r="B1868" s="201"/>
    </row>
    <row r="1869" spans="1:2" x14ac:dyDescent="0.25">
      <c r="A1869" s="201"/>
      <c r="B1869" s="201"/>
    </row>
    <row r="1870" spans="1:2" x14ac:dyDescent="0.25">
      <c r="A1870" s="201"/>
      <c r="B1870" s="201"/>
    </row>
    <row r="1871" spans="1:2" x14ac:dyDescent="0.25">
      <c r="A1871" s="201"/>
      <c r="B1871" s="201"/>
    </row>
    <row r="1872" spans="1:2" x14ac:dyDescent="0.25">
      <c r="A1872" s="201"/>
      <c r="B1872" s="201"/>
    </row>
    <row r="1873" spans="1:2" x14ac:dyDescent="0.25">
      <c r="A1873" s="201"/>
      <c r="B1873" s="201"/>
    </row>
    <row r="1874" spans="1:2" x14ac:dyDescent="0.25">
      <c r="A1874" s="201"/>
      <c r="B1874" s="201"/>
    </row>
    <row r="1875" spans="1:2" x14ac:dyDescent="0.25">
      <c r="A1875" s="201"/>
      <c r="B1875" s="201"/>
    </row>
    <row r="1876" spans="1:2" x14ac:dyDescent="0.25">
      <c r="A1876" s="201"/>
      <c r="B1876" s="201"/>
    </row>
    <row r="1877" spans="1:2" x14ac:dyDescent="0.25">
      <c r="A1877" s="201"/>
      <c r="B1877" s="201"/>
    </row>
    <row r="1878" spans="1:2" x14ac:dyDescent="0.25">
      <c r="A1878" s="201"/>
      <c r="B1878" s="201"/>
    </row>
    <row r="1879" spans="1:2" x14ac:dyDescent="0.25">
      <c r="A1879" s="201"/>
      <c r="B1879" s="201"/>
    </row>
    <row r="1880" spans="1:2" x14ac:dyDescent="0.25">
      <c r="A1880" s="201"/>
      <c r="B1880" s="201"/>
    </row>
    <row r="1881" spans="1:2" x14ac:dyDescent="0.25">
      <c r="A1881" s="201"/>
      <c r="B1881" s="201"/>
    </row>
    <row r="1882" spans="1:2" x14ac:dyDescent="0.25">
      <c r="A1882" s="201"/>
      <c r="B1882" s="201"/>
    </row>
    <row r="1883" spans="1:2" x14ac:dyDescent="0.25">
      <c r="A1883" s="201"/>
      <c r="B1883" s="201"/>
    </row>
    <row r="1884" spans="1:2" x14ac:dyDescent="0.25">
      <c r="A1884" s="201"/>
      <c r="B1884" s="201"/>
    </row>
    <row r="1885" spans="1:2" x14ac:dyDescent="0.25">
      <c r="A1885" s="201"/>
      <c r="B1885" s="201"/>
    </row>
    <row r="1886" spans="1:2" x14ac:dyDescent="0.25">
      <c r="A1886" s="201"/>
      <c r="B1886" s="201"/>
    </row>
    <row r="1887" spans="1:2" x14ac:dyDescent="0.25">
      <c r="A1887" s="201"/>
      <c r="B1887" s="201"/>
    </row>
    <row r="1888" spans="1:2" x14ac:dyDescent="0.25">
      <c r="A1888" s="201"/>
      <c r="B1888" s="201"/>
    </row>
    <row r="1889" spans="1:2" x14ac:dyDescent="0.25">
      <c r="A1889" s="201"/>
      <c r="B1889" s="201"/>
    </row>
    <row r="1890" spans="1:2" x14ac:dyDescent="0.25">
      <c r="A1890" s="201"/>
      <c r="B1890" s="201"/>
    </row>
    <row r="1891" spans="1:2" x14ac:dyDescent="0.25">
      <c r="A1891" s="201"/>
      <c r="B1891" s="201"/>
    </row>
    <row r="1892" spans="1:2" x14ac:dyDescent="0.25">
      <c r="A1892" s="201"/>
      <c r="B1892" s="201"/>
    </row>
    <row r="1893" spans="1:2" x14ac:dyDescent="0.25">
      <c r="A1893" s="201"/>
      <c r="B1893" s="201"/>
    </row>
    <row r="1894" spans="1:2" x14ac:dyDescent="0.25">
      <c r="A1894" s="201"/>
      <c r="B1894" s="201"/>
    </row>
    <row r="1895" spans="1:2" x14ac:dyDescent="0.25">
      <c r="A1895" s="201"/>
      <c r="B1895" s="201"/>
    </row>
    <row r="1896" spans="1:2" x14ac:dyDescent="0.25">
      <c r="A1896" s="201"/>
      <c r="B1896" s="201"/>
    </row>
    <row r="1897" spans="1:2" x14ac:dyDescent="0.25">
      <c r="A1897" s="201"/>
      <c r="B1897" s="201"/>
    </row>
    <row r="1898" spans="1:2" x14ac:dyDescent="0.25">
      <c r="A1898" s="201"/>
      <c r="B1898" s="201"/>
    </row>
    <row r="1899" spans="1:2" x14ac:dyDescent="0.25">
      <c r="A1899" s="201"/>
      <c r="B1899" s="201"/>
    </row>
    <row r="1900" spans="1:2" x14ac:dyDescent="0.25">
      <c r="A1900" s="201"/>
      <c r="B1900" s="201"/>
    </row>
    <row r="1901" spans="1:2" x14ac:dyDescent="0.25">
      <c r="A1901" s="201"/>
      <c r="B1901" s="201"/>
    </row>
    <row r="1902" spans="1:2" x14ac:dyDescent="0.25">
      <c r="A1902" s="201"/>
      <c r="B1902" s="201"/>
    </row>
    <row r="1903" spans="1:2" x14ac:dyDescent="0.25">
      <c r="A1903" s="201"/>
      <c r="B1903" s="201"/>
    </row>
    <row r="1904" spans="1:2" x14ac:dyDescent="0.25">
      <c r="A1904" s="201"/>
      <c r="B1904" s="201"/>
    </row>
    <row r="1905" spans="1:2" x14ac:dyDescent="0.25">
      <c r="A1905" s="201"/>
      <c r="B1905" s="201"/>
    </row>
    <row r="1906" spans="1:2" x14ac:dyDescent="0.25">
      <c r="A1906" s="201"/>
      <c r="B1906" s="201"/>
    </row>
    <row r="1907" spans="1:2" x14ac:dyDescent="0.25">
      <c r="A1907" s="201"/>
      <c r="B1907" s="201"/>
    </row>
    <row r="1908" spans="1:2" x14ac:dyDescent="0.25">
      <c r="A1908" s="201"/>
      <c r="B1908" s="201"/>
    </row>
    <row r="1909" spans="1:2" x14ac:dyDescent="0.25">
      <c r="A1909" s="201"/>
      <c r="B1909" s="201"/>
    </row>
    <row r="1910" spans="1:2" x14ac:dyDescent="0.25">
      <c r="A1910" s="201"/>
      <c r="B1910" s="201"/>
    </row>
    <row r="1911" spans="1:2" x14ac:dyDescent="0.25">
      <c r="A1911" s="201"/>
      <c r="B1911" s="201"/>
    </row>
    <row r="1912" spans="1:2" x14ac:dyDescent="0.25">
      <c r="A1912" s="201"/>
      <c r="B1912" s="201"/>
    </row>
    <row r="1913" spans="1:2" x14ac:dyDescent="0.25">
      <c r="A1913" s="201"/>
      <c r="B1913" s="201"/>
    </row>
    <row r="1914" spans="1:2" x14ac:dyDescent="0.25">
      <c r="A1914" s="201"/>
      <c r="B1914" s="201"/>
    </row>
    <row r="1915" spans="1:2" x14ac:dyDescent="0.25">
      <c r="A1915" s="201"/>
      <c r="B1915" s="201"/>
    </row>
    <row r="1916" spans="1:2" x14ac:dyDescent="0.25">
      <c r="A1916" s="201"/>
      <c r="B1916" s="201"/>
    </row>
    <row r="1917" spans="1:2" x14ac:dyDescent="0.25">
      <c r="A1917" s="201"/>
      <c r="B1917" s="201"/>
    </row>
    <row r="1918" spans="1:2" x14ac:dyDescent="0.25">
      <c r="A1918" s="201"/>
      <c r="B1918" s="201"/>
    </row>
    <row r="1919" spans="1:2" x14ac:dyDescent="0.25">
      <c r="A1919" s="201"/>
      <c r="B1919" s="201"/>
    </row>
    <row r="1920" spans="1:2" x14ac:dyDescent="0.25">
      <c r="A1920" s="201"/>
      <c r="B1920" s="201"/>
    </row>
    <row r="1921" spans="1:2" x14ac:dyDescent="0.25">
      <c r="A1921" s="201"/>
      <c r="B1921" s="201"/>
    </row>
    <row r="1922" spans="1:2" x14ac:dyDescent="0.25">
      <c r="A1922" s="201"/>
      <c r="B1922" s="201"/>
    </row>
    <row r="1923" spans="1:2" x14ac:dyDescent="0.25">
      <c r="A1923" s="201"/>
      <c r="B1923" s="201"/>
    </row>
    <row r="1924" spans="1:2" x14ac:dyDescent="0.25">
      <c r="A1924" s="201"/>
      <c r="B1924" s="201"/>
    </row>
    <row r="1925" spans="1:2" x14ac:dyDescent="0.25">
      <c r="A1925" s="201"/>
      <c r="B1925" s="201"/>
    </row>
    <row r="1926" spans="1:2" x14ac:dyDescent="0.25">
      <c r="A1926" s="201"/>
      <c r="B1926" s="201"/>
    </row>
    <row r="1927" spans="1:2" x14ac:dyDescent="0.25">
      <c r="A1927" s="201"/>
      <c r="B1927" s="201"/>
    </row>
    <row r="1928" spans="1:2" x14ac:dyDescent="0.25">
      <c r="A1928" s="201"/>
      <c r="B1928" s="201"/>
    </row>
    <row r="1929" spans="1:2" x14ac:dyDescent="0.25">
      <c r="A1929" s="201"/>
      <c r="B1929" s="201"/>
    </row>
    <row r="1930" spans="1:2" x14ac:dyDescent="0.25">
      <c r="A1930" s="201"/>
      <c r="B1930" s="201"/>
    </row>
    <row r="1931" spans="1:2" x14ac:dyDescent="0.25">
      <c r="A1931" s="201"/>
      <c r="B1931" s="201"/>
    </row>
    <row r="1932" spans="1:2" x14ac:dyDescent="0.25">
      <c r="A1932" s="201"/>
      <c r="B1932" s="201"/>
    </row>
    <row r="1933" spans="1:2" x14ac:dyDescent="0.25">
      <c r="A1933" s="201"/>
      <c r="B1933" s="201"/>
    </row>
    <row r="1934" spans="1:2" x14ac:dyDescent="0.25">
      <c r="A1934" s="201"/>
      <c r="B1934" s="201"/>
    </row>
    <row r="1935" spans="1:2" x14ac:dyDescent="0.25">
      <c r="A1935" s="201"/>
      <c r="B1935" s="201"/>
    </row>
    <row r="1936" spans="1:2" x14ac:dyDescent="0.25">
      <c r="A1936" s="201"/>
      <c r="B1936" s="201"/>
    </row>
    <row r="1937" spans="1:2" x14ac:dyDescent="0.25">
      <c r="A1937" s="201"/>
      <c r="B1937" s="201"/>
    </row>
    <row r="1938" spans="1:2" x14ac:dyDescent="0.25">
      <c r="A1938" s="201"/>
      <c r="B1938" s="201"/>
    </row>
    <row r="1939" spans="1:2" x14ac:dyDescent="0.25">
      <c r="A1939" s="201"/>
      <c r="B1939" s="201"/>
    </row>
    <row r="1940" spans="1:2" x14ac:dyDescent="0.25">
      <c r="A1940" s="201"/>
      <c r="B1940" s="201"/>
    </row>
    <row r="1941" spans="1:2" x14ac:dyDescent="0.25">
      <c r="A1941" s="201"/>
      <c r="B1941" s="201"/>
    </row>
    <row r="1942" spans="1:2" x14ac:dyDescent="0.25">
      <c r="A1942" s="201"/>
      <c r="B1942" s="201"/>
    </row>
    <row r="1943" spans="1:2" x14ac:dyDescent="0.25">
      <c r="A1943" s="201"/>
      <c r="B1943" s="201"/>
    </row>
    <row r="1944" spans="1:2" x14ac:dyDescent="0.25">
      <c r="A1944" s="201"/>
      <c r="B1944" s="201"/>
    </row>
    <row r="1945" spans="1:2" x14ac:dyDescent="0.25">
      <c r="A1945" s="201"/>
      <c r="B1945" s="201"/>
    </row>
    <row r="1946" spans="1:2" x14ac:dyDescent="0.25">
      <c r="A1946" s="201"/>
      <c r="B1946" s="201"/>
    </row>
    <row r="1947" spans="1:2" x14ac:dyDescent="0.25">
      <c r="A1947" s="201"/>
      <c r="B1947" s="201"/>
    </row>
    <row r="1948" spans="1:2" x14ac:dyDescent="0.25">
      <c r="A1948" s="201"/>
      <c r="B1948" s="201"/>
    </row>
    <row r="1949" spans="1:2" x14ac:dyDescent="0.25">
      <c r="A1949" s="201"/>
      <c r="B1949" s="201"/>
    </row>
    <row r="1950" spans="1:2" x14ac:dyDescent="0.25">
      <c r="A1950" s="201"/>
      <c r="B1950" s="201"/>
    </row>
    <row r="1951" spans="1:2" x14ac:dyDescent="0.25">
      <c r="A1951" s="201"/>
      <c r="B1951" s="201"/>
    </row>
    <row r="1952" spans="1:2" x14ac:dyDescent="0.25">
      <c r="A1952" s="201"/>
      <c r="B1952" s="201"/>
    </row>
    <row r="1953" spans="1:2" x14ac:dyDescent="0.25">
      <c r="A1953" s="201"/>
      <c r="B1953" s="201"/>
    </row>
    <row r="1954" spans="1:2" x14ac:dyDescent="0.25">
      <c r="A1954" s="201"/>
      <c r="B1954" s="201"/>
    </row>
    <row r="1955" spans="1:2" x14ac:dyDescent="0.25">
      <c r="A1955" s="201"/>
      <c r="B1955" s="201"/>
    </row>
    <row r="1956" spans="1:2" x14ac:dyDescent="0.25">
      <c r="A1956" s="201"/>
      <c r="B1956" s="201"/>
    </row>
    <row r="1957" spans="1:2" x14ac:dyDescent="0.25">
      <c r="A1957" s="201"/>
      <c r="B1957" s="201"/>
    </row>
    <row r="1958" spans="1:2" x14ac:dyDescent="0.25">
      <c r="A1958" s="201"/>
      <c r="B1958" s="201"/>
    </row>
    <row r="1959" spans="1:2" x14ac:dyDescent="0.25">
      <c r="A1959" s="201"/>
      <c r="B1959" s="201"/>
    </row>
    <row r="1960" spans="1:2" x14ac:dyDescent="0.25">
      <c r="A1960" s="201"/>
      <c r="B1960" s="201"/>
    </row>
    <row r="1961" spans="1:2" x14ac:dyDescent="0.25">
      <c r="A1961" s="201"/>
      <c r="B1961" s="201"/>
    </row>
    <row r="1962" spans="1:2" x14ac:dyDescent="0.25">
      <c r="A1962" s="201"/>
      <c r="B1962" s="201"/>
    </row>
    <row r="1963" spans="1:2" x14ac:dyDescent="0.25">
      <c r="A1963" s="201"/>
      <c r="B1963" s="201"/>
    </row>
    <row r="1964" spans="1:2" x14ac:dyDescent="0.25">
      <c r="A1964" s="201"/>
      <c r="B1964" s="201"/>
    </row>
    <row r="1965" spans="1:2" x14ac:dyDescent="0.25">
      <c r="A1965" s="201"/>
      <c r="B1965" s="201"/>
    </row>
    <row r="1966" spans="1:2" x14ac:dyDescent="0.25">
      <c r="A1966" s="201"/>
      <c r="B1966" s="201"/>
    </row>
    <row r="1967" spans="1:2" x14ac:dyDescent="0.25">
      <c r="A1967" s="201"/>
      <c r="B1967" s="201"/>
    </row>
    <row r="1968" spans="1:2" x14ac:dyDescent="0.25">
      <c r="A1968" s="201"/>
      <c r="B1968" s="201"/>
    </row>
    <row r="1969" spans="1:2" x14ac:dyDescent="0.25">
      <c r="A1969" s="201"/>
      <c r="B1969" s="201"/>
    </row>
    <row r="1970" spans="1:2" x14ac:dyDescent="0.25">
      <c r="A1970" s="201"/>
      <c r="B1970" s="201"/>
    </row>
    <row r="1971" spans="1:2" x14ac:dyDescent="0.25">
      <c r="A1971" s="201"/>
      <c r="B1971" s="201"/>
    </row>
    <row r="1972" spans="1:2" x14ac:dyDescent="0.25">
      <c r="A1972" s="201"/>
      <c r="B1972" s="201"/>
    </row>
    <row r="1973" spans="1:2" x14ac:dyDescent="0.25">
      <c r="A1973" s="201"/>
      <c r="B1973" s="201"/>
    </row>
    <row r="1974" spans="1:2" x14ac:dyDescent="0.25">
      <c r="A1974" s="201"/>
      <c r="B1974" s="201"/>
    </row>
    <row r="1975" spans="1:2" x14ac:dyDescent="0.25">
      <c r="A1975" s="201"/>
      <c r="B1975" s="201"/>
    </row>
    <row r="1976" spans="1:2" x14ac:dyDescent="0.25">
      <c r="A1976" s="201"/>
      <c r="B1976" s="201"/>
    </row>
    <row r="1977" spans="1:2" x14ac:dyDescent="0.25">
      <c r="A1977" s="201"/>
      <c r="B1977" s="201"/>
    </row>
    <row r="1978" spans="1:2" x14ac:dyDescent="0.25">
      <c r="A1978" s="201"/>
      <c r="B1978" s="201"/>
    </row>
    <row r="1979" spans="1:2" x14ac:dyDescent="0.25">
      <c r="A1979" s="201"/>
      <c r="B1979" s="201"/>
    </row>
    <row r="1980" spans="1:2" x14ac:dyDescent="0.25">
      <c r="A1980" s="201"/>
      <c r="B1980" s="201"/>
    </row>
    <row r="1981" spans="1:2" x14ac:dyDescent="0.25">
      <c r="A1981" s="201"/>
      <c r="B1981" s="201"/>
    </row>
    <row r="1982" spans="1:2" x14ac:dyDescent="0.25">
      <c r="A1982" s="201"/>
      <c r="B1982" s="201"/>
    </row>
    <row r="1983" spans="1:2" x14ac:dyDescent="0.25">
      <c r="A1983" s="201"/>
      <c r="B1983" s="201"/>
    </row>
    <row r="1984" spans="1:2" x14ac:dyDescent="0.25">
      <c r="A1984" s="201"/>
      <c r="B1984" s="201"/>
    </row>
    <row r="1985" spans="1:2" x14ac:dyDescent="0.25">
      <c r="A1985" s="201"/>
      <c r="B1985" s="201"/>
    </row>
    <row r="1986" spans="1:2" x14ac:dyDescent="0.25">
      <c r="A1986" s="201"/>
      <c r="B1986" s="201"/>
    </row>
    <row r="1987" spans="1:2" x14ac:dyDescent="0.25">
      <c r="A1987" s="201"/>
      <c r="B1987" s="201"/>
    </row>
    <row r="1988" spans="1:2" x14ac:dyDescent="0.25">
      <c r="A1988" s="201"/>
      <c r="B1988" s="201"/>
    </row>
    <row r="1989" spans="1:2" x14ac:dyDescent="0.25">
      <c r="A1989" s="201"/>
      <c r="B1989" s="201"/>
    </row>
    <row r="1990" spans="1:2" x14ac:dyDescent="0.25">
      <c r="A1990" s="201"/>
      <c r="B1990" s="201"/>
    </row>
    <row r="1991" spans="1:2" x14ac:dyDescent="0.25">
      <c r="A1991" s="201"/>
      <c r="B1991" s="201"/>
    </row>
    <row r="1992" spans="1:2" x14ac:dyDescent="0.25">
      <c r="A1992" s="201"/>
      <c r="B1992" s="201"/>
    </row>
    <row r="1993" spans="1:2" x14ac:dyDescent="0.25">
      <c r="A1993" s="201"/>
      <c r="B1993" s="201"/>
    </row>
    <row r="1994" spans="1:2" x14ac:dyDescent="0.25">
      <c r="A1994" s="201"/>
      <c r="B1994" s="201"/>
    </row>
    <row r="1995" spans="1:2" x14ac:dyDescent="0.25">
      <c r="A1995" s="201"/>
      <c r="B1995" s="201"/>
    </row>
    <row r="1996" spans="1:2" x14ac:dyDescent="0.25">
      <c r="A1996" s="201"/>
      <c r="B1996" s="201"/>
    </row>
    <row r="1997" spans="1:2" x14ac:dyDescent="0.25">
      <c r="A1997" s="201"/>
      <c r="B1997" s="201"/>
    </row>
    <row r="1998" spans="1:2" x14ac:dyDescent="0.25">
      <c r="A1998" s="201"/>
      <c r="B1998" s="201"/>
    </row>
    <row r="1999" spans="1:2" x14ac:dyDescent="0.25">
      <c r="A1999" s="201"/>
      <c r="B1999" s="201"/>
    </row>
    <row r="2000" spans="1:2" x14ac:dyDescent="0.25">
      <c r="A2000" s="201"/>
      <c r="B2000" s="201"/>
    </row>
    <row r="2001" spans="1:2" x14ac:dyDescent="0.25">
      <c r="A2001" s="201"/>
      <c r="B2001" s="201"/>
    </row>
    <row r="2002" spans="1:2" x14ac:dyDescent="0.25">
      <c r="A2002" s="201"/>
      <c r="B2002" s="201"/>
    </row>
    <row r="2003" spans="1:2" x14ac:dyDescent="0.25">
      <c r="A2003" s="201"/>
      <c r="B2003" s="201"/>
    </row>
    <row r="2004" spans="1:2" x14ac:dyDescent="0.25">
      <c r="A2004" s="201"/>
      <c r="B2004" s="201"/>
    </row>
    <row r="2005" spans="1:2" x14ac:dyDescent="0.25">
      <c r="A2005" s="201"/>
      <c r="B2005" s="201"/>
    </row>
    <row r="2006" spans="1:2" x14ac:dyDescent="0.25">
      <c r="A2006" s="201"/>
      <c r="B2006" s="201"/>
    </row>
    <row r="2007" spans="1:2" x14ac:dyDescent="0.25">
      <c r="A2007" s="201"/>
      <c r="B2007" s="201"/>
    </row>
    <row r="2008" spans="1:2" x14ac:dyDescent="0.25">
      <c r="A2008" s="201"/>
      <c r="B2008" s="201"/>
    </row>
    <row r="2009" spans="1:2" x14ac:dyDescent="0.25">
      <c r="A2009" s="201"/>
      <c r="B2009" s="201"/>
    </row>
    <row r="2010" spans="1:2" x14ac:dyDescent="0.25">
      <c r="A2010" s="201"/>
      <c r="B2010" s="201"/>
    </row>
    <row r="2011" spans="1:2" x14ac:dyDescent="0.25">
      <c r="A2011" s="201"/>
      <c r="B2011" s="201"/>
    </row>
    <row r="2012" spans="1:2" x14ac:dyDescent="0.25">
      <c r="A2012" s="201"/>
      <c r="B2012" s="201"/>
    </row>
    <row r="2013" spans="1:2" x14ac:dyDescent="0.25">
      <c r="A2013" s="201"/>
      <c r="B2013" s="201"/>
    </row>
    <row r="2014" spans="1:2" x14ac:dyDescent="0.25">
      <c r="A2014" s="201"/>
      <c r="B2014" s="201"/>
    </row>
    <row r="2015" spans="1:2" x14ac:dyDescent="0.25">
      <c r="A2015" s="201"/>
      <c r="B2015" s="201"/>
    </row>
    <row r="2016" spans="1:2" x14ac:dyDescent="0.25">
      <c r="A2016" s="201"/>
      <c r="B2016" s="201"/>
    </row>
    <row r="2017" spans="1:2" x14ac:dyDescent="0.25">
      <c r="A2017" s="201"/>
      <c r="B2017" s="201"/>
    </row>
    <row r="2018" spans="1:2" x14ac:dyDescent="0.25">
      <c r="A2018" s="201"/>
      <c r="B2018" s="201"/>
    </row>
    <row r="2019" spans="1:2" x14ac:dyDescent="0.25">
      <c r="A2019" s="201"/>
      <c r="B2019" s="201"/>
    </row>
    <row r="2020" spans="1:2" x14ac:dyDescent="0.25">
      <c r="A2020" s="201"/>
      <c r="B2020" s="201"/>
    </row>
    <row r="2021" spans="1:2" x14ac:dyDescent="0.25">
      <c r="A2021" s="201"/>
      <c r="B2021" s="201"/>
    </row>
    <row r="2022" spans="1:2" x14ac:dyDescent="0.25">
      <c r="A2022" s="201"/>
      <c r="B2022" s="201"/>
    </row>
    <row r="2023" spans="1:2" x14ac:dyDescent="0.25">
      <c r="A2023" s="201"/>
      <c r="B2023" s="201"/>
    </row>
    <row r="2024" spans="1:2" x14ac:dyDescent="0.25">
      <c r="A2024" s="201"/>
      <c r="B2024" s="201"/>
    </row>
    <row r="2025" spans="1:2" x14ac:dyDescent="0.25">
      <c r="A2025" s="201"/>
      <c r="B2025" s="201"/>
    </row>
    <row r="2026" spans="1:2" x14ac:dyDescent="0.25">
      <c r="A2026" s="201"/>
      <c r="B2026" s="201"/>
    </row>
    <row r="2027" spans="1:2" x14ac:dyDescent="0.25">
      <c r="A2027" s="201"/>
      <c r="B2027" s="201"/>
    </row>
    <row r="2028" spans="1:2" x14ac:dyDescent="0.25">
      <c r="A2028" s="201"/>
      <c r="B2028" s="201"/>
    </row>
    <row r="2029" spans="1:2" x14ac:dyDescent="0.25">
      <c r="A2029" s="201"/>
      <c r="B2029" s="201"/>
    </row>
    <row r="2030" spans="1:2" x14ac:dyDescent="0.25">
      <c r="A2030" s="201"/>
      <c r="B2030" s="201"/>
    </row>
    <row r="2031" spans="1:2" x14ac:dyDescent="0.25">
      <c r="A2031" s="201"/>
      <c r="B2031" s="201"/>
    </row>
    <row r="2032" spans="1:2" x14ac:dyDescent="0.25">
      <c r="A2032" s="201"/>
      <c r="B2032" s="201"/>
    </row>
    <row r="2033" spans="1:2" x14ac:dyDescent="0.25">
      <c r="A2033" s="201"/>
      <c r="B2033" s="201"/>
    </row>
    <row r="2034" spans="1:2" x14ac:dyDescent="0.25">
      <c r="A2034" s="201"/>
      <c r="B2034" s="201"/>
    </row>
    <row r="2035" spans="1:2" x14ac:dyDescent="0.25">
      <c r="A2035" s="201"/>
      <c r="B2035" s="201"/>
    </row>
    <row r="2036" spans="1:2" x14ac:dyDescent="0.25">
      <c r="A2036" s="201"/>
      <c r="B2036" s="201"/>
    </row>
    <row r="2037" spans="1:2" x14ac:dyDescent="0.25">
      <c r="A2037" s="201"/>
      <c r="B2037" s="201"/>
    </row>
    <row r="2038" spans="1:2" x14ac:dyDescent="0.25">
      <c r="A2038" s="201"/>
      <c r="B2038" s="201"/>
    </row>
    <row r="2039" spans="1:2" x14ac:dyDescent="0.25">
      <c r="A2039" s="201"/>
      <c r="B2039" s="201"/>
    </row>
    <row r="2040" spans="1:2" x14ac:dyDescent="0.25">
      <c r="A2040" s="201"/>
      <c r="B2040" s="201"/>
    </row>
    <row r="2041" spans="1:2" x14ac:dyDescent="0.25">
      <c r="A2041" s="201"/>
      <c r="B2041" s="201"/>
    </row>
    <row r="2042" spans="1:2" x14ac:dyDescent="0.25">
      <c r="A2042" s="201"/>
      <c r="B2042" s="201"/>
    </row>
    <row r="2043" spans="1:2" x14ac:dyDescent="0.25">
      <c r="A2043" s="201"/>
      <c r="B2043" s="201"/>
    </row>
    <row r="2044" spans="1:2" x14ac:dyDescent="0.25">
      <c r="A2044" s="201"/>
      <c r="B2044" s="201"/>
    </row>
    <row r="2045" spans="1:2" x14ac:dyDescent="0.25">
      <c r="A2045" s="201"/>
      <c r="B2045" s="201"/>
    </row>
    <row r="2046" spans="1:2" x14ac:dyDescent="0.25">
      <c r="A2046" s="201"/>
      <c r="B2046" s="201"/>
    </row>
    <row r="2047" spans="1:2" x14ac:dyDescent="0.25">
      <c r="A2047" s="201"/>
      <c r="B2047" s="201"/>
    </row>
    <row r="2048" spans="1:2" x14ac:dyDescent="0.25">
      <c r="A2048" s="201"/>
      <c r="B2048" s="201"/>
    </row>
    <row r="2049" spans="1:2" x14ac:dyDescent="0.25">
      <c r="A2049" s="201"/>
      <c r="B2049" s="201"/>
    </row>
    <row r="2050" spans="1:2" x14ac:dyDescent="0.25">
      <c r="A2050" s="201"/>
      <c r="B2050" s="201"/>
    </row>
    <row r="2051" spans="1:2" x14ac:dyDescent="0.25">
      <c r="A2051" s="201"/>
      <c r="B2051" s="201"/>
    </row>
    <row r="2052" spans="1:2" x14ac:dyDescent="0.25">
      <c r="A2052" s="201"/>
      <c r="B2052" s="201"/>
    </row>
    <row r="2053" spans="1:2" x14ac:dyDescent="0.25">
      <c r="A2053" s="201"/>
      <c r="B2053" s="201"/>
    </row>
    <row r="2054" spans="1:2" x14ac:dyDescent="0.25">
      <c r="A2054" s="201"/>
      <c r="B2054" s="201"/>
    </row>
    <row r="2055" spans="1:2" x14ac:dyDescent="0.25">
      <c r="A2055" s="201"/>
      <c r="B2055" s="201"/>
    </row>
    <row r="2056" spans="1:2" x14ac:dyDescent="0.25">
      <c r="A2056" s="201"/>
      <c r="B2056" s="201"/>
    </row>
    <row r="2057" spans="1:2" x14ac:dyDescent="0.25">
      <c r="A2057" s="201"/>
      <c r="B2057" s="201"/>
    </row>
    <row r="2058" spans="1:2" x14ac:dyDescent="0.25">
      <c r="A2058" s="201"/>
      <c r="B2058" s="201"/>
    </row>
    <row r="2059" spans="1:2" x14ac:dyDescent="0.25">
      <c r="A2059" s="201"/>
      <c r="B2059" s="201"/>
    </row>
    <row r="2060" spans="1:2" x14ac:dyDescent="0.25">
      <c r="A2060" s="201"/>
      <c r="B2060" s="201"/>
    </row>
    <row r="2061" spans="1:2" x14ac:dyDescent="0.25">
      <c r="A2061" s="201"/>
      <c r="B2061" s="201"/>
    </row>
    <row r="2062" spans="1:2" x14ac:dyDescent="0.25">
      <c r="A2062" s="201"/>
      <c r="B2062" s="201"/>
    </row>
    <row r="2063" spans="1:2" x14ac:dyDescent="0.25">
      <c r="A2063" s="201"/>
      <c r="B2063" s="201"/>
    </row>
    <row r="2064" spans="1:2" x14ac:dyDescent="0.25">
      <c r="A2064" s="201"/>
      <c r="B2064" s="201"/>
    </row>
    <row r="2065" spans="1:2" x14ac:dyDescent="0.25">
      <c r="A2065" s="201"/>
      <c r="B2065" s="201"/>
    </row>
    <row r="2066" spans="1:2" x14ac:dyDescent="0.25">
      <c r="A2066" s="201"/>
      <c r="B2066" s="201"/>
    </row>
    <row r="2067" spans="1:2" x14ac:dyDescent="0.25">
      <c r="A2067" s="201"/>
      <c r="B2067" s="201"/>
    </row>
    <row r="2068" spans="1:2" x14ac:dyDescent="0.25">
      <c r="A2068" s="201"/>
      <c r="B2068" s="201"/>
    </row>
    <row r="2069" spans="1:2" x14ac:dyDescent="0.25">
      <c r="A2069" s="201"/>
      <c r="B2069" s="201"/>
    </row>
    <row r="2070" spans="1:2" x14ac:dyDescent="0.25">
      <c r="A2070" s="201"/>
      <c r="B2070" s="201"/>
    </row>
    <row r="2071" spans="1:2" x14ac:dyDescent="0.25">
      <c r="A2071" s="201"/>
      <c r="B2071" s="201"/>
    </row>
    <row r="2072" spans="1:2" x14ac:dyDescent="0.25">
      <c r="A2072" s="201"/>
      <c r="B2072" s="201"/>
    </row>
    <row r="2073" spans="1:2" x14ac:dyDescent="0.25">
      <c r="A2073" s="201"/>
      <c r="B2073" s="201"/>
    </row>
    <row r="2074" spans="1:2" x14ac:dyDescent="0.25">
      <c r="A2074" s="201"/>
      <c r="B2074" s="201"/>
    </row>
    <row r="2075" spans="1:2" x14ac:dyDescent="0.25">
      <c r="A2075" s="201"/>
      <c r="B2075" s="201"/>
    </row>
    <row r="2076" spans="1:2" x14ac:dyDescent="0.25">
      <c r="A2076" s="201"/>
      <c r="B2076" s="201"/>
    </row>
    <row r="2077" spans="1:2" x14ac:dyDescent="0.25">
      <c r="A2077" s="201"/>
      <c r="B2077" s="201"/>
    </row>
    <row r="2078" spans="1:2" x14ac:dyDescent="0.25">
      <c r="A2078" s="201"/>
      <c r="B2078" s="201"/>
    </row>
    <row r="2079" spans="1:2" x14ac:dyDescent="0.25">
      <c r="A2079" s="201"/>
      <c r="B2079" s="201"/>
    </row>
    <row r="2080" spans="1:2" x14ac:dyDescent="0.25">
      <c r="A2080" s="201"/>
      <c r="B2080" s="201"/>
    </row>
    <row r="2081" spans="1:2" x14ac:dyDescent="0.25">
      <c r="A2081" s="201"/>
      <c r="B2081" s="201"/>
    </row>
    <row r="2082" spans="1:2" x14ac:dyDescent="0.25">
      <c r="A2082" s="201"/>
      <c r="B2082" s="201"/>
    </row>
    <row r="2083" spans="1:2" x14ac:dyDescent="0.25">
      <c r="A2083" s="201"/>
      <c r="B2083" s="201"/>
    </row>
    <row r="2084" spans="1:2" x14ac:dyDescent="0.25">
      <c r="A2084" s="201"/>
      <c r="B2084" s="201"/>
    </row>
    <row r="2085" spans="1:2" x14ac:dyDescent="0.25">
      <c r="A2085" s="201"/>
      <c r="B2085" s="201"/>
    </row>
    <row r="2086" spans="1:2" x14ac:dyDescent="0.25">
      <c r="A2086" s="201"/>
      <c r="B2086" s="201"/>
    </row>
    <row r="2087" spans="1:2" x14ac:dyDescent="0.25">
      <c r="A2087" s="201"/>
      <c r="B2087" s="201"/>
    </row>
    <row r="2088" spans="1:2" x14ac:dyDescent="0.25">
      <c r="A2088" s="201"/>
      <c r="B2088" s="201"/>
    </row>
    <row r="2089" spans="1:2" x14ac:dyDescent="0.25">
      <c r="A2089" s="201"/>
      <c r="B2089" s="201"/>
    </row>
    <row r="2090" spans="1:2" x14ac:dyDescent="0.25">
      <c r="A2090" s="201"/>
      <c r="B2090" s="201"/>
    </row>
    <row r="2091" spans="1:2" x14ac:dyDescent="0.25">
      <c r="A2091" s="201"/>
      <c r="B2091" s="201"/>
    </row>
    <row r="2092" spans="1:2" x14ac:dyDescent="0.25">
      <c r="A2092" s="201"/>
      <c r="B2092" s="201"/>
    </row>
    <row r="2093" spans="1:2" x14ac:dyDescent="0.25">
      <c r="A2093" s="201"/>
      <c r="B2093" s="201"/>
    </row>
    <row r="2094" spans="1:2" x14ac:dyDescent="0.25">
      <c r="A2094" s="201"/>
      <c r="B2094" s="201"/>
    </row>
    <row r="2095" spans="1:2" x14ac:dyDescent="0.25">
      <c r="A2095" s="201"/>
      <c r="B2095" s="201"/>
    </row>
    <row r="2096" spans="1:2" x14ac:dyDescent="0.25">
      <c r="A2096" s="201"/>
      <c r="B2096" s="201"/>
    </row>
    <row r="2097" spans="1:2" x14ac:dyDescent="0.25">
      <c r="A2097" s="201"/>
      <c r="B2097" s="201"/>
    </row>
    <row r="2098" spans="1:2" x14ac:dyDescent="0.25">
      <c r="A2098" s="201"/>
      <c r="B2098" s="201"/>
    </row>
    <row r="2099" spans="1:2" x14ac:dyDescent="0.25">
      <c r="A2099" s="201"/>
      <c r="B2099" s="201"/>
    </row>
    <row r="2100" spans="1:2" x14ac:dyDescent="0.25">
      <c r="A2100" s="201"/>
      <c r="B2100" s="201"/>
    </row>
    <row r="2101" spans="1:2" x14ac:dyDescent="0.25">
      <c r="A2101" s="201"/>
      <c r="B2101" s="201"/>
    </row>
    <row r="2102" spans="1:2" x14ac:dyDescent="0.25">
      <c r="A2102" s="201"/>
      <c r="B2102" s="201"/>
    </row>
    <row r="2103" spans="1:2" x14ac:dyDescent="0.25">
      <c r="A2103" s="201"/>
      <c r="B2103" s="201"/>
    </row>
    <row r="2104" spans="1:2" x14ac:dyDescent="0.25">
      <c r="A2104" s="201"/>
      <c r="B2104" s="201"/>
    </row>
    <row r="2105" spans="1:2" x14ac:dyDescent="0.25">
      <c r="A2105" s="201"/>
      <c r="B2105" s="201"/>
    </row>
    <row r="2106" spans="1:2" x14ac:dyDescent="0.25">
      <c r="A2106" s="201"/>
      <c r="B2106" s="201"/>
    </row>
    <row r="2107" spans="1:2" x14ac:dyDescent="0.25">
      <c r="A2107" s="201"/>
      <c r="B2107" s="201"/>
    </row>
    <row r="2108" spans="1:2" x14ac:dyDescent="0.25">
      <c r="A2108" s="201"/>
      <c r="B2108" s="201"/>
    </row>
    <row r="2109" spans="1:2" x14ac:dyDescent="0.25">
      <c r="A2109" s="201"/>
      <c r="B2109" s="201"/>
    </row>
    <row r="2110" spans="1:2" x14ac:dyDescent="0.25">
      <c r="A2110" s="201"/>
      <c r="B2110" s="201"/>
    </row>
    <row r="2111" spans="1:2" x14ac:dyDescent="0.25">
      <c r="A2111" s="201"/>
      <c r="B2111" s="201"/>
    </row>
    <row r="2112" spans="1:2" x14ac:dyDescent="0.25">
      <c r="A2112" s="201"/>
      <c r="B2112" s="201"/>
    </row>
    <row r="2113" spans="1:2" x14ac:dyDescent="0.25">
      <c r="A2113" s="201"/>
      <c r="B2113" s="201"/>
    </row>
    <row r="2114" spans="1:2" x14ac:dyDescent="0.25">
      <c r="A2114" s="201"/>
      <c r="B2114" s="201"/>
    </row>
    <row r="2115" spans="1:2" x14ac:dyDescent="0.25">
      <c r="A2115" s="201"/>
      <c r="B2115" s="201"/>
    </row>
    <row r="2116" spans="1:2" x14ac:dyDescent="0.25">
      <c r="A2116" s="201"/>
      <c r="B2116" s="201"/>
    </row>
    <row r="2117" spans="1:2" x14ac:dyDescent="0.25">
      <c r="A2117" s="201"/>
      <c r="B2117" s="201"/>
    </row>
    <row r="2118" spans="1:2" x14ac:dyDescent="0.25">
      <c r="A2118" s="201"/>
      <c r="B2118" s="201"/>
    </row>
    <row r="2119" spans="1:2" x14ac:dyDescent="0.25">
      <c r="A2119" s="201"/>
      <c r="B2119" s="201"/>
    </row>
    <row r="2120" spans="1:2" x14ac:dyDescent="0.25">
      <c r="A2120" s="201"/>
      <c r="B2120" s="201"/>
    </row>
    <row r="2121" spans="1:2" x14ac:dyDescent="0.25">
      <c r="A2121" s="201"/>
      <c r="B2121" s="201"/>
    </row>
    <row r="2122" spans="1:2" x14ac:dyDescent="0.25">
      <c r="A2122" s="201"/>
      <c r="B2122" s="201"/>
    </row>
    <row r="2123" spans="1:2" x14ac:dyDescent="0.25">
      <c r="A2123" s="201"/>
      <c r="B2123" s="201"/>
    </row>
    <row r="2124" spans="1:2" x14ac:dyDescent="0.25">
      <c r="A2124" s="201"/>
      <c r="B2124" s="201"/>
    </row>
    <row r="2125" spans="1:2" x14ac:dyDescent="0.25">
      <c r="A2125" s="201"/>
      <c r="B2125" s="201"/>
    </row>
    <row r="2126" spans="1:2" x14ac:dyDescent="0.25">
      <c r="A2126" s="201"/>
      <c r="B2126" s="201"/>
    </row>
    <row r="2127" spans="1:2" x14ac:dyDescent="0.25">
      <c r="A2127" s="201"/>
      <c r="B2127" s="201"/>
    </row>
    <row r="2128" spans="1:2" x14ac:dyDescent="0.25">
      <c r="A2128" s="201"/>
      <c r="B2128" s="201"/>
    </row>
    <row r="2129" spans="1:2" x14ac:dyDescent="0.25">
      <c r="A2129" s="201"/>
      <c r="B2129" s="201"/>
    </row>
    <row r="2130" spans="1:2" x14ac:dyDescent="0.25">
      <c r="A2130" s="201"/>
      <c r="B2130" s="201"/>
    </row>
    <row r="2131" spans="1:2" x14ac:dyDescent="0.25">
      <c r="A2131" s="201"/>
      <c r="B2131" s="201"/>
    </row>
    <row r="2132" spans="1:2" x14ac:dyDescent="0.25">
      <c r="A2132" s="201"/>
      <c r="B2132" s="201"/>
    </row>
    <row r="2133" spans="1:2" x14ac:dyDescent="0.25">
      <c r="A2133" s="201"/>
      <c r="B2133" s="201"/>
    </row>
    <row r="2134" spans="1:2" x14ac:dyDescent="0.25">
      <c r="A2134" s="201"/>
      <c r="B2134" s="201"/>
    </row>
    <row r="2135" spans="1:2" x14ac:dyDescent="0.25">
      <c r="A2135" s="201"/>
      <c r="B2135" s="201"/>
    </row>
    <row r="2136" spans="1:2" x14ac:dyDescent="0.25">
      <c r="A2136" s="201"/>
      <c r="B2136" s="201"/>
    </row>
    <row r="2137" spans="1:2" x14ac:dyDescent="0.25">
      <c r="A2137" s="201"/>
      <c r="B2137" s="201"/>
    </row>
    <row r="2138" spans="1:2" x14ac:dyDescent="0.25">
      <c r="A2138" s="201"/>
      <c r="B2138" s="201"/>
    </row>
    <row r="2139" spans="1:2" x14ac:dyDescent="0.25">
      <c r="A2139" s="201"/>
      <c r="B2139" s="201"/>
    </row>
    <row r="2140" spans="1:2" x14ac:dyDescent="0.25">
      <c r="A2140" s="201"/>
      <c r="B2140" s="201"/>
    </row>
    <row r="2141" spans="1:2" x14ac:dyDescent="0.25">
      <c r="A2141" s="201"/>
      <c r="B2141" s="201"/>
    </row>
    <row r="2142" spans="1:2" x14ac:dyDescent="0.25">
      <c r="A2142" s="201"/>
      <c r="B2142" s="201"/>
    </row>
    <row r="2143" spans="1:2" x14ac:dyDescent="0.25">
      <c r="A2143" s="201"/>
      <c r="B2143" s="201"/>
    </row>
    <row r="2144" spans="1:2" x14ac:dyDescent="0.25">
      <c r="A2144" s="201"/>
      <c r="B2144" s="201"/>
    </row>
    <row r="2145" spans="1:2" x14ac:dyDescent="0.25">
      <c r="A2145" s="201"/>
      <c r="B2145" s="201"/>
    </row>
    <row r="2146" spans="1:2" x14ac:dyDescent="0.25">
      <c r="A2146" s="201"/>
      <c r="B2146" s="201"/>
    </row>
    <row r="2147" spans="1:2" x14ac:dyDescent="0.25">
      <c r="A2147" s="201"/>
      <c r="B2147" s="201"/>
    </row>
    <row r="2148" spans="1:2" x14ac:dyDescent="0.25">
      <c r="A2148" s="201"/>
      <c r="B2148" s="201"/>
    </row>
    <row r="2149" spans="1:2" x14ac:dyDescent="0.25">
      <c r="A2149" s="201"/>
      <c r="B2149" s="201"/>
    </row>
    <row r="2150" spans="1:2" x14ac:dyDescent="0.25">
      <c r="A2150" s="201"/>
      <c r="B2150" s="201"/>
    </row>
    <row r="2151" spans="1:2" x14ac:dyDescent="0.25">
      <c r="A2151" s="201"/>
      <c r="B2151" s="201"/>
    </row>
    <row r="2152" spans="1:2" x14ac:dyDescent="0.25">
      <c r="A2152" s="201"/>
      <c r="B2152" s="201"/>
    </row>
    <row r="2153" spans="1:2" x14ac:dyDescent="0.25">
      <c r="A2153" s="201"/>
      <c r="B2153" s="201"/>
    </row>
    <row r="2154" spans="1:2" x14ac:dyDescent="0.25">
      <c r="A2154" s="201"/>
      <c r="B2154" s="201"/>
    </row>
    <row r="2155" spans="1:2" x14ac:dyDescent="0.25">
      <c r="A2155" s="201"/>
      <c r="B2155" s="201"/>
    </row>
    <row r="2156" spans="1:2" x14ac:dyDescent="0.25">
      <c r="A2156" s="201"/>
      <c r="B2156" s="201"/>
    </row>
    <row r="2157" spans="1:2" x14ac:dyDescent="0.25">
      <c r="A2157" s="201"/>
      <c r="B2157" s="201"/>
    </row>
    <row r="2158" spans="1:2" x14ac:dyDescent="0.25">
      <c r="A2158" s="201"/>
      <c r="B2158" s="201"/>
    </row>
    <row r="2159" spans="1:2" x14ac:dyDescent="0.25">
      <c r="A2159" s="201"/>
      <c r="B2159" s="201"/>
    </row>
    <row r="2160" spans="1:2" x14ac:dyDescent="0.25">
      <c r="A2160" s="201"/>
      <c r="B2160" s="201"/>
    </row>
    <row r="2161" spans="1:2" x14ac:dyDescent="0.25">
      <c r="A2161" s="201"/>
      <c r="B2161" s="201"/>
    </row>
    <row r="2162" spans="1:2" x14ac:dyDescent="0.25">
      <c r="A2162" s="201"/>
      <c r="B2162" s="201"/>
    </row>
    <row r="2163" spans="1:2" x14ac:dyDescent="0.25">
      <c r="A2163" s="201"/>
      <c r="B2163" s="201"/>
    </row>
    <row r="2164" spans="1:2" x14ac:dyDescent="0.25">
      <c r="A2164" s="201"/>
      <c r="B2164" s="201"/>
    </row>
    <row r="2165" spans="1:2" x14ac:dyDescent="0.25">
      <c r="A2165" s="201"/>
      <c r="B2165" s="201"/>
    </row>
    <row r="2166" spans="1:2" x14ac:dyDescent="0.25">
      <c r="A2166" s="201"/>
      <c r="B2166" s="201"/>
    </row>
    <row r="2167" spans="1:2" x14ac:dyDescent="0.25">
      <c r="A2167" s="201"/>
      <c r="B2167" s="201"/>
    </row>
    <row r="2168" spans="1:2" x14ac:dyDescent="0.25">
      <c r="A2168" s="201"/>
      <c r="B2168" s="201"/>
    </row>
    <row r="2169" spans="1:2" x14ac:dyDescent="0.25">
      <c r="A2169" s="201"/>
      <c r="B2169" s="201"/>
    </row>
    <row r="2170" spans="1:2" x14ac:dyDescent="0.25">
      <c r="A2170" s="201"/>
      <c r="B2170" s="201"/>
    </row>
    <row r="2171" spans="1:2" x14ac:dyDescent="0.25">
      <c r="A2171" s="201"/>
      <c r="B2171" s="201"/>
    </row>
    <row r="2172" spans="1:2" x14ac:dyDescent="0.25">
      <c r="A2172" s="201"/>
      <c r="B2172" s="201"/>
    </row>
    <row r="2173" spans="1:2" x14ac:dyDescent="0.25">
      <c r="A2173" s="201"/>
      <c r="B2173" s="201"/>
    </row>
    <row r="2174" spans="1:2" x14ac:dyDescent="0.25">
      <c r="A2174" s="201"/>
      <c r="B2174" s="201"/>
    </row>
    <row r="2175" spans="1:2" x14ac:dyDescent="0.25">
      <c r="A2175" s="201"/>
      <c r="B2175" s="201"/>
    </row>
    <row r="2176" spans="1:2" x14ac:dyDescent="0.25">
      <c r="A2176" s="201"/>
      <c r="B2176" s="201"/>
    </row>
    <row r="2177" spans="1:2" x14ac:dyDescent="0.25">
      <c r="A2177" s="201"/>
      <c r="B2177" s="201"/>
    </row>
    <row r="2178" spans="1:2" x14ac:dyDescent="0.25">
      <c r="A2178" s="201"/>
      <c r="B2178" s="201"/>
    </row>
    <row r="2179" spans="1:2" x14ac:dyDescent="0.25">
      <c r="A2179" s="201"/>
      <c r="B2179" s="201"/>
    </row>
    <row r="2180" spans="1:2" x14ac:dyDescent="0.25">
      <c r="A2180" s="201"/>
      <c r="B2180" s="201"/>
    </row>
    <row r="2181" spans="1:2" x14ac:dyDescent="0.25">
      <c r="A2181" s="201"/>
      <c r="B2181" s="201"/>
    </row>
    <row r="2182" spans="1:2" x14ac:dyDescent="0.25">
      <c r="A2182" s="201"/>
      <c r="B2182" s="201"/>
    </row>
    <row r="2183" spans="1:2" x14ac:dyDescent="0.25">
      <c r="A2183" s="201"/>
      <c r="B2183" s="201"/>
    </row>
    <row r="2184" spans="1:2" x14ac:dyDescent="0.25">
      <c r="A2184" s="201"/>
      <c r="B2184" s="201"/>
    </row>
    <row r="2185" spans="1:2" x14ac:dyDescent="0.25">
      <c r="A2185" s="201"/>
      <c r="B2185" s="201"/>
    </row>
    <row r="2186" spans="1:2" x14ac:dyDescent="0.25">
      <c r="A2186" s="201"/>
      <c r="B2186" s="201"/>
    </row>
    <row r="2187" spans="1:2" x14ac:dyDescent="0.25">
      <c r="A2187" s="201"/>
      <c r="B2187" s="201"/>
    </row>
    <row r="2188" spans="1:2" x14ac:dyDescent="0.25">
      <c r="A2188" s="201"/>
      <c r="B2188" s="201"/>
    </row>
    <row r="2189" spans="1:2" x14ac:dyDescent="0.25">
      <c r="A2189" s="201"/>
      <c r="B2189" s="201"/>
    </row>
    <row r="2190" spans="1:2" x14ac:dyDescent="0.25">
      <c r="A2190" s="201"/>
      <c r="B2190" s="201"/>
    </row>
    <row r="2191" spans="1:2" x14ac:dyDescent="0.25">
      <c r="A2191" s="201"/>
      <c r="B2191" s="201"/>
    </row>
    <row r="2192" spans="1:2" x14ac:dyDescent="0.25">
      <c r="A2192" s="201"/>
      <c r="B2192" s="201"/>
    </row>
    <row r="2193" spans="1:2" x14ac:dyDescent="0.25">
      <c r="A2193" s="201"/>
      <c r="B2193" s="201"/>
    </row>
    <row r="2194" spans="1:2" x14ac:dyDescent="0.25">
      <c r="A2194" s="201"/>
      <c r="B2194" s="201"/>
    </row>
    <row r="2195" spans="1:2" x14ac:dyDescent="0.25">
      <c r="A2195" s="201"/>
      <c r="B2195" s="201"/>
    </row>
    <row r="2196" spans="1:2" x14ac:dyDescent="0.25">
      <c r="A2196" s="201"/>
      <c r="B2196" s="201"/>
    </row>
    <row r="2197" spans="1:2" x14ac:dyDescent="0.25">
      <c r="A2197" s="201"/>
      <c r="B2197" s="201"/>
    </row>
    <row r="2198" spans="1:2" x14ac:dyDescent="0.25">
      <c r="A2198" s="201"/>
      <c r="B2198" s="201"/>
    </row>
    <row r="2199" spans="1:2" x14ac:dyDescent="0.25">
      <c r="A2199" s="201"/>
      <c r="B2199" s="201"/>
    </row>
    <row r="2200" spans="1:2" x14ac:dyDescent="0.25">
      <c r="A2200" s="201"/>
      <c r="B2200" s="201"/>
    </row>
    <row r="2201" spans="1:2" x14ac:dyDescent="0.25">
      <c r="A2201" s="201"/>
      <c r="B2201" s="201"/>
    </row>
    <row r="2202" spans="1:2" x14ac:dyDescent="0.25">
      <c r="A2202" s="201"/>
      <c r="B2202" s="201"/>
    </row>
    <row r="2203" spans="1:2" x14ac:dyDescent="0.25">
      <c r="A2203" s="201"/>
      <c r="B2203" s="201"/>
    </row>
    <row r="2204" spans="1:2" x14ac:dyDescent="0.25">
      <c r="A2204" s="201"/>
      <c r="B2204" s="201"/>
    </row>
    <row r="2205" spans="1:2" x14ac:dyDescent="0.25">
      <c r="A2205" s="201"/>
      <c r="B2205" s="201"/>
    </row>
    <row r="2206" spans="1:2" x14ac:dyDescent="0.25">
      <c r="A2206" s="201"/>
      <c r="B2206" s="201"/>
    </row>
    <row r="2207" spans="1:2" x14ac:dyDescent="0.25">
      <c r="A2207" s="201"/>
      <c r="B2207" s="201"/>
    </row>
    <row r="2208" spans="1:2" x14ac:dyDescent="0.25">
      <c r="A2208" s="201"/>
      <c r="B2208" s="201"/>
    </row>
    <row r="2209" spans="1:2" x14ac:dyDescent="0.25">
      <c r="A2209" s="201"/>
      <c r="B2209" s="201"/>
    </row>
    <row r="2210" spans="1:2" x14ac:dyDescent="0.25">
      <c r="A2210" s="201"/>
      <c r="B2210" s="201"/>
    </row>
    <row r="2211" spans="1:2" x14ac:dyDescent="0.25">
      <c r="A2211" s="201"/>
      <c r="B2211" s="201"/>
    </row>
    <row r="2212" spans="1:2" x14ac:dyDescent="0.25">
      <c r="A2212" s="201"/>
      <c r="B2212" s="201"/>
    </row>
    <row r="2213" spans="1:2" x14ac:dyDescent="0.25">
      <c r="A2213" s="201"/>
      <c r="B2213" s="201"/>
    </row>
    <row r="2214" spans="1:2" x14ac:dyDescent="0.25">
      <c r="A2214" s="201"/>
      <c r="B2214" s="201"/>
    </row>
    <row r="2215" spans="1:2" x14ac:dyDescent="0.25">
      <c r="A2215" s="201"/>
      <c r="B2215" s="201"/>
    </row>
    <row r="2216" spans="1:2" x14ac:dyDescent="0.25">
      <c r="A2216" s="201"/>
      <c r="B2216" s="201"/>
    </row>
    <row r="2217" spans="1:2" x14ac:dyDescent="0.25">
      <c r="A2217" s="201"/>
      <c r="B2217" s="201"/>
    </row>
    <row r="2218" spans="1:2" x14ac:dyDescent="0.25">
      <c r="A2218" s="201"/>
      <c r="B2218" s="201"/>
    </row>
    <row r="2219" spans="1:2" x14ac:dyDescent="0.25">
      <c r="A2219" s="201"/>
      <c r="B2219" s="201"/>
    </row>
    <row r="2220" spans="1:2" x14ac:dyDescent="0.25">
      <c r="A2220" s="201"/>
      <c r="B2220" s="201"/>
    </row>
    <row r="2221" spans="1:2" x14ac:dyDescent="0.25">
      <c r="A2221" s="201"/>
      <c r="B2221" s="201"/>
    </row>
    <row r="2222" spans="1:2" x14ac:dyDescent="0.25">
      <c r="A2222" s="201"/>
      <c r="B2222" s="201"/>
    </row>
    <row r="2223" spans="1:2" x14ac:dyDescent="0.25">
      <c r="A2223" s="201"/>
      <c r="B2223" s="201"/>
    </row>
    <row r="2224" spans="1:2" x14ac:dyDescent="0.25">
      <c r="A2224" s="201"/>
      <c r="B2224" s="201"/>
    </row>
    <row r="2225" spans="1:2" x14ac:dyDescent="0.25">
      <c r="A2225" s="201"/>
      <c r="B2225" s="201"/>
    </row>
    <row r="2226" spans="1:2" x14ac:dyDescent="0.25">
      <c r="A2226" s="201"/>
      <c r="B2226" s="201"/>
    </row>
    <row r="2227" spans="1:2" x14ac:dyDescent="0.25">
      <c r="A2227" s="201"/>
      <c r="B2227" s="201"/>
    </row>
    <row r="2228" spans="1:2" x14ac:dyDescent="0.25">
      <c r="A2228" s="201"/>
      <c r="B2228" s="201"/>
    </row>
    <row r="2229" spans="1:2" x14ac:dyDescent="0.25">
      <c r="A2229" s="201"/>
      <c r="B2229" s="201"/>
    </row>
    <row r="2230" spans="1:2" x14ac:dyDescent="0.25">
      <c r="A2230" s="201"/>
      <c r="B2230" s="201"/>
    </row>
    <row r="2231" spans="1:2" x14ac:dyDescent="0.25">
      <c r="A2231" s="201"/>
      <c r="B2231" s="201"/>
    </row>
    <row r="2232" spans="1:2" x14ac:dyDescent="0.25">
      <c r="A2232" s="201"/>
      <c r="B2232" s="201"/>
    </row>
    <row r="2233" spans="1:2" x14ac:dyDescent="0.25">
      <c r="A2233" s="201"/>
      <c r="B2233" s="201"/>
    </row>
    <row r="2234" spans="1:2" x14ac:dyDescent="0.25">
      <c r="A2234" s="201"/>
      <c r="B2234" s="201"/>
    </row>
    <row r="2235" spans="1:2" x14ac:dyDescent="0.25">
      <c r="A2235" s="201"/>
      <c r="B2235" s="201"/>
    </row>
    <row r="2236" spans="1:2" x14ac:dyDescent="0.25">
      <c r="A2236" s="201"/>
      <c r="B2236" s="201"/>
    </row>
    <row r="2237" spans="1:2" x14ac:dyDescent="0.25">
      <c r="A2237" s="201"/>
      <c r="B2237" s="201"/>
    </row>
    <row r="2238" spans="1:2" x14ac:dyDescent="0.25">
      <c r="A2238" s="201"/>
      <c r="B2238" s="201"/>
    </row>
    <row r="2239" spans="1:2" x14ac:dyDescent="0.25">
      <c r="A2239" s="201"/>
      <c r="B2239" s="201"/>
    </row>
    <row r="2240" spans="1:2" x14ac:dyDescent="0.25">
      <c r="A2240" s="201"/>
      <c r="B2240" s="201"/>
    </row>
    <row r="2241" spans="1:2" x14ac:dyDescent="0.25">
      <c r="A2241" s="201"/>
      <c r="B2241" s="201"/>
    </row>
    <row r="2242" spans="1:2" x14ac:dyDescent="0.25">
      <c r="A2242" s="201"/>
      <c r="B2242" s="201"/>
    </row>
    <row r="2243" spans="1:2" x14ac:dyDescent="0.25">
      <c r="A2243" s="201"/>
      <c r="B2243" s="201"/>
    </row>
    <row r="2244" spans="1:2" x14ac:dyDescent="0.25">
      <c r="A2244" s="201"/>
      <c r="B2244" s="201"/>
    </row>
    <row r="2245" spans="1:2" x14ac:dyDescent="0.25">
      <c r="A2245" s="201"/>
      <c r="B2245" s="201"/>
    </row>
    <row r="2246" spans="1:2" x14ac:dyDescent="0.25">
      <c r="A2246" s="201"/>
      <c r="B2246" s="201"/>
    </row>
    <row r="2247" spans="1:2" x14ac:dyDescent="0.25">
      <c r="A2247" s="201"/>
      <c r="B2247" s="201"/>
    </row>
    <row r="2248" spans="1:2" x14ac:dyDescent="0.25">
      <c r="A2248" s="201"/>
      <c r="B2248" s="201"/>
    </row>
    <row r="2249" spans="1:2" x14ac:dyDescent="0.25">
      <c r="A2249" s="201"/>
      <c r="B2249" s="201"/>
    </row>
    <row r="2250" spans="1:2" x14ac:dyDescent="0.25">
      <c r="A2250" s="201"/>
      <c r="B2250" s="201"/>
    </row>
    <row r="2251" spans="1:2" x14ac:dyDescent="0.25">
      <c r="A2251" s="201"/>
      <c r="B2251" s="201"/>
    </row>
    <row r="2252" spans="1:2" x14ac:dyDescent="0.25">
      <c r="A2252" s="201"/>
      <c r="B2252" s="201"/>
    </row>
    <row r="2253" spans="1:2" x14ac:dyDescent="0.25">
      <c r="A2253" s="201"/>
      <c r="B2253" s="201"/>
    </row>
    <row r="2254" spans="1:2" x14ac:dyDescent="0.25">
      <c r="A2254" s="201"/>
      <c r="B2254" s="201"/>
    </row>
    <row r="2255" spans="1:2" x14ac:dyDescent="0.25">
      <c r="A2255" s="201"/>
      <c r="B2255" s="201"/>
    </row>
    <row r="2256" spans="1:2" x14ac:dyDescent="0.25">
      <c r="A2256" s="201"/>
      <c r="B2256" s="201"/>
    </row>
    <row r="2257" spans="1:2" x14ac:dyDescent="0.25">
      <c r="A2257" s="201"/>
      <c r="B2257" s="201"/>
    </row>
    <row r="2258" spans="1:2" x14ac:dyDescent="0.25">
      <c r="A2258" s="201"/>
      <c r="B2258" s="201"/>
    </row>
    <row r="2259" spans="1:2" x14ac:dyDescent="0.25">
      <c r="A2259" s="201"/>
      <c r="B2259" s="201"/>
    </row>
    <row r="2260" spans="1:2" x14ac:dyDescent="0.25">
      <c r="A2260" s="201"/>
      <c r="B2260" s="201"/>
    </row>
    <row r="2261" spans="1:2" x14ac:dyDescent="0.25">
      <c r="A2261" s="201"/>
      <c r="B2261" s="201"/>
    </row>
    <row r="2262" spans="1:2" x14ac:dyDescent="0.25">
      <c r="A2262" s="201"/>
      <c r="B2262" s="201"/>
    </row>
    <row r="2263" spans="1:2" x14ac:dyDescent="0.25">
      <c r="A2263" s="201"/>
      <c r="B2263" s="201"/>
    </row>
    <row r="2264" spans="1:2" x14ac:dyDescent="0.25">
      <c r="A2264" s="201"/>
      <c r="B2264" s="201"/>
    </row>
    <row r="2265" spans="1:2" x14ac:dyDescent="0.25">
      <c r="A2265" s="201"/>
      <c r="B2265" s="201"/>
    </row>
    <row r="2266" spans="1:2" x14ac:dyDescent="0.25">
      <c r="A2266" s="201"/>
      <c r="B2266" s="201"/>
    </row>
    <row r="2267" spans="1:2" x14ac:dyDescent="0.25">
      <c r="A2267" s="201"/>
      <c r="B2267" s="201"/>
    </row>
    <row r="2268" spans="1:2" x14ac:dyDescent="0.25">
      <c r="A2268" s="201"/>
      <c r="B2268" s="201"/>
    </row>
    <row r="2269" spans="1:2" x14ac:dyDescent="0.25">
      <c r="A2269" s="201"/>
      <c r="B2269" s="201"/>
    </row>
    <row r="2270" spans="1:2" x14ac:dyDescent="0.25">
      <c r="A2270" s="201"/>
      <c r="B2270" s="201"/>
    </row>
    <row r="2271" spans="1:2" x14ac:dyDescent="0.25">
      <c r="A2271" s="201"/>
      <c r="B2271" s="201"/>
    </row>
    <row r="2272" spans="1:2" x14ac:dyDescent="0.25">
      <c r="A2272" s="201"/>
      <c r="B2272" s="201"/>
    </row>
    <row r="2273" spans="1:2" x14ac:dyDescent="0.25">
      <c r="A2273" s="201"/>
      <c r="B2273" s="201"/>
    </row>
    <row r="2274" spans="1:2" x14ac:dyDescent="0.25">
      <c r="A2274" s="201"/>
      <c r="B2274" s="201"/>
    </row>
    <row r="2275" spans="1:2" x14ac:dyDescent="0.25">
      <c r="A2275" s="201"/>
      <c r="B2275" s="201"/>
    </row>
    <row r="2276" spans="1:2" x14ac:dyDescent="0.25">
      <c r="A2276" s="201"/>
      <c r="B2276" s="201"/>
    </row>
    <row r="2277" spans="1:2" x14ac:dyDescent="0.25">
      <c r="A2277" s="201"/>
      <c r="B2277" s="201"/>
    </row>
    <row r="2278" spans="1:2" x14ac:dyDescent="0.25">
      <c r="A2278" s="201"/>
      <c r="B2278" s="201"/>
    </row>
    <row r="2279" spans="1:2" x14ac:dyDescent="0.25">
      <c r="A2279" s="201"/>
      <c r="B2279" s="201"/>
    </row>
    <row r="2280" spans="1:2" x14ac:dyDescent="0.25">
      <c r="A2280" s="201"/>
      <c r="B2280" s="201"/>
    </row>
    <row r="2281" spans="1:2" x14ac:dyDescent="0.25">
      <c r="A2281" s="201"/>
      <c r="B2281" s="201"/>
    </row>
    <row r="2282" spans="1:2" x14ac:dyDescent="0.25">
      <c r="A2282" s="201"/>
      <c r="B2282" s="201"/>
    </row>
    <row r="2283" spans="1:2" x14ac:dyDescent="0.25">
      <c r="A2283" s="201"/>
      <c r="B2283" s="201"/>
    </row>
    <row r="2284" spans="1:2" x14ac:dyDescent="0.25">
      <c r="A2284" s="201"/>
      <c r="B2284" s="201"/>
    </row>
    <row r="2285" spans="1:2" x14ac:dyDescent="0.25">
      <c r="A2285" s="201"/>
      <c r="B2285" s="201"/>
    </row>
    <row r="2286" spans="1:2" x14ac:dyDescent="0.25">
      <c r="A2286" s="201"/>
      <c r="B2286" s="201"/>
    </row>
    <row r="2287" spans="1:2" x14ac:dyDescent="0.25">
      <c r="A2287" s="201"/>
      <c r="B2287" s="201"/>
    </row>
    <row r="2288" spans="1:2" x14ac:dyDescent="0.25">
      <c r="A2288" s="201"/>
      <c r="B2288" s="201"/>
    </row>
    <row r="2289" spans="1:2" x14ac:dyDescent="0.25">
      <c r="A2289" s="201"/>
      <c r="B2289" s="201"/>
    </row>
    <row r="2290" spans="1:2" x14ac:dyDescent="0.25">
      <c r="A2290" s="201"/>
      <c r="B2290" s="201"/>
    </row>
    <row r="2291" spans="1:2" x14ac:dyDescent="0.25">
      <c r="A2291" s="201"/>
      <c r="B2291" s="201"/>
    </row>
    <row r="2292" spans="1:2" x14ac:dyDescent="0.25">
      <c r="A2292" s="201"/>
      <c r="B2292" s="201"/>
    </row>
    <row r="2293" spans="1:2" x14ac:dyDescent="0.25">
      <c r="A2293" s="201"/>
      <c r="B2293" s="201"/>
    </row>
    <row r="2294" spans="1:2" x14ac:dyDescent="0.25">
      <c r="A2294" s="201"/>
      <c r="B2294" s="201"/>
    </row>
    <row r="2295" spans="1:2" x14ac:dyDescent="0.25">
      <c r="A2295" s="201"/>
      <c r="B2295" s="201"/>
    </row>
    <row r="2296" spans="1:2" x14ac:dyDescent="0.25">
      <c r="A2296" s="201"/>
      <c r="B2296" s="201"/>
    </row>
    <row r="2297" spans="1:2" x14ac:dyDescent="0.25">
      <c r="A2297" s="201"/>
      <c r="B2297" s="201"/>
    </row>
    <row r="2298" spans="1:2" x14ac:dyDescent="0.25">
      <c r="A2298" s="201"/>
      <c r="B2298" s="201"/>
    </row>
    <row r="2299" spans="1:2" x14ac:dyDescent="0.25">
      <c r="A2299" s="201"/>
      <c r="B2299" s="201"/>
    </row>
    <row r="2300" spans="1:2" x14ac:dyDescent="0.25">
      <c r="A2300" s="201"/>
      <c r="B2300" s="201"/>
    </row>
    <row r="2301" spans="1:2" x14ac:dyDescent="0.25">
      <c r="A2301" s="201"/>
      <c r="B2301" s="201"/>
    </row>
    <row r="2302" spans="1:2" x14ac:dyDescent="0.25">
      <c r="A2302" s="201"/>
      <c r="B2302" s="201"/>
    </row>
    <row r="2303" spans="1:2" x14ac:dyDescent="0.25">
      <c r="A2303" s="201"/>
      <c r="B2303" s="201"/>
    </row>
    <row r="2304" spans="1:2" x14ac:dyDescent="0.25">
      <c r="A2304" s="201"/>
      <c r="B2304" s="201"/>
    </row>
    <row r="2305" spans="1:2" x14ac:dyDescent="0.25">
      <c r="A2305" s="201"/>
      <c r="B2305" s="201"/>
    </row>
    <row r="2306" spans="1:2" x14ac:dyDescent="0.25">
      <c r="A2306" s="201"/>
      <c r="B2306" s="201"/>
    </row>
    <row r="2307" spans="1:2" x14ac:dyDescent="0.25">
      <c r="A2307" s="201"/>
      <c r="B2307" s="201"/>
    </row>
    <row r="2308" spans="1:2" x14ac:dyDescent="0.25">
      <c r="A2308" s="201"/>
      <c r="B2308" s="201"/>
    </row>
    <row r="2309" spans="1:2" x14ac:dyDescent="0.25">
      <c r="A2309" s="201"/>
      <c r="B2309" s="201"/>
    </row>
    <row r="2310" spans="1:2" x14ac:dyDescent="0.25">
      <c r="A2310" s="201"/>
      <c r="B2310" s="201"/>
    </row>
    <row r="2311" spans="1:2" x14ac:dyDescent="0.25">
      <c r="A2311" s="201"/>
      <c r="B2311" s="201"/>
    </row>
    <row r="2312" spans="1:2" x14ac:dyDescent="0.25">
      <c r="A2312" s="201"/>
      <c r="B2312" s="201"/>
    </row>
    <row r="2313" spans="1:2" x14ac:dyDescent="0.25">
      <c r="A2313" s="201"/>
      <c r="B2313" s="201"/>
    </row>
    <row r="2314" spans="1:2" x14ac:dyDescent="0.25">
      <c r="A2314" s="201"/>
      <c r="B2314" s="201"/>
    </row>
    <row r="2315" spans="1:2" x14ac:dyDescent="0.25">
      <c r="A2315" s="201"/>
      <c r="B2315" s="201"/>
    </row>
    <row r="2316" spans="1:2" x14ac:dyDescent="0.25">
      <c r="A2316" s="201"/>
      <c r="B2316" s="201"/>
    </row>
    <row r="2317" spans="1:2" x14ac:dyDescent="0.25">
      <c r="A2317" s="201"/>
      <c r="B2317" s="201"/>
    </row>
    <row r="2318" spans="1:2" x14ac:dyDescent="0.25">
      <c r="A2318" s="201"/>
      <c r="B2318" s="201"/>
    </row>
    <row r="2319" spans="1:2" x14ac:dyDescent="0.25">
      <c r="A2319" s="201"/>
      <c r="B2319" s="201"/>
    </row>
    <row r="2320" spans="1:2" x14ac:dyDescent="0.25">
      <c r="A2320" s="201"/>
      <c r="B2320" s="201"/>
    </row>
    <row r="2321" spans="1:2" x14ac:dyDescent="0.25">
      <c r="A2321" s="201"/>
      <c r="B2321" s="201"/>
    </row>
    <row r="2322" spans="1:2" x14ac:dyDescent="0.25">
      <c r="A2322" s="201"/>
      <c r="B2322" s="201"/>
    </row>
    <row r="2323" spans="1:2" x14ac:dyDescent="0.25">
      <c r="A2323" s="201"/>
      <c r="B2323" s="201"/>
    </row>
    <row r="2324" spans="1:2" x14ac:dyDescent="0.25">
      <c r="A2324" s="201"/>
      <c r="B2324" s="201"/>
    </row>
    <row r="2325" spans="1:2" x14ac:dyDescent="0.25">
      <c r="A2325" s="201"/>
      <c r="B2325" s="201"/>
    </row>
    <row r="2326" spans="1:2" x14ac:dyDescent="0.25">
      <c r="A2326" s="201"/>
      <c r="B2326" s="201"/>
    </row>
    <row r="2327" spans="1:2" x14ac:dyDescent="0.25">
      <c r="A2327" s="201"/>
      <c r="B2327" s="201"/>
    </row>
    <row r="2328" spans="1:2" x14ac:dyDescent="0.25">
      <c r="A2328" s="201"/>
      <c r="B2328" s="201"/>
    </row>
    <row r="2329" spans="1:2" x14ac:dyDescent="0.25">
      <c r="A2329" s="201"/>
      <c r="B2329" s="201"/>
    </row>
    <row r="2330" spans="1:2" x14ac:dyDescent="0.25">
      <c r="A2330" s="201"/>
      <c r="B2330" s="201"/>
    </row>
    <row r="2331" spans="1:2" x14ac:dyDescent="0.25">
      <c r="A2331" s="201"/>
      <c r="B2331" s="201"/>
    </row>
    <row r="2332" spans="1:2" x14ac:dyDescent="0.25">
      <c r="A2332" s="201"/>
      <c r="B2332" s="201"/>
    </row>
    <row r="2333" spans="1:2" x14ac:dyDescent="0.25">
      <c r="A2333" s="201"/>
      <c r="B2333" s="201"/>
    </row>
    <row r="2334" spans="1:2" x14ac:dyDescent="0.25">
      <c r="A2334" s="201"/>
      <c r="B2334" s="201"/>
    </row>
    <row r="2335" spans="1:2" x14ac:dyDescent="0.25">
      <c r="A2335" s="201"/>
      <c r="B2335" s="201"/>
    </row>
    <row r="2336" spans="1:2" x14ac:dyDescent="0.25">
      <c r="A2336" s="201"/>
      <c r="B2336" s="201"/>
    </row>
    <row r="2337" spans="1:2" x14ac:dyDescent="0.25">
      <c r="A2337" s="201"/>
      <c r="B2337" s="201"/>
    </row>
    <row r="2338" spans="1:2" x14ac:dyDescent="0.25">
      <c r="A2338" s="201"/>
      <c r="B2338" s="201"/>
    </row>
    <row r="2339" spans="1:2" x14ac:dyDescent="0.25">
      <c r="A2339" s="201"/>
      <c r="B2339" s="201"/>
    </row>
    <row r="2340" spans="1:2" x14ac:dyDescent="0.25">
      <c r="A2340" s="201"/>
      <c r="B2340" s="201"/>
    </row>
    <row r="2341" spans="1:2" x14ac:dyDescent="0.25">
      <c r="A2341" s="201"/>
      <c r="B2341" s="201"/>
    </row>
    <row r="2342" spans="1:2" x14ac:dyDescent="0.25">
      <c r="A2342" s="201"/>
      <c r="B2342" s="201"/>
    </row>
    <row r="2343" spans="1:2" x14ac:dyDescent="0.25">
      <c r="A2343" s="201"/>
      <c r="B2343" s="201"/>
    </row>
    <row r="2344" spans="1:2" x14ac:dyDescent="0.25">
      <c r="A2344" s="201"/>
      <c r="B2344" s="201"/>
    </row>
    <row r="2345" spans="1:2" x14ac:dyDescent="0.25">
      <c r="A2345" s="201"/>
      <c r="B2345" s="201"/>
    </row>
    <row r="2346" spans="1:2" x14ac:dyDescent="0.25">
      <c r="A2346" s="201"/>
      <c r="B2346" s="201"/>
    </row>
    <row r="2347" spans="1:2" x14ac:dyDescent="0.25">
      <c r="A2347" s="201"/>
      <c r="B2347" s="201"/>
    </row>
    <row r="2348" spans="1:2" x14ac:dyDescent="0.25">
      <c r="A2348" s="201"/>
      <c r="B2348" s="201"/>
    </row>
    <row r="2349" spans="1:2" x14ac:dyDescent="0.25">
      <c r="A2349" s="201"/>
      <c r="B2349" s="201"/>
    </row>
    <row r="2350" spans="1:2" x14ac:dyDescent="0.25">
      <c r="A2350" s="201"/>
      <c r="B2350" s="201"/>
    </row>
    <row r="2351" spans="1:2" x14ac:dyDescent="0.25">
      <c r="A2351" s="201"/>
      <c r="B2351" s="201"/>
    </row>
    <row r="2352" spans="1:2" x14ac:dyDescent="0.25">
      <c r="A2352" s="201"/>
      <c r="B2352" s="201"/>
    </row>
    <row r="2353" spans="1:2" x14ac:dyDescent="0.25">
      <c r="A2353" s="201"/>
      <c r="B2353" s="201"/>
    </row>
    <row r="2354" spans="1:2" x14ac:dyDescent="0.25">
      <c r="A2354" s="201"/>
      <c r="B2354" s="201"/>
    </row>
    <row r="2355" spans="1:2" x14ac:dyDescent="0.25">
      <c r="A2355" s="201"/>
      <c r="B2355" s="201"/>
    </row>
    <row r="2356" spans="1:2" x14ac:dyDescent="0.25">
      <c r="A2356" s="201"/>
      <c r="B2356" s="201"/>
    </row>
    <row r="2357" spans="1:2" x14ac:dyDescent="0.25">
      <c r="A2357" s="201"/>
      <c r="B2357" s="201"/>
    </row>
    <row r="2358" spans="1:2" x14ac:dyDescent="0.25">
      <c r="A2358" s="201"/>
      <c r="B2358" s="201"/>
    </row>
    <row r="2359" spans="1:2" x14ac:dyDescent="0.25">
      <c r="A2359" s="201"/>
      <c r="B2359" s="201"/>
    </row>
    <row r="2360" spans="1:2" x14ac:dyDescent="0.25">
      <c r="A2360" s="201"/>
      <c r="B2360" s="201"/>
    </row>
    <row r="2361" spans="1:2" x14ac:dyDescent="0.25">
      <c r="A2361" s="201"/>
      <c r="B2361" s="201"/>
    </row>
    <row r="2362" spans="1:2" x14ac:dyDescent="0.25">
      <c r="A2362" s="201"/>
      <c r="B2362" s="201"/>
    </row>
    <row r="2363" spans="1:2" x14ac:dyDescent="0.25">
      <c r="A2363" s="201"/>
      <c r="B2363" s="201"/>
    </row>
    <row r="2364" spans="1:2" x14ac:dyDescent="0.25">
      <c r="A2364" s="201"/>
      <c r="B2364" s="201"/>
    </row>
    <row r="2365" spans="1:2" x14ac:dyDescent="0.25">
      <c r="A2365" s="201"/>
      <c r="B2365" s="201"/>
    </row>
    <row r="2366" spans="1:2" x14ac:dyDescent="0.25">
      <c r="A2366" s="201"/>
      <c r="B2366" s="201"/>
    </row>
    <row r="2367" spans="1:2" x14ac:dyDescent="0.25">
      <c r="A2367" s="201"/>
      <c r="B2367" s="201"/>
    </row>
    <row r="2368" spans="1:2" x14ac:dyDescent="0.25">
      <c r="A2368" s="201"/>
      <c r="B2368" s="201"/>
    </row>
    <row r="2369" spans="1:2" x14ac:dyDescent="0.25">
      <c r="A2369" s="201"/>
      <c r="B2369" s="201"/>
    </row>
    <row r="2370" spans="1:2" x14ac:dyDescent="0.25">
      <c r="A2370" s="201"/>
      <c r="B2370" s="201"/>
    </row>
    <row r="2371" spans="1:2" x14ac:dyDescent="0.25">
      <c r="A2371" s="201"/>
      <c r="B2371" s="201"/>
    </row>
    <row r="2372" spans="1:2" x14ac:dyDescent="0.25">
      <c r="A2372" s="201"/>
      <c r="B2372" s="201"/>
    </row>
    <row r="2373" spans="1:2" x14ac:dyDescent="0.25">
      <c r="A2373" s="201"/>
      <c r="B2373" s="201"/>
    </row>
    <row r="2374" spans="1:2" x14ac:dyDescent="0.25">
      <c r="A2374" s="201"/>
      <c r="B2374" s="201"/>
    </row>
    <row r="2375" spans="1:2" x14ac:dyDescent="0.25">
      <c r="A2375" s="201"/>
      <c r="B2375" s="201"/>
    </row>
    <row r="2376" spans="1:2" x14ac:dyDescent="0.25">
      <c r="A2376" s="201"/>
      <c r="B2376" s="201"/>
    </row>
    <row r="2377" spans="1:2" x14ac:dyDescent="0.25">
      <c r="A2377" s="201"/>
      <c r="B2377" s="201"/>
    </row>
    <row r="2378" spans="1:2" x14ac:dyDescent="0.25">
      <c r="A2378" s="201"/>
      <c r="B2378" s="201"/>
    </row>
    <row r="2379" spans="1:2" x14ac:dyDescent="0.25">
      <c r="A2379" s="201"/>
      <c r="B2379" s="201"/>
    </row>
    <row r="2380" spans="1:2" x14ac:dyDescent="0.25">
      <c r="A2380" s="201"/>
      <c r="B2380" s="201"/>
    </row>
    <row r="2381" spans="1:2" x14ac:dyDescent="0.25">
      <c r="A2381" s="201"/>
      <c r="B2381" s="201"/>
    </row>
    <row r="2382" spans="1:2" x14ac:dyDescent="0.25">
      <c r="A2382" s="201"/>
      <c r="B2382" s="201"/>
    </row>
    <row r="2383" spans="1:2" x14ac:dyDescent="0.25">
      <c r="A2383" s="201"/>
      <c r="B2383" s="201"/>
    </row>
    <row r="2384" spans="1:2" x14ac:dyDescent="0.25">
      <c r="A2384" s="201"/>
      <c r="B2384" s="201"/>
    </row>
    <row r="2385" spans="1:2" x14ac:dyDescent="0.25">
      <c r="A2385" s="201"/>
      <c r="B2385" s="201"/>
    </row>
    <row r="2386" spans="1:2" x14ac:dyDescent="0.25">
      <c r="A2386" s="201"/>
      <c r="B2386" s="201"/>
    </row>
    <row r="2387" spans="1:2" x14ac:dyDescent="0.25">
      <c r="A2387" s="201"/>
      <c r="B2387" s="201"/>
    </row>
    <row r="2388" spans="1:2" x14ac:dyDescent="0.25">
      <c r="A2388" s="201"/>
      <c r="B2388" s="201"/>
    </row>
    <row r="2389" spans="1:2" x14ac:dyDescent="0.25">
      <c r="A2389" s="201"/>
      <c r="B2389" s="201"/>
    </row>
    <row r="2390" spans="1:2" x14ac:dyDescent="0.25">
      <c r="A2390" s="201"/>
      <c r="B2390" s="201"/>
    </row>
    <row r="2391" spans="1:2" x14ac:dyDescent="0.25">
      <c r="A2391" s="201"/>
      <c r="B2391" s="201"/>
    </row>
    <row r="2392" spans="1:2" x14ac:dyDescent="0.25">
      <c r="A2392" s="201"/>
      <c r="B2392" s="201"/>
    </row>
    <row r="2393" spans="1:2" x14ac:dyDescent="0.25">
      <c r="A2393" s="201"/>
      <c r="B2393" s="201"/>
    </row>
    <row r="2394" spans="1:2" x14ac:dyDescent="0.25">
      <c r="A2394" s="201"/>
      <c r="B2394" s="201"/>
    </row>
    <row r="2395" spans="1:2" x14ac:dyDescent="0.25">
      <c r="A2395" s="201"/>
      <c r="B2395" s="201"/>
    </row>
    <row r="2396" spans="1:2" x14ac:dyDescent="0.25">
      <c r="A2396" s="201"/>
      <c r="B2396" s="201"/>
    </row>
    <row r="2397" spans="1:2" x14ac:dyDescent="0.25">
      <c r="A2397" s="201"/>
      <c r="B2397" s="201"/>
    </row>
    <row r="2398" spans="1:2" x14ac:dyDescent="0.25">
      <c r="A2398" s="201"/>
      <c r="B2398" s="201"/>
    </row>
    <row r="2399" spans="1:2" x14ac:dyDescent="0.25">
      <c r="A2399" s="201"/>
      <c r="B2399" s="201"/>
    </row>
    <row r="2400" spans="1:2" x14ac:dyDescent="0.25">
      <c r="A2400" s="201"/>
      <c r="B2400" s="201"/>
    </row>
    <row r="2401" spans="1:2" x14ac:dyDescent="0.25">
      <c r="A2401" s="201"/>
      <c r="B2401" s="201"/>
    </row>
    <row r="2402" spans="1:2" x14ac:dyDescent="0.25">
      <c r="A2402" s="201"/>
      <c r="B2402" s="201"/>
    </row>
    <row r="2403" spans="1:2" x14ac:dyDescent="0.25">
      <c r="A2403" s="201"/>
      <c r="B2403" s="201"/>
    </row>
    <row r="2404" spans="1:2" x14ac:dyDescent="0.25">
      <c r="A2404" s="201"/>
      <c r="B2404" s="201"/>
    </row>
    <row r="2405" spans="1:2" x14ac:dyDescent="0.25">
      <c r="A2405" s="201"/>
      <c r="B2405" s="201"/>
    </row>
    <row r="2406" spans="1:2" x14ac:dyDescent="0.25">
      <c r="A2406" s="201"/>
      <c r="B2406" s="201"/>
    </row>
    <row r="2407" spans="1:2" x14ac:dyDescent="0.25">
      <c r="A2407" s="201"/>
      <c r="B2407" s="201"/>
    </row>
    <row r="2408" spans="1:2" x14ac:dyDescent="0.25">
      <c r="A2408" s="201"/>
      <c r="B2408" s="201"/>
    </row>
    <row r="2409" spans="1:2" x14ac:dyDescent="0.25">
      <c r="A2409" s="201"/>
      <c r="B2409" s="201"/>
    </row>
    <row r="2410" spans="1:2" x14ac:dyDescent="0.25">
      <c r="A2410" s="201"/>
      <c r="B2410" s="201"/>
    </row>
    <row r="2411" spans="1:2" x14ac:dyDescent="0.25">
      <c r="A2411" s="201"/>
      <c r="B2411" s="201"/>
    </row>
    <row r="2412" spans="1:2" x14ac:dyDescent="0.25">
      <c r="A2412" s="201"/>
      <c r="B2412" s="201"/>
    </row>
    <row r="2413" spans="1:2" x14ac:dyDescent="0.25">
      <c r="A2413" s="201"/>
      <c r="B2413" s="201"/>
    </row>
    <row r="2414" spans="1:2" x14ac:dyDescent="0.25">
      <c r="A2414" s="201"/>
      <c r="B2414" s="201"/>
    </row>
    <row r="2415" spans="1:2" x14ac:dyDescent="0.25">
      <c r="A2415" s="201"/>
      <c r="B2415" s="201"/>
    </row>
    <row r="2416" spans="1:2" x14ac:dyDescent="0.25">
      <c r="A2416" s="201"/>
      <c r="B2416" s="201"/>
    </row>
    <row r="2417" spans="1:2" x14ac:dyDescent="0.25">
      <c r="A2417" s="201"/>
      <c r="B2417" s="201"/>
    </row>
    <row r="2418" spans="1:2" x14ac:dyDescent="0.25">
      <c r="A2418" s="201"/>
      <c r="B2418" s="201"/>
    </row>
    <row r="2419" spans="1:2" x14ac:dyDescent="0.25">
      <c r="A2419" s="201"/>
      <c r="B2419" s="201"/>
    </row>
    <row r="2420" spans="1:2" x14ac:dyDescent="0.25">
      <c r="A2420" s="201"/>
      <c r="B2420" s="201"/>
    </row>
    <row r="2421" spans="1:2" x14ac:dyDescent="0.25">
      <c r="A2421" s="201"/>
      <c r="B2421" s="201"/>
    </row>
    <row r="2422" spans="1:2" x14ac:dyDescent="0.25">
      <c r="A2422" s="201"/>
      <c r="B2422" s="201"/>
    </row>
    <row r="2423" spans="1:2" x14ac:dyDescent="0.25">
      <c r="A2423" s="201"/>
      <c r="B2423" s="201"/>
    </row>
    <row r="2424" spans="1:2" x14ac:dyDescent="0.25">
      <c r="A2424" s="201"/>
      <c r="B2424" s="201"/>
    </row>
    <row r="2425" spans="1:2" x14ac:dyDescent="0.25">
      <c r="A2425" s="201"/>
      <c r="B2425" s="201"/>
    </row>
    <row r="2426" spans="1:2" x14ac:dyDescent="0.25">
      <c r="A2426" s="201"/>
      <c r="B2426" s="201"/>
    </row>
    <row r="2427" spans="1:2" x14ac:dyDescent="0.25">
      <c r="A2427" s="201"/>
      <c r="B2427" s="201"/>
    </row>
    <row r="2428" spans="1:2" x14ac:dyDescent="0.25">
      <c r="A2428" s="201"/>
      <c r="B2428" s="201"/>
    </row>
    <row r="2429" spans="1:2" x14ac:dyDescent="0.25">
      <c r="A2429" s="201"/>
      <c r="B2429" s="201"/>
    </row>
    <row r="2430" spans="1:2" x14ac:dyDescent="0.25">
      <c r="A2430" s="201"/>
      <c r="B2430" s="201"/>
    </row>
    <row r="2431" spans="1:2" x14ac:dyDescent="0.25">
      <c r="A2431" s="201"/>
      <c r="B2431" s="201"/>
    </row>
    <row r="2432" spans="1:2" x14ac:dyDescent="0.25">
      <c r="A2432" s="201"/>
      <c r="B2432" s="201"/>
    </row>
    <row r="2433" spans="1:2" x14ac:dyDescent="0.25">
      <c r="A2433" s="201"/>
      <c r="B2433" s="201"/>
    </row>
    <row r="2434" spans="1:2" x14ac:dyDescent="0.25">
      <c r="A2434" s="201"/>
      <c r="B2434" s="201"/>
    </row>
    <row r="2435" spans="1:2" x14ac:dyDescent="0.25">
      <c r="A2435" s="201"/>
      <c r="B2435" s="201"/>
    </row>
    <row r="2436" spans="1:2" x14ac:dyDescent="0.25">
      <c r="A2436" s="201"/>
      <c r="B2436" s="201"/>
    </row>
    <row r="2437" spans="1:2" x14ac:dyDescent="0.25">
      <c r="A2437" s="201"/>
      <c r="B2437" s="201"/>
    </row>
    <row r="2438" spans="1:2" x14ac:dyDescent="0.25">
      <c r="A2438" s="201"/>
      <c r="B2438" s="201"/>
    </row>
    <row r="2439" spans="1:2" x14ac:dyDescent="0.25">
      <c r="A2439" s="201"/>
      <c r="B2439" s="201"/>
    </row>
    <row r="2440" spans="1:2" x14ac:dyDescent="0.25">
      <c r="A2440" s="201"/>
      <c r="B2440" s="201"/>
    </row>
    <row r="2441" spans="1:2" x14ac:dyDescent="0.25">
      <c r="A2441" s="201"/>
      <c r="B2441" s="201"/>
    </row>
    <row r="2442" spans="1:2" x14ac:dyDescent="0.25">
      <c r="A2442" s="201"/>
      <c r="B2442" s="201"/>
    </row>
    <row r="2443" spans="1:2" x14ac:dyDescent="0.25">
      <c r="A2443" s="201"/>
      <c r="B2443" s="201"/>
    </row>
    <row r="2444" spans="1:2" x14ac:dyDescent="0.25">
      <c r="A2444" s="201"/>
      <c r="B2444" s="201"/>
    </row>
    <row r="2445" spans="1:2" x14ac:dyDescent="0.25">
      <c r="A2445" s="201"/>
      <c r="B2445" s="201"/>
    </row>
    <row r="2446" spans="1:2" x14ac:dyDescent="0.25">
      <c r="A2446" s="201"/>
      <c r="B2446" s="201"/>
    </row>
    <row r="2447" spans="1:2" x14ac:dyDescent="0.25">
      <c r="A2447" s="201"/>
      <c r="B2447" s="201"/>
    </row>
    <row r="2448" spans="1:2" x14ac:dyDescent="0.25">
      <c r="A2448" s="201"/>
      <c r="B2448" s="201"/>
    </row>
    <row r="2449" spans="1:2" x14ac:dyDescent="0.25">
      <c r="A2449" s="201"/>
      <c r="B2449" s="201"/>
    </row>
    <row r="2450" spans="1:2" x14ac:dyDescent="0.25">
      <c r="A2450" s="201"/>
      <c r="B2450" s="201"/>
    </row>
    <row r="2451" spans="1:2" x14ac:dyDescent="0.25">
      <c r="A2451" s="201"/>
      <c r="B2451" s="201"/>
    </row>
    <row r="2452" spans="1:2" x14ac:dyDescent="0.25">
      <c r="A2452" s="201"/>
      <c r="B2452" s="201"/>
    </row>
    <row r="2453" spans="1:2" x14ac:dyDescent="0.25">
      <c r="A2453" s="201"/>
      <c r="B2453" s="201"/>
    </row>
    <row r="2454" spans="1:2" x14ac:dyDescent="0.25">
      <c r="A2454" s="201"/>
      <c r="B2454" s="201"/>
    </row>
    <row r="2455" spans="1:2" x14ac:dyDescent="0.25">
      <c r="A2455" s="201"/>
      <c r="B2455" s="201"/>
    </row>
    <row r="2456" spans="1:2" x14ac:dyDescent="0.25">
      <c r="A2456" s="201"/>
      <c r="B2456" s="201"/>
    </row>
    <row r="2457" spans="1:2" x14ac:dyDescent="0.25">
      <c r="A2457" s="201"/>
      <c r="B2457" s="201"/>
    </row>
    <row r="2458" spans="1:2" x14ac:dyDescent="0.25">
      <c r="A2458" s="201"/>
      <c r="B2458" s="201"/>
    </row>
    <row r="2459" spans="1:2" x14ac:dyDescent="0.25">
      <c r="A2459" s="201"/>
      <c r="B2459" s="201"/>
    </row>
    <row r="2460" spans="1:2" x14ac:dyDescent="0.25">
      <c r="A2460" s="201"/>
      <c r="B2460" s="201"/>
    </row>
    <row r="2461" spans="1:2" x14ac:dyDescent="0.25">
      <c r="A2461" s="201"/>
      <c r="B2461" s="201"/>
    </row>
    <row r="2462" spans="1:2" x14ac:dyDescent="0.25">
      <c r="A2462" s="201"/>
      <c r="B2462" s="201"/>
    </row>
    <row r="2463" spans="1:2" x14ac:dyDescent="0.25">
      <c r="A2463" s="201"/>
      <c r="B2463" s="201"/>
    </row>
    <row r="2464" spans="1:2" x14ac:dyDescent="0.25">
      <c r="A2464" s="201"/>
      <c r="B2464" s="201"/>
    </row>
    <row r="2465" spans="1:2" x14ac:dyDescent="0.25">
      <c r="A2465" s="201"/>
      <c r="B2465" s="201"/>
    </row>
    <row r="2466" spans="1:2" x14ac:dyDescent="0.25">
      <c r="A2466" s="201"/>
      <c r="B2466" s="201"/>
    </row>
    <row r="2467" spans="1:2" x14ac:dyDescent="0.25">
      <c r="A2467" s="201"/>
      <c r="B2467" s="201"/>
    </row>
    <row r="2468" spans="1:2" x14ac:dyDescent="0.25">
      <c r="A2468" s="201"/>
      <c r="B2468" s="201"/>
    </row>
    <row r="2469" spans="1:2" x14ac:dyDescent="0.25">
      <c r="A2469" s="201"/>
      <c r="B2469" s="201"/>
    </row>
    <row r="2470" spans="1:2" x14ac:dyDescent="0.25">
      <c r="A2470" s="201"/>
      <c r="B2470" s="201"/>
    </row>
    <row r="2471" spans="1:2" x14ac:dyDescent="0.25">
      <c r="A2471" s="201"/>
      <c r="B2471" s="201"/>
    </row>
    <row r="2472" spans="1:2" x14ac:dyDescent="0.25">
      <c r="A2472" s="201"/>
      <c r="B2472" s="201"/>
    </row>
    <row r="2473" spans="1:2" x14ac:dyDescent="0.25">
      <c r="A2473" s="201"/>
      <c r="B2473" s="201"/>
    </row>
    <row r="2474" spans="1:2" x14ac:dyDescent="0.25">
      <c r="A2474" s="201"/>
      <c r="B2474" s="201"/>
    </row>
    <row r="2475" spans="1:2" x14ac:dyDescent="0.25">
      <c r="A2475" s="201"/>
      <c r="B2475" s="201"/>
    </row>
    <row r="2476" spans="1:2" x14ac:dyDescent="0.25">
      <c r="A2476" s="201"/>
      <c r="B2476" s="201"/>
    </row>
    <row r="2477" spans="1:2" x14ac:dyDescent="0.25">
      <c r="A2477" s="201"/>
      <c r="B2477" s="201"/>
    </row>
    <row r="2478" spans="1:2" x14ac:dyDescent="0.25">
      <c r="A2478" s="201"/>
      <c r="B2478" s="201"/>
    </row>
    <row r="2479" spans="1:2" x14ac:dyDescent="0.25">
      <c r="A2479" s="201"/>
      <c r="B2479" s="201"/>
    </row>
    <row r="2480" spans="1:2" x14ac:dyDescent="0.25">
      <c r="A2480" s="201"/>
      <c r="B2480" s="201"/>
    </row>
    <row r="2481" spans="1:2" x14ac:dyDescent="0.25">
      <c r="A2481" s="201"/>
      <c r="B2481" s="201"/>
    </row>
    <row r="2482" spans="1:2" x14ac:dyDescent="0.25">
      <c r="A2482" s="201"/>
      <c r="B2482" s="201"/>
    </row>
    <row r="2483" spans="1:2" x14ac:dyDescent="0.25">
      <c r="A2483" s="201"/>
      <c r="B2483" s="201"/>
    </row>
    <row r="2484" spans="1:2" x14ac:dyDescent="0.25">
      <c r="A2484" s="201"/>
      <c r="B2484" s="201"/>
    </row>
    <row r="2485" spans="1:2" x14ac:dyDescent="0.25">
      <c r="A2485" s="201"/>
      <c r="B2485" s="201"/>
    </row>
    <row r="2486" spans="1:2" x14ac:dyDescent="0.25">
      <c r="A2486" s="201"/>
      <c r="B2486" s="201"/>
    </row>
    <row r="2487" spans="1:2" x14ac:dyDescent="0.25">
      <c r="A2487" s="201"/>
      <c r="B2487" s="201"/>
    </row>
    <row r="2488" spans="1:2" x14ac:dyDescent="0.25">
      <c r="A2488" s="201"/>
      <c r="B2488" s="201"/>
    </row>
    <row r="2489" spans="1:2" x14ac:dyDescent="0.25">
      <c r="A2489" s="201"/>
      <c r="B2489" s="201"/>
    </row>
    <row r="2490" spans="1:2" x14ac:dyDescent="0.25">
      <c r="A2490" s="201"/>
      <c r="B2490" s="201"/>
    </row>
    <row r="2491" spans="1:2" x14ac:dyDescent="0.25">
      <c r="A2491" s="201"/>
      <c r="B2491" s="201"/>
    </row>
    <row r="2492" spans="1:2" x14ac:dyDescent="0.25">
      <c r="A2492" s="201"/>
      <c r="B2492" s="201"/>
    </row>
    <row r="2493" spans="1:2" x14ac:dyDescent="0.25">
      <c r="A2493" s="201"/>
      <c r="B2493" s="201"/>
    </row>
    <row r="2494" spans="1:2" x14ac:dyDescent="0.25">
      <c r="A2494" s="201"/>
      <c r="B2494" s="201"/>
    </row>
    <row r="2495" spans="1:2" x14ac:dyDescent="0.25">
      <c r="A2495" s="201"/>
      <c r="B2495" s="201"/>
    </row>
    <row r="2496" spans="1:2" x14ac:dyDescent="0.25">
      <c r="A2496" s="201"/>
      <c r="B2496" s="201"/>
    </row>
    <row r="2497" spans="1:2" x14ac:dyDescent="0.25">
      <c r="A2497" s="201"/>
      <c r="B2497" s="201"/>
    </row>
    <row r="2498" spans="1:2" x14ac:dyDescent="0.25">
      <c r="A2498" s="201"/>
      <c r="B2498" s="201"/>
    </row>
    <row r="2499" spans="1:2" x14ac:dyDescent="0.25">
      <c r="A2499" s="201"/>
      <c r="B2499" s="201"/>
    </row>
    <row r="2500" spans="1:2" x14ac:dyDescent="0.25">
      <c r="A2500" s="201"/>
      <c r="B2500" s="201"/>
    </row>
    <row r="2501" spans="1:2" x14ac:dyDescent="0.25">
      <c r="A2501" s="201"/>
      <c r="B2501" s="201"/>
    </row>
    <row r="2502" spans="1:2" x14ac:dyDescent="0.25">
      <c r="A2502" s="201"/>
      <c r="B2502" s="201"/>
    </row>
    <row r="2503" spans="1:2" x14ac:dyDescent="0.25">
      <c r="A2503" s="201"/>
      <c r="B2503" s="201"/>
    </row>
    <row r="2504" spans="1:2" x14ac:dyDescent="0.25">
      <c r="A2504" s="201"/>
      <c r="B2504" s="201"/>
    </row>
    <row r="2505" spans="1:2" x14ac:dyDescent="0.25">
      <c r="A2505" s="201"/>
      <c r="B2505" s="201"/>
    </row>
    <row r="2506" spans="1:2" x14ac:dyDescent="0.25">
      <c r="A2506" s="201"/>
      <c r="B2506" s="201"/>
    </row>
    <row r="2507" spans="1:2" x14ac:dyDescent="0.25">
      <c r="A2507" s="201"/>
      <c r="B2507" s="201"/>
    </row>
    <row r="2508" spans="1:2" x14ac:dyDescent="0.25">
      <c r="A2508" s="201"/>
      <c r="B2508" s="201"/>
    </row>
    <row r="2509" spans="1:2" x14ac:dyDescent="0.25">
      <c r="A2509" s="201"/>
      <c r="B2509" s="201"/>
    </row>
    <row r="2510" spans="1:2" x14ac:dyDescent="0.25">
      <c r="A2510" s="201"/>
      <c r="B2510" s="201"/>
    </row>
    <row r="2511" spans="1:2" x14ac:dyDescent="0.25">
      <c r="A2511" s="201"/>
      <c r="B2511" s="201"/>
    </row>
    <row r="2512" spans="1:2" x14ac:dyDescent="0.25">
      <c r="A2512" s="201"/>
      <c r="B2512" s="201"/>
    </row>
    <row r="2513" spans="1:2" x14ac:dyDescent="0.25">
      <c r="A2513" s="201"/>
      <c r="B2513" s="201"/>
    </row>
    <row r="2514" spans="1:2" x14ac:dyDescent="0.25">
      <c r="A2514" s="201"/>
      <c r="B2514" s="201"/>
    </row>
    <row r="2515" spans="1:2" x14ac:dyDescent="0.25">
      <c r="A2515" s="201"/>
      <c r="B2515" s="201"/>
    </row>
    <row r="2516" spans="1:2" x14ac:dyDescent="0.25">
      <c r="A2516" s="201"/>
      <c r="B2516" s="201"/>
    </row>
    <row r="2517" spans="1:2" x14ac:dyDescent="0.25">
      <c r="A2517" s="201"/>
      <c r="B2517" s="201"/>
    </row>
    <row r="2518" spans="1:2" x14ac:dyDescent="0.25">
      <c r="A2518" s="201"/>
      <c r="B2518" s="201"/>
    </row>
    <row r="2519" spans="1:2" x14ac:dyDescent="0.25">
      <c r="A2519" s="201"/>
      <c r="B2519" s="201"/>
    </row>
    <row r="2520" spans="1:2" x14ac:dyDescent="0.25">
      <c r="A2520" s="201"/>
      <c r="B2520" s="201"/>
    </row>
    <row r="2521" spans="1:2" x14ac:dyDescent="0.25">
      <c r="A2521" s="201"/>
      <c r="B2521" s="201"/>
    </row>
    <row r="2522" spans="1:2" x14ac:dyDescent="0.25">
      <c r="A2522" s="201"/>
      <c r="B2522" s="201"/>
    </row>
    <row r="2523" spans="1:2" x14ac:dyDescent="0.25">
      <c r="A2523" s="201"/>
      <c r="B2523" s="201"/>
    </row>
    <row r="2524" spans="1:2" x14ac:dyDescent="0.25">
      <c r="A2524" s="201"/>
      <c r="B2524" s="201"/>
    </row>
    <row r="2525" spans="1:2" x14ac:dyDescent="0.25">
      <c r="A2525" s="201"/>
      <c r="B2525" s="201"/>
    </row>
    <row r="2526" spans="1:2" x14ac:dyDescent="0.25">
      <c r="A2526" s="201"/>
      <c r="B2526" s="201"/>
    </row>
    <row r="2527" spans="1:2" x14ac:dyDescent="0.25">
      <c r="A2527" s="201"/>
      <c r="B2527" s="201"/>
    </row>
    <row r="2528" spans="1:2" x14ac:dyDescent="0.25">
      <c r="A2528" s="201"/>
      <c r="B2528" s="201"/>
    </row>
    <row r="2529" spans="1:2" x14ac:dyDescent="0.25">
      <c r="A2529" s="201"/>
      <c r="B2529" s="201"/>
    </row>
    <row r="2530" spans="1:2" x14ac:dyDescent="0.25">
      <c r="A2530" s="201"/>
      <c r="B2530" s="201"/>
    </row>
    <row r="2531" spans="1:2" x14ac:dyDescent="0.25">
      <c r="A2531" s="201"/>
      <c r="B2531" s="201"/>
    </row>
    <row r="2532" spans="1:2" x14ac:dyDescent="0.25">
      <c r="A2532" s="201"/>
      <c r="B2532" s="201"/>
    </row>
    <row r="2533" spans="1:2" x14ac:dyDescent="0.25">
      <c r="A2533" s="201"/>
      <c r="B2533" s="201"/>
    </row>
    <row r="2534" spans="1:2" x14ac:dyDescent="0.25">
      <c r="A2534" s="201"/>
      <c r="B2534" s="201"/>
    </row>
    <row r="2535" spans="1:2" x14ac:dyDescent="0.25">
      <c r="A2535" s="201"/>
      <c r="B2535" s="201"/>
    </row>
    <row r="2536" spans="1:2" x14ac:dyDescent="0.25">
      <c r="A2536" s="201"/>
      <c r="B2536" s="201"/>
    </row>
    <row r="2537" spans="1:2" x14ac:dyDescent="0.25">
      <c r="A2537" s="201"/>
      <c r="B2537" s="201"/>
    </row>
    <row r="2538" spans="1:2" x14ac:dyDescent="0.25">
      <c r="A2538" s="201"/>
      <c r="B2538" s="201"/>
    </row>
    <row r="2539" spans="1:2" x14ac:dyDescent="0.25">
      <c r="A2539" s="201"/>
      <c r="B2539" s="201"/>
    </row>
    <row r="2540" spans="1:2" x14ac:dyDescent="0.25">
      <c r="A2540" s="201"/>
      <c r="B2540" s="201"/>
    </row>
    <row r="2541" spans="1:2" x14ac:dyDescent="0.25">
      <c r="A2541" s="201"/>
      <c r="B2541" s="201"/>
    </row>
    <row r="2542" spans="1:2" x14ac:dyDescent="0.25">
      <c r="A2542" s="201"/>
      <c r="B2542" s="201"/>
    </row>
    <row r="2543" spans="1:2" x14ac:dyDescent="0.25">
      <c r="A2543" s="201"/>
      <c r="B2543" s="201"/>
    </row>
    <row r="2544" spans="1:2" x14ac:dyDescent="0.25">
      <c r="A2544" s="201"/>
      <c r="B2544" s="201"/>
    </row>
    <row r="2545" spans="1:2" x14ac:dyDescent="0.25">
      <c r="A2545" s="201"/>
      <c r="B2545" s="201"/>
    </row>
    <row r="2546" spans="1:2" x14ac:dyDescent="0.25">
      <c r="A2546" s="201"/>
      <c r="B2546" s="201"/>
    </row>
    <row r="2547" spans="1:2" x14ac:dyDescent="0.25">
      <c r="A2547" s="201"/>
      <c r="B2547" s="201"/>
    </row>
    <row r="2548" spans="1:2" x14ac:dyDescent="0.25">
      <c r="A2548" s="201"/>
      <c r="B2548" s="201"/>
    </row>
    <row r="2549" spans="1:2" x14ac:dyDescent="0.25">
      <c r="A2549" s="201"/>
      <c r="B2549" s="201"/>
    </row>
    <row r="2550" spans="1:2" x14ac:dyDescent="0.25">
      <c r="A2550" s="201"/>
      <c r="B2550" s="201"/>
    </row>
    <row r="2551" spans="1:2" x14ac:dyDescent="0.25">
      <c r="A2551" s="201"/>
      <c r="B2551" s="201"/>
    </row>
    <row r="2552" spans="1:2" x14ac:dyDescent="0.25">
      <c r="A2552" s="201"/>
      <c r="B2552" s="201"/>
    </row>
    <row r="2553" spans="1:2" x14ac:dyDescent="0.25">
      <c r="A2553" s="201"/>
      <c r="B2553" s="201"/>
    </row>
    <row r="2554" spans="1:2" x14ac:dyDescent="0.25">
      <c r="A2554" s="201"/>
      <c r="B2554" s="201"/>
    </row>
    <row r="2555" spans="1:2" x14ac:dyDescent="0.25">
      <c r="A2555" s="201"/>
      <c r="B2555" s="201"/>
    </row>
    <row r="2556" spans="1:2" x14ac:dyDescent="0.25">
      <c r="A2556" s="201"/>
      <c r="B2556" s="201"/>
    </row>
    <row r="2557" spans="1:2" x14ac:dyDescent="0.25">
      <c r="A2557" s="201"/>
      <c r="B2557" s="201"/>
    </row>
    <row r="2558" spans="1:2" x14ac:dyDescent="0.25">
      <c r="A2558" s="201"/>
      <c r="B2558" s="201"/>
    </row>
    <row r="2559" spans="1:2" x14ac:dyDescent="0.25">
      <c r="A2559" s="201"/>
      <c r="B2559" s="201"/>
    </row>
    <row r="2560" spans="1:2" x14ac:dyDescent="0.25">
      <c r="A2560" s="201"/>
      <c r="B2560" s="201"/>
    </row>
    <row r="2561" spans="1:2" x14ac:dyDescent="0.25">
      <c r="A2561" s="201"/>
      <c r="B2561" s="201"/>
    </row>
    <row r="2562" spans="1:2" x14ac:dyDescent="0.25">
      <c r="A2562" s="201"/>
      <c r="B2562" s="201"/>
    </row>
    <row r="2563" spans="1:2" x14ac:dyDescent="0.25">
      <c r="A2563" s="201"/>
      <c r="B2563" s="201"/>
    </row>
    <row r="2564" spans="1:2" x14ac:dyDescent="0.25">
      <c r="A2564" s="201"/>
      <c r="B2564" s="201"/>
    </row>
    <row r="2565" spans="1:2" x14ac:dyDescent="0.25">
      <c r="A2565" s="201"/>
      <c r="B2565" s="201"/>
    </row>
    <row r="2566" spans="1:2" x14ac:dyDescent="0.25">
      <c r="A2566" s="201"/>
      <c r="B2566" s="201"/>
    </row>
    <row r="2567" spans="1:2" x14ac:dyDescent="0.25">
      <c r="A2567" s="201"/>
      <c r="B2567" s="201"/>
    </row>
    <row r="2568" spans="1:2" x14ac:dyDescent="0.25">
      <c r="A2568" s="201"/>
      <c r="B2568" s="201"/>
    </row>
    <row r="2569" spans="1:2" x14ac:dyDescent="0.25">
      <c r="A2569" s="201"/>
      <c r="B2569" s="201"/>
    </row>
    <row r="2570" spans="1:2" x14ac:dyDescent="0.25">
      <c r="A2570" s="201"/>
      <c r="B2570" s="201"/>
    </row>
    <row r="2571" spans="1:2" x14ac:dyDescent="0.25">
      <c r="A2571" s="201"/>
      <c r="B2571" s="201"/>
    </row>
    <row r="2572" spans="1:2" x14ac:dyDescent="0.25">
      <c r="A2572" s="201"/>
      <c r="B2572" s="201"/>
    </row>
    <row r="2573" spans="1:2" x14ac:dyDescent="0.25">
      <c r="A2573" s="201"/>
      <c r="B2573" s="201"/>
    </row>
    <row r="2574" spans="1:2" x14ac:dyDescent="0.25">
      <c r="A2574" s="201"/>
      <c r="B2574" s="201"/>
    </row>
    <row r="2575" spans="1:2" x14ac:dyDescent="0.25">
      <c r="A2575" s="201"/>
      <c r="B2575" s="201"/>
    </row>
    <row r="2576" spans="1:2" x14ac:dyDescent="0.25">
      <c r="A2576" s="201"/>
      <c r="B2576" s="201"/>
    </row>
    <row r="2577" spans="1:2" x14ac:dyDescent="0.25">
      <c r="A2577" s="201"/>
      <c r="B2577" s="201"/>
    </row>
    <row r="2578" spans="1:2" x14ac:dyDescent="0.25">
      <c r="A2578" s="201"/>
      <c r="B2578" s="201"/>
    </row>
    <row r="2579" spans="1:2" x14ac:dyDescent="0.25">
      <c r="A2579" s="201"/>
      <c r="B2579" s="201"/>
    </row>
    <row r="2580" spans="1:2" x14ac:dyDescent="0.25">
      <c r="A2580" s="201"/>
      <c r="B2580" s="201"/>
    </row>
    <row r="2581" spans="1:2" x14ac:dyDescent="0.25">
      <c r="A2581" s="201"/>
      <c r="B2581" s="201"/>
    </row>
    <row r="2582" spans="1:2" x14ac:dyDescent="0.25">
      <c r="A2582" s="201"/>
      <c r="B2582" s="201"/>
    </row>
    <row r="2583" spans="1:2" x14ac:dyDescent="0.25">
      <c r="A2583" s="201"/>
      <c r="B2583" s="201"/>
    </row>
    <row r="2584" spans="1:2" x14ac:dyDescent="0.25">
      <c r="A2584" s="201"/>
      <c r="B2584" s="201"/>
    </row>
    <row r="2585" spans="1:2" x14ac:dyDescent="0.25">
      <c r="A2585" s="201"/>
      <c r="B2585" s="201"/>
    </row>
    <row r="2586" spans="1:2" x14ac:dyDescent="0.25">
      <c r="A2586" s="201"/>
      <c r="B2586" s="201"/>
    </row>
    <row r="2587" spans="1:2" x14ac:dyDescent="0.25">
      <c r="A2587" s="201"/>
      <c r="B2587" s="201"/>
    </row>
    <row r="2588" spans="1:2" x14ac:dyDescent="0.25">
      <c r="A2588" s="201"/>
      <c r="B2588" s="201"/>
    </row>
    <row r="2589" spans="1:2" x14ac:dyDescent="0.25">
      <c r="A2589" s="201"/>
      <c r="B2589" s="201"/>
    </row>
    <row r="2590" spans="1:2" x14ac:dyDescent="0.25">
      <c r="A2590" s="201"/>
      <c r="B2590" s="201"/>
    </row>
    <row r="2591" spans="1:2" x14ac:dyDescent="0.25">
      <c r="A2591" s="201"/>
      <c r="B2591" s="201"/>
    </row>
    <row r="2592" spans="1:2" x14ac:dyDescent="0.25">
      <c r="A2592" s="201"/>
      <c r="B2592" s="201"/>
    </row>
    <row r="2593" spans="1:2" x14ac:dyDescent="0.25">
      <c r="A2593" s="201"/>
      <c r="B2593" s="201"/>
    </row>
    <row r="2594" spans="1:2" x14ac:dyDescent="0.25">
      <c r="A2594" s="201"/>
      <c r="B2594" s="201"/>
    </row>
    <row r="2595" spans="1:2" x14ac:dyDescent="0.25">
      <c r="A2595" s="201"/>
      <c r="B2595" s="201"/>
    </row>
    <row r="2596" spans="1:2" x14ac:dyDescent="0.25">
      <c r="A2596" s="201"/>
      <c r="B2596" s="201"/>
    </row>
    <row r="2597" spans="1:2" x14ac:dyDescent="0.25">
      <c r="A2597" s="201"/>
      <c r="B2597" s="201"/>
    </row>
    <row r="2598" spans="1:2" x14ac:dyDescent="0.25">
      <c r="A2598" s="201"/>
      <c r="B2598" s="201"/>
    </row>
    <row r="2599" spans="1:2" x14ac:dyDescent="0.25">
      <c r="A2599" s="201"/>
      <c r="B2599" s="201"/>
    </row>
    <row r="2600" spans="1:2" x14ac:dyDescent="0.25">
      <c r="A2600" s="201"/>
      <c r="B2600" s="201"/>
    </row>
    <row r="2601" spans="1:2" x14ac:dyDescent="0.25">
      <c r="A2601" s="201"/>
      <c r="B2601" s="201"/>
    </row>
    <row r="2602" spans="1:2" x14ac:dyDescent="0.25">
      <c r="A2602" s="201"/>
      <c r="B2602" s="201"/>
    </row>
    <row r="2603" spans="1:2" x14ac:dyDescent="0.25">
      <c r="A2603" s="201"/>
      <c r="B2603" s="201"/>
    </row>
    <row r="2604" spans="1:2" x14ac:dyDescent="0.25">
      <c r="A2604" s="201"/>
      <c r="B2604" s="201"/>
    </row>
    <row r="2605" spans="1:2" x14ac:dyDescent="0.25">
      <c r="A2605" s="201"/>
      <c r="B2605" s="201"/>
    </row>
    <row r="2606" spans="1:2" x14ac:dyDescent="0.25">
      <c r="A2606" s="201"/>
      <c r="B2606" s="201"/>
    </row>
    <row r="2607" spans="1:2" x14ac:dyDescent="0.25">
      <c r="A2607" s="201"/>
      <c r="B2607" s="201"/>
    </row>
    <row r="2608" spans="1:2" x14ac:dyDescent="0.25">
      <c r="A2608" s="201"/>
      <c r="B2608" s="201"/>
    </row>
    <row r="2609" spans="1:2" x14ac:dyDescent="0.25">
      <c r="A2609" s="201"/>
      <c r="B2609" s="201"/>
    </row>
    <row r="2610" spans="1:2" x14ac:dyDescent="0.25">
      <c r="A2610" s="201"/>
      <c r="B2610" s="201"/>
    </row>
    <row r="2611" spans="1:2" x14ac:dyDescent="0.25">
      <c r="A2611" s="201"/>
      <c r="B2611" s="201"/>
    </row>
    <row r="2612" spans="1:2" x14ac:dyDescent="0.25">
      <c r="A2612" s="201"/>
      <c r="B2612" s="201"/>
    </row>
    <row r="2613" spans="1:2" x14ac:dyDescent="0.25">
      <c r="A2613" s="201"/>
      <c r="B2613" s="201"/>
    </row>
    <row r="2614" spans="1:2" x14ac:dyDescent="0.25">
      <c r="A2614" s="201"/>
      <c r="B2614" s="201"/>
    </row>
    <row r="2615" spans="1:2" x14ac:dyDescent="0.25">
      <c r="A2615" s="201"/>
      <c r="B2615" s="201"/>
    </row>
    <row r="2616" spans="1:2" x14ac:dyDescent="0.25">
      <c r="A2616" s="201"/>
      <c r="B2616" s="201"/>
    </row>
    <row r="2617" spans="1:2" x14ac:dyDescent="0.25">
      <c r="A2617" s="201"/>
      <c r="B2617" s="201"/>
    </row>
    <row r="2618" spans="1:2" x14ac:dyDescent="0.25">
      <c r="A2618" s="201"/>
      <c r="B2618" s="201"/>
    </row>
    <row r="2619" spans="1:2" x14ac:dyDescent="0.25">
      <c r="A2619" s="201"/>
      <c r="B2619" s="201"/>
    </row>
    <row r="2620" spans="1:2" x14ac:dyDescent="0.25">
      <c r="A2620" s="201"/>
      <c r="B2620" s="201"/>
    </row>
    <row r="2621" spans="1:2" x14ac:dyDescent="0.25">
      <c r="A2621" s="201"/>
      <c r="B2621" s="201"/>
    </row>
    <row r="2622" spans="1:2" x14ac:dyDescent="0.25">
      <c r="A2622" s="201"/>
      <c r="B2622" s="201"/>
    </row>
    <row r="2623" spans="1:2" x14ac:dyDescent="0.25">
      <c r="A2623" s="201"/>
      <c r="B2623" s="201"/>
    </row>
    <row r="2624" spans="1:2" x14ac:dyDescent="0.25">
      <c r="A2624" s="201"/>
      <c r="B2624" s="201"/>
    </row>
    <row r="2625" spans="1:2" x14ac:dyDescent="0.25">
      <c r="A2625" s="201"/>
      <c r="B2625" s="201"/>
    </row>
    <row r="2626" spans="1:2" x14ac:dyDescent="0.25">
      <c r="A2626" s="201"/>
      <c r="B2626" s="201"/>
    </row>
    <row r="2627" spans="1:2" x14ac:dyDescent="0.25">
      <c r="A2627" s="201"/>
      <c r="B2627" s="201"/>
    </row>
    <row r="2628" spans="1:2" x14ac:dyDescent="0.25">
      <c r="A2628" s="201"/>
      <c r="B2628" s="201"/>
    </row>
    <row r="2629" spans="1:2" x14ac:dyDescent="0.25">
      <c r="A2629" s="201"/>
      <c r="B2629" s="201"/>
    </row>
    <row r="2630" spans="1:2" x14ac:dyDescent="0.25">
      <c r="A2630" s="201"/>
      <c r="B2630" s="201"/>
    </row>
    <row r="2631" spans="1:2" x14ac:dyDescent="0.25">
      <c r="A2631" s="201"/>
      <c r="B2631" s="201"/>
    </row>
    <row r="2632" spans="1:2" x14ac:dyDescent="0.25">
      <c r="A2632" s="201"/>
      <c r="B2632" s="201"/>
    </row>
    <row r="2633" spans="1:2" x14ac:dyDescent="0.25">
      <c r="A2633" s="201"/>
      <c r="B2633" s="201"/>
    </row>
    <row r="2634" spans="1:2" x14ac:dyDescent="0.25">
      <c r="A2634" s="201"/>
      <c r="B2634" s="201"/>
    </row>
    <row r="2635" spans="1:2" x14ac:dyDescent="0.25">
      <c r="A2635" s="201"/>
      <c r="B2635" s="201"/>
    </row>
    <row r="2636" spans="1:2" x14ac:dyDescent="0.25">
      <c r="A2636" s="201"/>
      <c r="B2636" s="201"/>
    </row>
    <row r="2637" spans="1:2" x14ac:dyDescent="0.25">
      <c r="A2637" s="201"/>
      <c r="B2637" s="201"/>
    </row>
    <row r="2638" spans="1:2" x14ac:dyDescent="0.25">
      <c r="A2638" s="201"/>
      <c r="B2638" s="201"/>
    </row>
    <row r="2639" spans="1:2" x14ac:dyDescent="0.25">
      <c r="A2639" s="201"/>
      <c r="B2639" s="201"/>
    </row>
    <row r="2640" spans="1:2" x14ac:dyDescent="0.25">
      <c r="A2640" s="201"/>
      <c r="B2640" s="201"/>
    </row>
    <row r="2641" spans="1:2" x14ac:dyDescent="0.25">
      <c r="A2641" s="201"/>
      <c r="B2641" s="201"/>
    </row>
    <row r="2642" spans="1:2" x14ac:dyDescent="0.25">
      <c r="A2642" s="201"/>
      <c r="B2642" s="201"/>
    </row>
    <row r="2643" spans="1:2" x14ac:dyDescent="0.25">
      <c r="A2643" s="201"/>
      <c r="B2643" s="201"/>
    </row>
    <row r="2644" spans="1:2" x14ac:dyDescent="0.25">
      <c r="A2644" s="201"/>
      <c r="B2644" s="201"/>
    </row>
    <row r="2645" spans="1:2" x14ac:dyDescent="0.25">
      <c r="A2645" s="201"/>
      <c r="B2645" s="201"/>
    </row>
    <row r="2646" spans="1:2" x14ac:dyDescent="0.25">
      <c r="A2646" s="201"/>
      <c r="B2646" s="201"/>
    </row>
    <row r="2647" spans="1:2" x14ac:dyDescent="0.25">
      <c r="A2647" s="201"/>
      <c r="B2647" s="201"/>
    </row>
    <row r="2648" spans="1:2" x14ac:dyDescent="0.25">
      <c r="A2648" s="201"/>
      <c r="B2648" s="201"/>
    </row>
    <row r="2649" spans="1:2" x14ac:dyDescent="0.25">
      <c r="A2649" s="201"/>
      <c r="B2649" s="201"/>
    </row>
    <row r="2650" spans="1:2" x14ac:dyDescent="0.25">
      <c r="A2650" s="201"/>
      <c r="B2650" s="201"/>
    </row>
    <row r="2651" spans="1:2" x14ac:dyDescent="0.25">
      <c r="A2651" s="201"/>
      <c r="B2651" s="201"/>
    </row>
    <row r="2652" spans="1:2" x14ac:dyDescent="0.25">
      <c r="A2652" s="201"/>
      <c r="B2652" s="201"/>
    </row>
    <row r="2653" spans="1:2" x14ac:dyDescent="0.25">
      <c r="A2653" s="201"/>
      <c r="B2653" s="201"/>
    </row>
    <row r="2654" spans="1:2" x14ac:dyDescent="0.25">
      <c r="A2654" s="201"/>
      <c r="B2654" s="201"/>
    </row>
    <row r="2655" spans="1:2" x14ac:dyDescent="0.25">
      <c r="A2655" s="201"/>
      <c r="B2655" s="201"/>
    </row>
    <row r="2656" spans="1:2" x14ac:dyDescent="0.25">
      <c r="A2656" s="201"/>
      <c r="B2656" s="201"/>
    </row>
    <row r="2657" spans="1:2" x14ac:dyDescent="0.25">
      <c r="A2657" s="201"/>
      <c r="B2657" s="201"/>
    </row>
    <row r="2658" spans="1:2" x14ac:dyDescent="0.25">
      <c r="A2658" s="201"/>
      <c r="B2658" s="201"/>
    </row>
    <row r="2659" spans="1:2" x14ac:dyDescent="0.25">
      <c r="A2659" s="201"/>
      <c r="B2659" s="201"/>
    </row>
    <row r="2660" spans="1:2" x14ac:dyDescent="0.25">
      <c r="A2660" s="201"/>
      <c r="B2660" s="201"/>
    </row>
    <row r="2661" spans="1:2" x14ac:dyDescent="0.25">
      <c r="A2661" s="201"/>
      <c r="B2661" s="201"/>
    </row>
    <row r="2662" spans="1:2" x14ac:dyDescent="0.25">
      <c r="A2662" s="201"/>
      <c r="B2662" s="201"/>
    </row>
    <row r="2663" spans="1:2" x14ac:dyDescent="0.25">
      <c r="A2663" s="201"/>
      <c r="B2663" s="201"/>
    </row>
    <row r="2664" spans="1:2" x14ac:dyDescent="0.25">
      <c r="A2664" s="201"/>
      <c r="B2664" s="201"/>
    </row>
    <row r="2665" spans="1:2" x14ac:dyDescent="0.25">
      <c r="A2665" s="201"/>
      <c r="B2665" s="201"/>
    </row>
    <row r="2666" spans="1:2" x14ac:dyDescent="0.25">
      <c r="A2666" s="201"/>
      <c r="B2666" s="201"/>
    </row>
    <row r="2667" spans="1:2" x14ac:dyDescent="0.25">
      <c r="A2667" s="201"/>
      <c r="B2667" s="201"/>
    </row>
    <row r="2668" spans="1:2" x14ac:dyDescent="0.25">
      <c r="A2668" s="201"/>
      <c r="B2668" s="201"/>
    </row>
    <row r="2669" spans="1:2" x14ac:dyDescent="0.25">
      <c r="A2669" s="201"/>
      <c r="B2669" s="201"/>
    </row>
    <row r="2670" spans="1:2" x14ac:dyDescent="0.25">
      <c r="A2670" s="201"/>
      <c r="B2670" s="201"/>
    </row>
    <row r="2671" spans="1:2" x14ac:dyDescent="0.25">
      <c r="A2671" s="201"/>
      <c r="B2671" s="201"/>
    </row>
    <row r="2672" spans="1:2" x14ac:dyDescent="0.25">
      <c r="A2672" s="201"/>
      <c r="B2672" s="201"/>
    </row>
    <row r="2673" spans="1:2" x14ac:dyDescent="0.25">
      <c r="A2673" s="201"/>
      <c r="B2673" s="201"/>
    </row>
    <row r="2674" spans="1:2" x14ac:dyDescent="0.25">
      <c r="A2674" s="201"/>
      <c r="B2674" s="201"/>
    </row>
    <row r="2675" spans="1:2" x14ac:dyDescent="0.25">
      <c r="A2675" s="201"/>
      <c r="B2675" s="201"/>
    </row>
    <row r="2676" spans="1:2" x14ac:dyDescent="0.25">
      <c r="A2676" s="201"/>
      <c r="B2676" s="201"/>
    </row>
    <row r="2677" spans="1:2" x14ac:dyDescent="0.25">
      <c r="A2677" s="201"/>
      <c r="B2677" s="201"/>
    </row>
    <row r="2678" spans="1:2" x14ac:dyDescent="0.25">
      <c r="A2678" s="201"/>
      <c r="B2678" s="201"/>
    </row>
    <row r="2679" spans="1:2" x14ac:dyDescent="0.25">
      <c r="A2679" s="201"/>
      <c r="B2679" s="201"/>
    </row>
    <row r="2680" spans="1:2" x14ac:dyDescent="0.25">
      <c r="A2680" s="201"/>
      <c r="B2680" s="201"/>
    </row>
    <row r="2681" spans="1:2" x14ac:dyDescent="0.25">
      <c r="A2681" s="201"/>
      <c r="B2681" s="201"/>
    </row>
    <row r="2682" spans="1:2" x14ac:dyDescent="0.25">
      <c r="A2682" s="201"/>
      <c r="B2682" s="201"/>
    </row>
    <row r="2683" spans="1:2" x14ac:dyDescent="0.25">
      <c r="A2683" s="201"/>
      <c r="B2683" s="201"/>
    </row>
    <row r="2684" spans="1:2" x14ac:dyDescent="0.25">
      <c r="A2684" s="201"/>
      <c r="B2684" s="201"/>
    </row>
    <row r="2685" spans="1:2" x14ac:dyDescent="0.25">
      <c r="A2685" s="201"/>
      <c r="B2685" s="201"/>
    </row>
    <row r="2686" spans="1:2" x14ac:dyDescent="0.25">
      <c r="A2686" s="201"/>
      <c r="B2686" s="201"/>
    </row>
    <row r="2687" spans="1:2" x14ac:dyDescent="0.25">
      <c r="A2687" s="201"/>
      <c r="B2687" s="201"/>
    </row>
    <row r="2688" spans="1:2" x14ac:dyDescent="0.25">
      <c r="A2688" s="201"/>
      <c r="B2688" s="201"/>
    </row>
    <row r="2689" spans="1:2" x14ac:dyDescent="0.25">
      <c r="A2689" s="201"/>
      <c r="B2689" s="201"/>
    </row>
    <row r="2690" spans="1:2" x14ac:dyDescent="0.25">
      <c r="A2690" s="201"/>
      <c r="B2690" s="201"/>
    </row>
    <row r="2691" spans="1:2" x14ac:dyDescent="0.25">
      <c r="A2691" s="201"/>
      <c r="B2691" s="201"/>
    </row>
    <row r="2692" spans="1:2" x14ac:dyDescent="0.25">
      <c r="A2692" s="201"/>
      <c r="B2692" s="201"/>
    </row>
    <row r="2693" spans="1:2" x14ac:dyDescent="0.25">
      <c r="A2693" s="201"/>
      <c r="B2693" s="201"/>
    </row>
    <row r="2694" spans="1:2" x14ac:dyDescent="0.25">
      <c r="A2694" s="201"/>
      <c r="B2694" s="201"/>
    </row>
    <row r="2695" spans="1:2" x14ac:dyDescent="0.25">
      <c r="A2695" s="201"/>
      <c r="B2695" s="201"/>
    </row>
    <row r="2696" spans="1:2" x14ac:dyDescent="0.25">
      <c r="A2696" s="201"/>
      <c r="B2696" s="201"/>
    </row>
    <row r="2697" spans="1:2" x14ac:dyDescent="0.25">
      <c r="A2697" s="201"/>
      <c r="B2697" s="201"/>
    </row>
    <row r="2698" spans="1:2" x14ac:dyDescent="0.25">
      <c r="A2698" s="201"/>
      <c r="B2698" s="201"/>
    </row>
    <row r="2699" spans="1:2" x14ac:dyDescent="0.25">
      <c r="A2699" s="201"/>
      <c r="B2699" s="201"/>
    </row>
    <row r="2700" spans="1:2" x14ac:dyDescent="0.25">
      <c r="A2700" s="201"/>
      <c r="B2700" s="201"/>
    </row>
    <row r="2701" spans="1:2" x14ac:dyDescent="0.25">
      <c r="A2701" s="201"/>
      <c r="B2701" s="201"/>
    </row>
    <row r="2702" spans="1:2" x14ac:dyDescent="0.25">
      <c r="A2702" s="201"/>
      <c r="B2702" s="201"/>
    </row>
    <row r="2703" spans="1:2" x14ac:dyDescent="0.25">
      <c r="A2703" s="201"/>
      <c r="B2703" s="201"/>
    </row>
    <row r="2704" spans="1:2" x14ac:dyDescent="0.25">
      <c r="A2704" s="201"/>
      <c r="B2704" s="201"/>
    </row>
    <row r="2705" spans="1:2" x14ac:dyDescent="0.25">
      <c r="A2705" s="201"/>
      <c r="B2705" s="201"/>
    </row>
    <row r="2706" spans="1:2" x14ac:dyDescent="0.25">
      <c r="A2706" s="201"/>
      <c r="B2706" s="201"/>
    </row>
    <row r="2707" spans="1:2" x14ac:dyDescent="0.25">
      <c r="A2707" s="201"/>
      <c r="B2707" s="201"/>
    </row>
    <row r="2708" spans="1:2" x14ac:dyDescent="0.25">
      <c r="A2708" s="201"/>
      <c r="B2708" s="201"/>
    </row>
    <row r="2709" spans="1:2" x14ac:dyDescent="0.25">
      <c r="A2709" s="201"/>
      <c r="B2709" s="201"/>
    </row>
    <row r="2710" spans="1:2" x14ac:dyDescent="0.25">
      <c r="A2710" s="201"/>
      <c r="B2710" s="201"/>
    </row>
    <row r="2711" spans="1:2" x14ac:dyDescent="0.25">
      <c r="A2711" s="201"/>
      <c r="B2711" s="201"/>
    </row>
    <row r="2712" spans="1:2" x14ac:dyDescent="0.25">
      <c r="A2712" s="201"/>
      <c r="B2712" s="201"/>
    </row>
    <row r="2713" spans="1:2" x14ac:dyDescent="0.25">
      <c r="A2713" s="201"/>
      <c r="B2713" s="201"/>
    </row>
    <row r="2714" spans="1:2" x14ac:dyDescent="0.25">
      <c r="A2714" s="201"/>
      <c r="B2714" s="201"/>
    </row>
    <row r="2715" spans="1:2" x14ac:dyDescent="0.25">
      <c r="A2715" s="201"/>
      <c r="B2715" s="201"/>
    </row>
    <row r="2716" spans="1:2" x14ac:dyDescent="0.25">
      <c r="A2716" s="201"/>
      <c r="B2716" s="201"/>
    </row>
    <row r="2717" spans="1:2" x14ac:dyDescent="0.25">
      <c r="A2717" s="201"/>
      <c r="B2717" s="201"/>
    </row>
    <row r="2718" spans="1:2" x14ac:dyDescent="0.25">
      <c r="A2718" s="201"/>
      <c r="B2718" s="201"/>
    </row>
    <row r="2719" spans="1:2" x14ac:dyDescent="0.25">
      <c r="A2719" s="201"/>
      <c r="B2719" s="201"/>
    </row>
    <row r="2720" spans="1:2" x14ac:dyDescent="0.25">
      <c r="A2720" s="201"/>
      <c r="B2720" s="201"/>
    </row>
    <row r="2721" spans="1:2" x14ac:dyDescent="0.25">
      <c r="A2721" s="201"/>
      <c r="B2721" s="201"/>
    </row>
    <row r="2722" spans="1:2" x14ac:dyDescent="0.25">
      <c r="A2722" s="201"/>
      <c r="B2722" s="201"/>
    </row>
    <row r="2723" spans="1:2" x14ac:dyDescent="0.25">
      <c r="A2723" s="201"/>
      <c r="B2723" s="201"/>
    </row>
    <row r="2724" spans="1:2" x14ac:dyDescent="0.25">
      <c r="A2724" s="201"/>
      <c r="B2724" s="201"/>
    </row>
    <row r="2725" spans="1:2" x14ac:dyDescent="0.25">
      <c r="A2725" s="201"/>
      <c r="B2725" s="201"/>
    </row>
    <row r="2726" spans="1:2" x14ac:dyDescent="0.25">
      <c r="A2726" s="201"/>
      <c r="B2726" s="201"/>
    </row>
    <row r="2727" spans="1:2" x14ac:dyDescent="0.25">
      <c r="A2727" s="201"/>
      <c r="B2727" s="201"/>
    </row>
    <row r="2728" spans="1:2" x14ac:dyDescent="0.25">
      <c r="A2728" s="201"/>
      <c r="B2728" s="201"/>
    </row>
    <row r="2729" spans="1:2" x14ac:dyDescent="0.25">
      <c r="A2729" s="201"/>
      <c r="B2729" s="201"/>
    </row>
    <row r="2730" spans="1:2" x14ac:dyDescent="0.25">
      <c r="A2730" s="201"/>
      <c r="B2730" s="201"/>
    </row>
    <row r="2731" spans="1:2" x14ac:dyDescent="0.25">
      <c r="A2731" s="201"/>
      <c r="B2731" s="201"/>
    </row>
    <row r="2732" spans="1:2" x14ac:dyDescent="0.25">
      <c r="A2732" s="201"/>
      <c r="B2732" s="201"/>
    </row>
    <row r="2733" spans="1:2" x14ac:dyDescent="0.25">
      <c r="A2733" s="201"/>
      <c r="B2733" s="201"/>
    </row>
    <row r="2734" spans="1:2" x14ac:dyDescent="0.25">
      <c r="A2734" s="201"/>
      <c r="B2734" s="201"/>
    </row>
    <row r="2735" spans="1:2" x14ac:dyDescent="0.25">
      <c r="A2735" s="201"/>
      <c r="B2735" s="201"/>
    </row>
    <row r="2736" spans="1:2" x14ac:dyDescent="0.25">
      <c r="A2736" s="201"/>
      <c r="B2736" s="201"/>
    </row>
    <row r="2737" spans="1:2" x14ac:dyDescent="0.25">
      <c r="A2737" s="201"/>
      <c r="B2737" s="201"/>
    </row>
    <row r="2738" spans="1:2" x14ac:dyDescent="0.25">
      <c r="A2738" s="201"/>
      <c r="B2738" s="201"/>
    </row>
    <row r="2739" spans="1:2" x14ac:dyDescent="0.25">
      <c r="A2739" s="201"/>
      <c r="B2739" s="201"/>
    </row>
    <row r="2740" spans="1:2" x14ac:dyDescent="0.25">
      <c r="A2740" s="201"/>
      <c r="B2740" s="201"/>
    </row>
    <row r="2741" spans="1:2" x14ac:dyDescent="0.25">
      <c r="A2741" s="201"/>
      <c r="B2741" s="201"/>
    </row>
    <row r="2742" spans="1:2" x14ac:dyDescent="0.25">
      <c r="A2742" s="201"/>
      <c r="B2742" s="201"/>
    </row>
    <row r="2743" spans="1:2" x14ac:dyDescent="0.25">
      <c r="A2743" s="201"/>
      <c r="B2743" s="201"/>
    </row>
    <row r="2744" spans="1:2" x14ac:dyDescent="0.25">
      <c r="A2744" s="201"/>
      <c r="B2744" s="201"/>
    </row>
    <row r="2745" spans="1:2" x14ac:dyDescent="0.25">
      <c r="A2745" s="201"/>
      <c r="B2745" s="201"/>
    </row>
    <row r="2746" spans="1:2" x14ac:dyDescent="0.25">
      <c r="A2746" s="201"/>
      <c r="B2746" s="201"/>
    </row>
    <row r="2747" spans="1:2" x14ac:dyDescent="0.25">
      <c r="A2747" s="201"/>
      <c r="B2747" s="201"/>
    </row>
    <row r="2748" spans="1:2" x14ac:dyDescent="0.25">
      <c r="A2748" s="201"/>
      <c r="B2748" s="201"/>
    </row>
    <row r="2749" spans="1:2" x14ac:dyDescent="0.25">
      <c r="A2749" s="201"/>
      <c r="B2749" s="201"/>
    </row>
    <row r="2750" spans="1:2" x14ac:dyDescent="0.25">
      <c r="A2750" s="201"/>
      <c r="B2750" s="201"/>
    </row>
    <row r="2751" spans="1:2" x14ac:dyDescent="0.25">
      <c r="A2751" s="201"/>
      <c r="B2751" s="201"/>
    </row>
    <row r="2752" spans="1:2" x14ac:dyDescent="0.25">
      <c r="A2752" s="201"/>
      <c r="B2752" s="201"/>
    </row>
    <row r="2753" spans="1:2" x14ac:dyDescent="0.25">
      <c r="A2753" s="201"/>
      <c r="B2753" s="201"/>
    </row>
    <row r="2754" spans="1:2" x14ac:dyDescent="0.25">
      <c r="A2754" s="201"/>
      <c r="B2754" s="201"/>
    </row>
    <row r="2755" spans="1:2" x14ac:dyDescent="0.25">
      <c r="A2755" s="201"/>
      <c r="B2755" s="201"/>
    </row>
    <row r="2756" spans="1:2" x14ac:dyDescent="0.25">
      <c r="A2756" s="201"/>
      <c r="B2756" s="201"/>
    </row>
    <row r="2757" spans="1:2" x14ac:dyDescent="0.25">
      <c r="A2757" s="201"/>
      <c r="B2757" s="201"/>
    </row>
    <row r="2758" spans="1:2" x14ac:dyDescent="0.25">
      <c r="A2758" s="201"/>
      <c r="B2758" s="201"/>
    </row>
    <row r="2759" spans="1:2" x14ac:dyDescent="0.25">
      <c r="A2759" s="201"/>
      <c r="B2759" s="201"/>
    </row>
    <row r="2760" spans="1:2" x14ac:dyDescent="0.25">
      <c r="A2760" s="201"/>
      <c r="B2760" s="201"/>
    </row>
    <row r="2761" spans="1:2" x14ac:dyDescent="0.25">
      <c r="A2761" s="201"/>
      <c r="B2761" s="201"/>
    </row>
    <row r="2762" spans="1:2" x14ac:dyDescent="0.25">
      <c r="A2762" s="201"/>
      <c r="B2762" s="201"/>
    </row>
    <row r="2763" spans="1:2" x14ac:dyDescent="0.25">
      <c r="A2763" s="201"/>
      <c r="B2763" s="201"/>
    </row>
    <row r="2764" spans="1:2" x14ac:dyDescent="0.25">
      <c r="A2764" s="201"/>
      <c r="B2764" s="201"/>
    </row>
    <row r="2765" spans="1:2" x14ac:dyDescent="0.25">
      <c r="A2765" s="201"/>
      <c r="B2765" s="201"/>
    </row>
    <row r="2766" spans="1:2" x14ac:dyDescent="0.25">
      <c r="A2766" s="201"/>
      <c r="B2766" s="201"/>
    </row>
    <row r="2767" spans="1:2" x14ac:dyDescent="0.25">
      <c r="A2767" s="201"/>
      <c r="B2767" s="201"/>
    </row>
    <row r="2768" spans="1:2" x14ac:dyDescent="0.25">
      <c r="A2768" s="201"/>
      <c r="B2768" s="201"/>
    </row>
    <row r="2769" spans="1:2" x14ac:dyDescent="0.25">
      <c r="A2769" s="201"/>
      <c r="B2769" s="201"/>
    </row>
    <row r="2770" spans="1:2" x14ac:dyDescent="0.25">
      <c r="A2770" s="201"/>
      <c r="B2770" s="201"/>
    </row>
    <row r="2771" spans="1:2" x14ac:dyDescent="0.25">
      <c r="A2771" s="201"/>
      <c r="B2771" s="201"/>
    </row>
    <row r="2772" spans="1:2" x14ac:dyDescent="0.25">
      <c r="A2772" s="201"/>
      <c r="B2772" s="201"/>
    </row>
    <row r="2773" spans="1:2" x14ac:dyDescent="0.25">
      <c r="A2773" s="201"/>
      <c r="B2773" s="201"/>
    </row>
    <row r="2774" spans="1:2" x14ac:dyDescent="0.25">
      <c r="A2774" s="201"/>
      <c r="B2774" s="201"/>
    </row>
    <row r="2775" spans="1:2" x14ac:dyDescent="0.25">
      <c r="A2775" s="201"/>
      <c r="B2775" s="201"/>
    </row>
    <row r="2776" spans="1:2" x14ac:dyDescent="0.25">
      <c r="A2776" s="201"/>
      <c r="B2776" s="201"/>
    </row>
    <row r="2777" spans="1:2" x14ac:dyDescent="0.25">
      <c r="A2777" s="201"/>
      <c r="B2777" s="201"/>
    </row>
    <row r="2778" spans="1:2" x14ac:dyDescent="0.25">
      <c r="A2778" s="201"/>
      <c r="B2778" s="201"/>
    </row>
    <row r="2779" spans="1:2" x14ac:dyDescent="0.25">
      <c r="A2779" s="201"/>
      <c r="B2779" s="201"/>
    </row>
    <row r="2780" spans="1:2" x14ac:dyDescent="0.25">
      <c r="A2780" s="201"/>
      <c r="B2780" s="201"/>
    </row>
    <row r="2781" spans="1:2" x14ac:dyDescent="0.25">
      <c r="A2781" s="201"/>
      <c r="B2781" s="201"/>
    </row>
    <row r="2782" spans="1:2" x14ac:dyDescent="0.25">
      <c r="A2782" s="201"/>
      <c r="B2782" s="201"/>
    </row>
    <row r="2783" spans="1:2" x14ac:dyDescent="0.25">
      <c r="A2783" s="201"/>
      <c r="B2783" s="201"/>
    </row>
    <row r="2784" spans="1:2" x14ac:dyDescent="0.25">
      <c r="A2784" s="201"/>
      <c r="B2784" s="201"/>
    </row>
    <row r="2785" spans="1:2" x14ac:dyDescent="0.25">
      <c r="A2785" s="201"/>
      <c r="B2785" s="201"/>
    </row>
    <row r="2786" spans="1:2" x14ac:dyDescent="0.25">
      <c r="A2786" s="201"/>
      <c r="B2786" s="201"/>
    </row>
    <row r="2787" spans="1:2" x14ac:dyDescent="0.25">
      <c r="A2787" s="201"/>
      <c r="B2787" s="201"/>
    </row>
    <row r="2788" spans="1:2" x14ac:dyDescent="0.25">
      <c r="A2788" s="201"/>
      <c r="B2788" s="201"/>
    </row>
    <row r="2789" spans="1:2" x14ac:dyDescent="0.25">
      <c r="A2789" s="201"/>
      <c r="B2789" s="201"/>
    </row>
    <row r="2790" spans="1:2" x14ac:dyDescent="0.25">
      <c r="A2790" s="201"/>
      <c r="B2790" s="201"/>
    </row>
    <row r="2791" spans="1:2" x14ac:dyDescent="0.25">
      <c r="A2791" s="201"/>
      <c r="B2791" s="201"/>
    </row>
    <row r="2792" spans="1:2" x14ac:dyDescent="0.25">
      <c r="A2792" s="201"/>
      <c r="B2792" s="201"/>
    </row>
    <row r="2793" spans="1:2" x14ac:dyDescent="0.25">
      <c r="A2793" s="201"/>
      <c r="B2793" s="201"/>
    </row>
    <row r="2794" spans="1:2" x14ac:dyDescent="0.25">
      <c r="A2794" s="201"/>
      <c r="B2794" s="201"/>
    </row>
    <row r="2795" spans="1:2" x14ac:dyDescent="0.25">
      <c r="A2795" s="201"/>
      <c r="B2795" s="201"/>
    </row>
    <row r="2796" spans="1:2" x14ac:dyDescent="0.25">
      <c r="A2796" s="201"/>
      <c r="B2796" s="201"/>
    </row>
    <row r="2797" spans="1:2" x14ac:dyDescent="0.25">
      <c r="A2797" s="201"/>
      <c r="B2797" s="201"/>
    </row>
    <row r="2798" spans="1:2" x14ac:dyDescent="0.25">
      <c r="A2798" s="201"/>
      <c r="B2798" s="201"/>
    </row>
    <row r="2799" spans="1:2" x14ac:dyDescent="0.25">
      <c r="A2799" s="201"/>
      <c r="B2799" s="201"/>
    </row>
    <row r="2800" spans="1:2" x14ac:dyDescent="0.25">
      <c r="A2800" s="201"/>
      <c r="B2800" s="201"/>
    </row>
    <row r="2801" spans="1:2" x14ac:dyDescent="0.25">
      <c r="A2801" s="201"/>
      <c r="B2801" s="201"/>
    </row>
    <row r="2802" spans="1:2" x14ac:dyDescent="0.25">
      <c r="A2802" s="201"/>
      <c r="B2802" s="201"/>
    </row>
    <row r="2803" spans="1:2" x14ac:dyDescent="0.25">
      <c r="A2803" s="201"/>
      <c r="B2803" s="201"/>
    </row>
    <row r="2804" spans="1:2" x14ac:dyDescent="0.25">
      <c r="A2804" s="201"/>
      <c r="B2804" s="201"/>
    </row>
    <row r="2805" spans="1:2" x14ac:dyDescent="0.25">
      <c r="A2805" s="201"/>
      <c r="B2805" s="201"/>
    </row>
    <row r="2806" spans="1:2" x14ac:dyDescent="0.25">
      <c r="A2806" s="201"/>
      <c r="B2806" s="201"/>
    </row>
    <row r="2807" spans="1:2" x14ac:dyDescent="0.25">
      <c r="A2807" s="201"/>
      <c r="B2807" s="201"/>
    </row>
    <row r="2808" spans="1:2" x14ac:dyDescent="0.25">
      <c r="A2808" s="201"/>
      <c r="B2808" s="201"/>
    </row>
    <row r="2809" spans="1:2" x14ac:dyDescent="0.25">
      <c r="A2809" s="201"/>
      <c r="B2809" s="201"/>
    </row>
    <row r="2810" spans="1:2" x14ac:dyDescent="0.25">
      <c r="A2810" s="201"/>
      <c r="B2810" s="201"/>
    </row>
    <row r="2811" spans="1:2" x14ac:dyDescent="0.25">
      <c r="A2811" s="201"/>
      <c r="B2811" s="201"/>
    </row>
    <row r="2812" spans="1:2" x14ac:dyDescent="0.25">
      <c r="A2812" s="201"/>
      <c r="B2812" s="201"/>
    </row>
    <row r="2813" spans="1:2" x14ac:dyDescent="0.25">
      <c r="A2813" s="201"/>
      <c r="B2813" s="201"/>
    </row>
    <row r="2814" spans="1:2" x14ac:dyDescent="0.25">
      <c r="A2814" s="201"/>
      <c r="B2814" s="201"/>
    </row>
    <row r="2815" spans="1:2" x14ac:dyDescent="0.25">
      <c r="A2815" s="201"/>
      <c r="B2815" s="201"/>
    </row>
    <row r="2816" spans="1:2" x14ac:dyDescent="0.25">
      <c r="A2816" s="201"/>
      <c r="B2816" s="201"/>
    </row>
    <row r="2817" spans="1:2" x14ac:dyDescent="0.25">
      <c r="A2817" s="201"/>
      <c r="B2817" s="201"/>
    </row>
    <row r="2818" spans="1:2" x14ac:dyDescent="0.25">
      <c r="A2818" s="201"/>
      <c r="B2818" s="201"/>
    </row>
    <row r="2819" spans="1:2" x14ac:dyDescent="0.25">
      <c r="A2819" s="201"/>
      <c r="B2819" s="201"/>
    </row>
    <row r="2820" spans="1:2" x14ac:dyDescent="0.25">
      <c r="A2820" s="201"/>
      <c r="B2820" s="201"/>
    </row>
    <row r="2821" spans="1:2" x14ac:dyDescent="0.25">
      <c r="A2821" s="201"/>
      <c r="B2821" s="201"/>
    </row>
    <row r="2822" spans="1:2" x14ac:dyDescent="0.25">
      <c r="A2822" s="201"/>
      <c r="B2822" s="201"/>
    </row>
    <row r="2823" spans="1:2" x14ac:dyDescent="0.25">
      <c r="A2823" s="201"/>
      <c r="B2823" s="201"/>
    </row>
    <row r="2824" spans="1:2" x14ac:dyDescent="0.25">
      <c r="A2824" s="201"/>
      <c r="B2824" s="201"/>
    </row>
    <row r="2825" spans="1:2" x14ac:dyDescent="0.25">
      <c r="A2825" s="201"/>
      <c r="B2825" s="201"/>
    </row>
    <row r="2826" spans="1:2" x14ac:dyDescent="0.25">
      <c r="A2826" s="201"/>
      <c r="B2826" s="201"/>
    </row>
    <row r="2827" spans="1:2" x14ac:dyDescent="0.25">
      <c r="A2827" s="201"/>
      <c r="B2827" s="201"/>
    </row>
    <row r="2828" spans="1:2" x14ac:dyDescent="0.25">
      <c r="A2828" s="201"/>
      <c r="B2828" s="201"/>
    </row>
    <row r="2829" spans="1:2" x14ac:dyDescent="0.25">
      <c r="A2829" s="201"/>
      <c r="B2829" s="201"/>
    </row>
    <row r="2830" spans="1:2" x14ac:dyDescent="0.25">
      <c r="A2830" s="201"/>
      <c r="B2830" s="201"/>
    </row>
    <row r="2831" spans="1:2" x14ac:dyDescent="0.25">
      <c r="A2831" s="201"/>
      <c r="B2831" s="201"/>
    </row>
    <row r="2832" spans="1:2" x14ac:dyDescent="0.25">
      <c r="A2832" s="201"/>
      <c r="B2832" s="201"/>
    </row>
    <row r="2833" spans="1:2" x14ac:dyDescent="0.25">
      <c r="A2833" s="201"/>
      <c r="B2833" s="201"/>
    </row>
    <row r="2834" spans="1:2" x14ac:dyDescent="0.25">
      <c r="A2834" s="201"/>
      <c r="B2834" s="201"/>
    </row>
    <row r="2835" spans="1:2" x14ac:dyDescent="0.25">
      <c r="A2835" s="201"/>
      <c r="B2835" s="201"/>
    </row>
    <row r="2836" spans="1:2" x14ac:dyDescent="0.25">
      <c r="A2836" s="201"/>
      <c r="B2836" s="201"/>
    </row>
    <row r="2837" spans="1:2" x14ac:dyDescent="0.25">
      <c r="A2837" s="201"/>
      <c r="B2837" s="201"/>
    </row>
    <row r="2838" spans="1:2" x14ac:dyDescent="0.25">
      <c r="A2838" s="201"/>
      <c r="B2838" s="201"/>
    </row>
    <row r="2839" spans="1:2" x14ac:dyDescent="0.25">
      <c r="A2839" s="201"/>
      <c r="B2839" s="201"/>
    </row>
    <row r="2840" spans="1:2" x14ac:dyDescent="0.25">
      <c r="A2840" s="201"/>
      <c r="B2840" s="201"/>
    </row>
    <row r="2841" spans="1:2" x14ac:dyDescent="0.25">
      <c r="A2841" s="201"/>
      <c r="B2841" s="201"/>
    </row>
    <row r="2842" spans="1:2" x14ac:dyDescent="0.25">
      <c r="A2842" s="201"/>
      <c r="B2842" s="201"/>
    </row>
    <row r="2843" spans="1:2" x14ac:dyDescent="0.25">
      <c r="A2843" s="201"/>
      <c r="B2843" s="201"/>
    </row>
    <row r="2844" spans="1:2" x14ac:dyDescent="0.25">
      <c r="A2844" s="201"/>
      <c r="B2844" s="201"/>
    </row>
    <row r="2845" spans="1:2" x14ac:dyDescent="0.25">
      <c r="A2845" s="201"/>
      <c r="B2845" s="201"/>
    </row>
    <row r="2846" spans="1:2" x14ac:dyDescent="0.25">
      <c r="A2846" s="201"/>
      <c r="B2846" s="201"/>
    </row>
    <row r="2847" spans="1:2" x14ac:dyDescent="0.25">
      <c r="A2847" s="201"/>
      <c r="B2847" s="201"/>
    </row>
    <row r="2848" spans="1:2" x14ac:dyDescent="0.25">
      <c r="A2848" s="201"/>
      <c r="B2848" s="201"/>
    </row>
    <row r="2849" spans="1:2" x14ac:dyDescent="0.25">
      <c r="A2849" s="201"/>
      <c r="B2849" s="201"/>
    </row>
    <row r="2850" spans="1:2" x14ac:dyDescent="0.25">
      <c r="A2850" s="201"/>
      <c r="B2850" s="201"/>
    </row>
    <row r="2851" spans="1:2" x14ac:dyDescent="0.25">
      <c r="A2851" s="201"/>
      <c r="B2851" s="201"/>
    </row>
    <row r="2852" spans="1:2" x14ac:dyDescent="0.25">
      <c r="A2852" s="201"/>
      <c r="B2852" s="201"/>
    </row>
    <row r="2853" spans="1:2" x14ac:dyDescent="0.25">
      <c r="A2853" s="201"/>
      <c r="B2853" s="201"/>
    </row>
    <row r="2854" spans="1:2" x14ac:dyDescent="0.25">
      <c r="A2854" s="201"/>
      <c r="B2854" s="201"/>
    </row>
    <row r="2855" spans="1:2" x14ac:dyDescent="0.25">
      <c r="A2855" s="201"/>
      <c r="B2855" s="201"/>
    </row>
    <row r="2856" spans="1:2" x14ac:dyDescent="0.25">
      <c r="A2856" s="201"/>
      <c r="B2856" s="201"/>
    </row>
    <row r="2857" spans="1:2" x14ac:dyDescent="0.25">
      <c r="A2857" s="201"/>
      <c r="B2857" s="201"/>
    </row>
    <row r="2858" spans="1:2" x14ac:dyDescent="0.25">
      <c r="A2858" s="201"/>
      <c r="B2858" s="201"/>
    </row>
    <row r="2859" spans="1:2" x14ac:dyDescent="0.25">
      <c r="A2859" s="201"/>
      <c r="B2859" s="201"/>
    </row>
    <row r="2860" spans="1:2" x14ac:dyDescent="0.25">
      <c r="A2860" s="201"/>
      <c r="B2860" s="201"/>
    </row>
    <row r="2861" spans="1:2" x14ac:dyDescent="0.25">
      <c r="A2861" s="201"/>
      <c r="B2861" s="201"/>
    </row>
    <row r="2862" spans="1:2" x14ac:dyDescent="0.25">
      <c r="A2862" s="201"/>
      <c r="B2862" s="201"/>
    </row>
    <row r="2863" spans="1:2" x14ac:dyDescent="0.25">
      <c r="A2863" s="201"/>
      <c r="B2863" s="201"/>
    </row>
    <row r="2864" spans="1:2" x14ac:dyDescent="0.25">
      <c r="A2864" s="201"/>
      <c r="B2864" s="201"/>
    </row>
    <row r="2865" spans="1:2" x14ac:dyDescent="0.25">
      <c r="A2865" s="201"/>
      <c r="B2865" s="201"/>
    </row>
    <row r="2866" spans="1:2" x14ac:dyDescent="0.25">
      <c r="A2866" s="201"/>
      <c r="B2866" s="201"/>
    </row>
    <row r="2867" spans="1:2" x14ac:dyDescent="0.25">
      <c r="A2867" s="201"/>
      <c r="B2867" s="201"/>
    </row>
    <row r="2868" spans="1:2" x14ac:dyDescent="0.25">
      <c r="A2868" s="201"/>
      <c r="B2868" s="201"/>
    </row>
    <row r="2869" spans="1:2" x14ac:dyDescent="0.25">
      <c r="A2869" s="201"/>
      <c r="B2869" s="201"/>
    </row>
    <row r="2870" spans="1:2" x14ac:dyDescent="0.25">
      <c r="A2870" s="201"/>
      <c r="B2870" s="201"/>
    </row>
    <row r="2871" spans="1:2" x14ac:dyDescent="0.25">
      <c r="A2871" s="201"/>
      <c r="B2871" s="201"/>
    </row>
    <row r="2872" spans="1:2" x14ac:dyDescent="0.25">
      <c r="A2872" s="201"/>
      <c r="B2872" s="201"/>
    </row>
    <row r="2873" spans="1:2" x14ac:dyDescent="0.25">
      <c r="A2873" s="201"/>
      <c r="B2873" s="201"/>
    </row>
    <row r="2874" spans="1:2" x14ac:dyDescent="0.25">
      <c r="A2874" s="201"/>
      <c r="B2874" s="201"/>
    </row>
    <row r="2875" spans="1:2" x14ac:dyDescent="0.25">
      <c r="A2875" s="201"/>
      <c r="B2875" s="201"/>
    </row>
    <row r="2876" spans="1:2" x14ac:dyDescent="0.25">
      <c r="A2876" s="201"/>
      <c r="B2876" s="201"/>
    </row>
    <row r="2877" spans="1:2" x14ac:dyDescent="0.25">
      <c r="A2877" s="201"/>
      <c r="B2877" s="201"/>
    </row>
    <row r="2878" spans="1:2" x14ac:dyDescent="0.25">
      <c r="A2878" s="201"/>
      <c r="B2878" s="201"/>
    </row>
    <row r="2879" spans="1:2" x14ac:dyDescent="0.25">
      <c r="A2879" s="201"/>
      <c r="B2879" s="201"/>
    </row>
    <row r="2880" spans="1:2" x14ac:dyDescent="0.25">
      <c r="A2880" s="201"/>
      <c r="B2880" s="201"/>
    </row>
    <row r="2881" spans="1:2" x14ac:dyDescent="0.25">
      <c r="A2881" s="201"/>
      <c r="B2881" s="201"/>
    </row>
    <row r="2882" spans="1:2" x14ac:dyDescent="0.25">
      <c r="A2882" s="201"/>
      <c r="B2882" s="201"/>
    </row>
    <row r="2883" spans="1:2" x14ac:dyDescent="0.25">
      <c r="A2883" s="201"/>
      <c r="B2883" s="201"/>
    </row>
    <row r="2884" spans="1:2" x14ac:dyDescent="0.25">
      <c r="A2884" s="201"/>
      <c r="B2884" s="201"/>
    </row>
    <row r="2885" spans="1:2" x14ac:dyDescent="0.25">
      <c r="A2885" s="201"/>
      <c r="B2885" s="201"/>
    </row>
    <row r="2886" spans="1:2" x14ac:dyDescent="0.25">
      <c r="A2886" s="201"/>
      <c r="B2886" s="201"/>
    </row>
    <row r="2887" spans="1:2" x14ac:dyDescent="0.25">
      <c r="A2887" s="201"/>
      <c r="B2887" s="201"/>
    </row>
    <row r="2888" spans="1:2" x14ac:dyDescent="0.25">
      <c r="A2888" s="201"/>
      <c r="B2888" s="201"/>
    </row>
    <row r="2889" spans="1:2" x14ac:dyDescent="0.25">
      <c r="A2889" s="201"/>
      <c r="B2889" s="201"/>
    </row>
    <row r="2890" spans="1:2" x14ac:dyDescent="0.25">
      <c r="A2890" s="201"/>
      <c r="B2890" s="201"/>
    </row>
    <row r="2891" spans="1:2" x14ac:dyDescent="0.25">
      <c r="A2891" s="201"/>
      <c r="B2891" s="201"/>
    </row>
    <row r="2892" spans="1:2" x14ac:dyDescent="0.25">
      <c r="A2892" s="201"/>
      <c r="B2892" s="201"/>
    </row>
    <row r="2893" spans="1:2" x14ac:dyDescent="0.25">
      <c r="A2893" s="201"/>
      <c r="B2893" s="201"/>
    </row>
    <row r="2894" spans="1:2" x14ac:dyDescent="0.25">
      <c r="A2894" s="201"/>
      <c r="B2894" s="201"/>
    </row>
    <row r="2895" spans="1:2" x14ac:dyDescent="0.25">
      <c r="A2895" s="201"/>
      <c r="B2895" s="201"/>
    </row>
    <row r="2896" spans="1:2" x14ac:dyDescent="0.25">
      <c r="A2896" s="201"/>
      <c r="B2896" s="201"/>
    </row>
    <row r="2897" spans="1:2" x14ac:dyDescent="0.25">
      <c r="A2897" s="201"/>
      <c r="B2897" s="201"/>
    </row>
    <row r="2898" spans="1:2" x14ac:dyDescent="0.25">
      <c r="A2898" s="201"/>
      <c r="B2898" s="201"/>
    </row>
    <row r="2899" spans="1:2" x14ac:dyDescent="0.25">
      <c r="A2899" s="201"/>
      <c r="B2899" s="201"/>
    </row>
    <row r="2900" spans="1:2" x14ac:dyDescent="0.25">
      <c r="A2900" s="201"/>
      <c r="B2900" s="201"/>
    </row>
    <row r="2901" spans="1:2" x14ac:dyDescent="0.25">
      <c r="A2901" s="201"/>
      <c r="B2901" s="201"/>
    </row>
    <row r="2902" spans="1:2" x14ac:dyDescent="0.25">
      <c r="A2902" s="201"/>
      <c r="B2902" s="201"/>
    </row>
    <row r="2903" spans="1:2" x14ac:dyDescent="0.25">
      <c r="A2903" s="201"/>
      <c r="B2903" s="201"/>
    </row>
    <row r="2904" spans="1:2" x14ac:dyDescent="0.25">
      <c r="A2904" s="201"/>
      <c r="B2904" s="201"/>
    </row>
    <row r="2905" spans="1:2" x14ac:dyDescent="0.25">
      <c r="A2905" s="201"/>
      <c r="B2905" s="201"/>
    </row>
    <row r="2906" spans="1:2" x14ac:dyDescent="0.25">
      <c r="A2906" s="201"/>
      <c r="B2906" s="201"/>
    </row>
    <row r="2907" spans="1:2" x14ac:dyDescent="0.25">
      <c r="A2907" s="201"/>
      <c r="B2907" s="201"/>
    </row>
    <row r="2908" spans="1:2" x14ac:dyDescent="0.25">
      <c r="A2908" s="201"/>
      <c r="B2908" s="201"/>
    </row>
    <row r="2909" spans="1:2" x14ac:dyDescent="0.25">
      <c r="A2909" s="201"/>
      <c r="B2909" s="201"/>
    </row>
    <row r="2910" spans="1:2" x14ac:dyDescent="0.25">
      <c r="A2910" s="201"/>
      <c r="B2910" s="201"/>
    </row>
    <row r="2911" spans="1:2" x14ac:dyDescent="0.25">
      <c r="A2911" s="201"/>
      <c r="B2911" s="201"/>
    </row>
    <row r="2912" spans="1:2" x14ac:dyDescent="0.25">
      <c r="A2912" s="201"/>
      <c r="B2912" s="201"/>
    </row>
    <row r="2913" spans="1:2" x14ac:dyDescent="0.25">
      <c r="A2913" s="201"/>
      <c r="B2913" s="201"/>
    </row>
    <row r="2914" spans="1:2" x14ac:dyDescent="0.25">
      <c r="A2914" s="201"/>
      <c r="B2914" s="201"/>
    </row>
    <row r="2915" spans="1:2" x14ac:dyDescent="0.25">
      <c r="A2915" s="201"/>
      <c r="B2915" s="201"/>
    </row>
    <row r="2916" spans="1:2" x14ac:dyDescent="0.25">
      <c r="A2916" s="201"/>
      <c r="B2916" s="201"/>
    </row>
    <row r="2917" spans="1:2" x14ac:dyDescent="0.25">
      <c r="A2917" s="201"/>
      <c r="B2917" s="201"/>
    </row>
    <row r="2918" spans="1:2" x14ac:dyDescent="0.25">
      <c r="A2918" s="201"/>
      <c r="B2918" s="201"/>
    </row>
    <row r="2919" spans="1:2" x14ac:dyDescent="0.25">
      <c r="A2919" s="201"/>
      <c r="B2919" s="201"/>
    </row>
    <row r="2920" spans="1:2" x14ac:dyDescent="0.25">
      <c r="A2920" s="201"/>
      <c r="B2920" s="201"/>
    </row>
    <row r="2921" spans="1:2" x14ac:dyDescent="0.25">
      <c r="A2921" s="201"/>
      <c r="B2921" s="201"/>
    </row>
    <row r="2922" spans="1:2" x14ac:dyDescent="0.25">
      <c r="A2922" s="201"/>
      <c r="B2922" s="201"/>
    </row>
    <row r="2923" spans="1:2" x14ac:dyDescent="0.25">
      <c r="A2923" s="201"/>
      <c r="B2923" s="201"/>
    </row>
    <row r="2924" spans="1:2" x14ac:dyDescent="0.25">
      <c r="A2924" s="201"/>
      <c r="B2924" s="201"/>
    </row>
    <row r="2925" spans="1:2" x14ac:dyDescent="0.25">
      <c r="A2925" s="201"/>
      <c r="B2925" s="201"/>
    </row>
    <row r="2926" spans="1:2" x14ac:dyDescent="0.25">
      <c r="A2926" s="201"/>
      <c r="B2926" s="201"/>
    </row>
    <row r="2927" spans="1:2" x14ac:dyDescent="0.25">
      <c r="A2927" s="201"/>
      <c r="B2927" s="201"/>
    </row>
    <row r="2928" spans="1:2" x14ac:dyDescent="0.25">
      <c r="A2928" s="201"/>
      <c r="B2928" s="201"/>
    </row>
    <row r="2929" spans="1:2" x14ac:dyDescent="0.25">
      <c r="A2929" s="201"/>
      <c r="B2929" s="201"/>
    </row>
    <row r="2930" spans="1:2" x14ac:dyDescent="0.25">
      <c r="A2930" s="201"/>
      <c r="B2930" s="201"/>
    </row>
    <row r="2931" spans="1:2" x14ac:dyDescent="0.25">
      <c r="A2931" s="201"/>
      <c r="B2931" s="201"/>
    </row>
    <row r="2932" spans="1:2" x14ac:dyDescent="0.25">
      <c r="A2932" s="201"/>
      <c r="B2932" s="201"/>
    </row>
    <row r="2933" spans="1:2" x14ac:dyDescent="0.25">
      <c r="A2933" s="201"/>
      <c r="B2933" s="201"/>
    </row>
    <row r="2934" spans="1:2" x14ac:dyDescent="0.25">
      <c r="A2934" s="201"/>
      <c r="B2934" s="201"/>
    </row>
    <row r="2935" spans="1:2" x14ac:dyDescent="0.25">
      <c r="A2935" s="201"/>
      <c r="B2935" s="201"/>
    </row>
    <row r="2936" spans="1:2" x14ac:dyDescent="0.25">
      <c r="A2936" s="201"/>
      <c r="B2936" s="201"/>
    </row>
    <row r="2937" spans="1:2" x14ac:dyDescent="0.25">
      <c r="A2937" s="201"/>
      <c r="B2937" s="201"/>
    </row>
    <row r="2938" spans="1:2" x14ac:dyDescent="0.25">
      <c r="A2938" s="201"/>
      <c r="B2938" s="201"/>
    </row>
    <row r="2939" spans="1:2" x14ac:dyDescent="0.25">
      <c r="A2939" s="201"/>
      <c r="B2939" s="201"/>
    </row>
    <row r="2940" spans="1:2" x14ac:dyDescent="0.25">
      <c r="A2940" s="201"/>
      <c r="B2940" s="201"/>
    </row>
    <row r="2941" spans="1:2" x14ac:dyDescent="0.25">
      <c r="A2941" s="201"/>
      <c r="B2941" s="201"/>
    </row>
    <row r="2942" spans="1:2" x14ac:dyDescent="0.25">
      <c r="A2942" s="201"/>
      <c r="B2942" s="201"/>
    </row>
    <row r="2943" spans="1:2" x14ac:dyDescent="0.25">
      <c r="A2943" s="201"/>
      <c r="B2943" s="201"/>
    </row>
    <row r="2944" spans="1:2" x14ac:dyDescent="0.25">
      <c r="A2944" s="201"/>
      <c r="B2944" s="201"/>
    </row>
    <row r="2945" spans="1:2" x14ac:dyDescent="0.25">
      <c r="A2945" s="201"/>
      <c r="B2945" s="201"/>
    </row>
    <row r="2946" spans="1:2" x14ac:dyDescent="0.25">
      <c r="A2946" s="201"/>
      <c r="B2946" s="201"/>
    </row>
    <row r="2947" spans="1:2" x14ac:dyDescent="0.25">
      <c r="A2947" s="201"/>
      <c r="B2947" s="201"/>
    </row>
    <row r="2948" spans="1:2" x14ac:dyDescent="0.25">
      <c r="A2948" s="201"/>
      <c r="B2948" s="201"/>
    </row>
    <row r="2949" spans="1:2" x14ac:dyDescent="0.25">
      <c r="A2949" s="201"/>
      <c r="B2949" s="201"/>
    </row>
    <row r="2950" spans="1:2" x14ac:dyDescent="0.25">
      <c r="A2950" s="201"/>
      <c r="B2950" s="201"/>
    </row>
    <row r="2951" spans="1:2" x14ac:dyDescent="0.25">
      <c r="A2951" s="201"/>
      <c r="B2951" s="201"/>
    </row>
    <row r="2952" spans="1:2" x14ac:dyDescent="0.25">
      <c r="A2952" s="201"/>
      <c r="B2952" s="201"/>
    </row>
    <row r="2953" spans="1:2" x14ac:dyDescent="0.25">
      <c r="A2953" s="201"/>
      <c r="B2953" s="201"/>
    </row>
    <row r="2954" spans="1:2" x14ac:dyDescent="0.25">
      <c r="A2954" s="201"/>
      <c r="B2954" s="201"/>
    </row>
    <row r="2955" spans="1:2" x14ac:dyDescent="0.25">
      <c r="A2955" s="201"/>
      <c r="B2955" s="201"/>
    </row>
    <row r="2956" spans="1:2" x14ac:dyDescent="0.25">
      <c r="A2956" s="201"/>
      <c r="B2956" s="201"/>
    </row>
    <row r="2957" spans="1:2" x14ac:dyDescent="0.25">
      <c r="A2957" s="201"/>
      <c r="B2957" s="201"/>
    </row>
    <row r="2958" spans="1:2" x14ac:dyDescent="0.25">
      <c r="A2958" s="201"/>
      <c r="B2958" s="201"/>
    </row>
    <row r="2959" spans="1:2" x14ac:dyDescent="0.25">
      <c r="A2959" s="201"/>
      <c r="B2959" s="201"/>
    </row>
    <row r="2960" spans="1:2" x14ac:dyDescent="0.25">
      <c r="A2960" s="201"/>
      <c r="B2960" s="201"/>
    </row>
    <row r="2961" spans="1:2" x14ac:dyDescent="0.25">
      <c r="A2961" s="201"/>
      <c r="B2961" s="201"/>
    </row>
    <row r="2962" spans="1:2" x14ac:dyDescent="0.25">
      <c r="A2962" s="201"/>
      <c r="B2962" s="201"/>
    </row>
    <row r="2963" spans="1:2" x14ac:dyDescent="0.25">
      <c r="A2963" s="201"/>
      <c r="B2963" s="201"/>
    </row>
    <row r="2964" spans="1:2" x14ac:dyDescent="0.25">
      <c r="A2964" s="201"/>
      <c r="B2964" s="201"/>
    </row>
    <row r="2965" spans="1:2" x14ac:dyDescent="0.25">
      <c r="A2965" s="201"/>
      <c r="B2965" s="201"/>
    </row>
    <row r="2966" spans="1:2" x14ac:dyDescent="0.25">
      <c r="A2966" s="201"/>
      <c r="B2966" s="201"/>
    </row>
    <row r="2967" spans="1:2" x14ac:dyDescent="0.25">
      <c r="A2967" s="201"/>
      <c r="B2967" s="201"/>
    </row>
    <row r="2968" spans="1:2" x14ac:dyDescent="0.25">
      <c r="A2968" s="201"/>
      <c r="B2968" s="201"/>
    </row>
    <row r="2969" spans="1:2" x14ac:dyDescent="0.25">
      <c r="A2969" s="201"/>
      <c r="B2969" s="201"/>
    </row>
    <row r="2970" spans="1:2" x14ac:dyDescent="0.25">
      <c r="A2970" s="201"/>
      <c r="B2970" s="201"/>
    </row>
    <row r="2971" spans="1:2" x14ac:dyDescent="0.25">
      <c r="A2971" s="201"/>
      <c r="B2971" s="201"/>
    </row>
    <row r="2972" spans="1:2" x14ac:dyDescent="0.25">
      <c r="A2972" s="201"/>
      <c r="B2972" s="201"/>
    </row>
    <row r="2973" spans="1:2" x14ac:dyDescent="0.25">
      <c r="A2973" s="201"/>
      <c r="B2973" s="201"/>
    </row>
    <row r="2974" spans="1:2" x14ac:dyDescent="0.25">
      <c r="A2974" s="201"/>
      <c r="B2974" s="201"/>
    </row>
    <row r="2975" spans="1:2" x14ac:dyDescent="0.25">
      <c r="A2975" s="201"/>
      <c r="B2975" s="201"/>
    </row>
    <row r="2976" spans="1:2" x14ac:dyDescent="0.25">
      <c r="A2976" s="201"/>
      <c r="B2976" s="201"/>
    </row>
    <row r="2977" spans="1:2" x14ac:dyDescent="0.25">
      <c r="A2977" s="201"/>
      <c r="B2977" s="201"/>
    </row>
    <row r="2978" spans="1:2" x14ac:dyDescent="0.25">
      <c r="A2978" s="201"/>
      <c r="B2978" s="201"/>
    </row>
    <row r="2979" spans="1:2" x14ac:dyDescent="0.25">
      <c r="A2979" s="201"/>
      <c r="B2979" s="201"/>
    </row>
    <row r="2980" spans="1:2" x14ac:dyDescent="0.25">
      <c r="A2980" s="201"/>
      <c r="B2980" s="201"/>
    </row>
    <row r="2981" spans="1:2" x14ac:dyDescent="0.25">
      <c r="A2981" s="201"/>
      <c r="B2981" s="201"/>
    </row>
    <row r="2982" spans="1:2" x14ac:dyDescent="0.25">
      <c r="A2982" s="201"/>
      <c r="B2982" s="201"/>
    </row>
    <row r="2983" spans="1:2" x14ac:dyDescent="0.25">
      <c r="A2983" s="201"/>
      <c r="B2983" s="201"/>
    </row>
    <row r="2984" spans="1:2" x14ac:dyDescent="0.25">
      <c r="A2984" s="201"/>
      <c r="B2984" s="201"/>
    </row>
    <row r="2985" spans="1:2" x14ac:dyDescent="0.25">
      <c r="A2985" s="201"/>
      <c r="B2985" s="201"/>
    </row>
    <row r="2986" spans="1:2" x14ac:dyDescent="0.25">
      <c r="A2986" s="201"/>
      <c r="B2986" s="201"/>
    </row>
    <row r="2987" spans="1:2" x14ac:dyDescent="0.25">
      <c r="A2987" s="201"/>
      <c r="B2987" s="201"/>
    </row>
    <row r="2988" spans="1:2" x14ac:dyDescent="0.25">
      <c r="A2988" s="201"/>
      <c r="B2988" s="201"/>
    </row>
    <row r="2989" spans="1:2" x14ac:dyDescent="0.25">
      <c r="A2989" s="201"/>
      <c r="B2989" s="201"/>
    </row>
    <row r="2990" spans="1:2" x14ac:dyDescent="0.25">
      <c r="A2990" s="201"/>
      <c r="B2990" s="201"/>
    </row>
    <row r="2991" spans="1:2" x14ac:dyDescent="0.25">
      <c r="A2991" s="201"/>
      <c r="B2991" s="201"/>
    </row>
    <row r="2992" spans="1:2" x14ac:dyDescent="0.25">
      <c r="A2992" s="201"/>
      <c r="B2992" s="201"/>
    </row>
    <row r="2993" spans="1:2" x14ac:dyDescent="0.25">
      <c r="A2993" s="201"/>
      <c r="B2993" s="201"/>
    </row>
    <row r="2994" spans="1:2" x14ac:dyDescent="0.25">
      <c r="A2994" s="201"/>
      <c r="B2994" s="201"/>
    </row>
    <row r="2995" spans="1:2" x14ac:dyDescent="0.25">
      <c r="A2995" s="201"/>
      <c r="B2995" s="201"/>
    </row>
    <row r="2996" spans="1:2" x14ac:dyDescent="0.25">
      <c r="A2996" s="201"/>
      <c r="B2996" s="201"/>
    </row>
    <row r="2997" spans="1:2" x14ac:dyDescent="0.25">
      <c r="A2997" s="201"/>
      <c r="B2997" s="201"/>
    </row>
    <row r="2998" spans="1:2" x14ac:dyDescent="0.25">
      <c r="A2998" s="201"/>
      <c r="B2998" s="201"/>
    </row>
    <row r="2999" spans="1:2" x14ac:dyDescent="0.25">
      <c r="A2999" s="201"/>
      <c r="B2999" s="201"/>
    </row>
    <row r="3000" spans="1:2" x14ac:dyDescent="0.25">
      <c r="A3000" s="201"/>
      <c r="B3000" s="201"/>
    </row>
    <row r="3001" spans="1:2" x14ac:dyDescent="0.25">
      <c r="A3001" s="201"/>
      <c r="B3001" s="201"/>
    </row>
    <row r="3002" spans="1:2" x14ac:dyDescent="0.25">
      <c r="A3002" s="201"/>
      <c r="B3002" s="201"/>
    </row>
    <row r="3003" spans="1:2" x14ac:dyDescent="0.25">
      <c r="A3003" s="201"/>
      <c r="B3003" s="201"/>
    </row>
    <row r="3004" spans="1:2" x14ac:dyDescent="0.25">
      <c r="A3004" s="201"/>
      <c r="B3004" s="201"/>
    </row>
    <row r="3005" spans="1:2" x14ac:dyDescent="0.25">
      <c r="A3005" s="201"/>
      <c r="B3005" s="201"/>
    </row>
    <row r="3006" spans="1:2" x14ac:dyDescent="0.25">
      <c r="A3006" s="201"/>
      <c r="B3006" s="201"/>
    </row>
    <row r="3007" spans="1:2" x14ac:dyDescent="0.25">
      <c r="A3007" s="201"/>
      <c r="B3007" s="201"/>
    </row>
    <row r="3008" spans="1:2" x14ac:dyDescent="0.25">
      <c r="A3008" s="201"/>
      <c r="B3008" s="201"/>
    </row>
    <row r="3009" spans="1:2" x14ac:dyDescent="0.25">
      <c r="A3009" s="201"/>
      <c r="B3009" s="201"/>
    </row>
    <row r="3010" spans="1:2" x14ac:dyDescent="0.25">
      <c r="A3010" s="201"/>
      <c r="B3010" s="201"/>
    </row>
    <row r="3011" spans="1:2" x14ac:dyDescent="0.25">
      <c r="A3011" s="201"/>
      <c r="B3011" s="201"/>
    </row>
    <row r="3012" spans="1:2" x14ac:dyDescent="0.25">
      <c r="A3012" s="201"/>
      <c r="B3012" s="201"/>
    </row>
    <row r="3013" spans="1:2" x14ac:dyDescent="0.25">
      <c r="A3013" s="201"/>
      <c r="B3013" s="201"/>
    </row>
    <row r="3014" spans="1:2" x14ac:dyDescent="0.25">
      <c r="A3014" s="201"/>
      <c r="B3014" s="201"/>
    </row>
    <row r="3015" spans="1:2" x14ac:dyDescent="0.25">
      <c r="A3015" s="201"/>
      <c r="B3015" s="201"/>
    </row>
    <row r="3016" spans="1:2" x14ac:dyDescent="0.25">
      <c r="A3016" s="201"/>
      <c r="B3016" s="201"/>
    </row>
    <row r="3017" spans="1:2" x14ac:dyDescent="0.25">
      <c r="A3017" s="201"/>
      <c r="B3017" s="201"/>
    </row>
    <row r="3018" spans="1:2" x14ac:dyDescent="0.25">
      <c r="A3018" s="201"/>
      <c r="B3018" s="201"/>
    </row>
    <row r="3019" spans="1:2" x14ac:dyDescent="0.25">
      <c r="A3019" s="201"/>
      <c r="B3019" s="201"/>
    </row>
    <row r="3020" spans="1:2" x14ac:dyDescent="0.25">
      <c r="A3020" s="201"/>
      <c r="B3020" s="201"/>
    </row>
    <row r="3021" spans="1:2" x14ac:dyDescent="0.25">
      <c r="A3021" s="201"/>
      <c r="B3021" s="201"/>
    </row>
    <row r="3022" spans="1:2" x14ac:dyDescent="0.25">
      <c r="A3022" s="201"/>
      <c r="B3022" s="201"/>
    </row>
    <row r="3023" spans="1:2" x14ac:dyDescent="0.25">
      <c r="A3023" s="201"/>
      <c r="B3023" s="201"/>
    </row>
    <row r="3024" spans="1:2" x14ac:dyDescent="0.25">
      <c r="A3024" s="201"/>
      <c r="B3024" s="201"/>
    </row>
    <row r="3025" spans="1:2" x14ac:dyDescent="0.25">
      <c r="A3025" s="201"/>
      <c r="B3025" s="201"/>
    </row>
    <row r="3026" spans="1:2" x14ac:dyDescent="0.25">
      <c r="A3026" s="201"/>
      <c r="B3026" s="201"/>
    </row>
    <row r="3027" spans="1:2" x14ac:dyDescent="0.25">
      <c r="A3027" s="201"/>
      <c r="B3027" s="201"/>
    </row>
    <row r="3028" spans="1:2" x14ac:dyDescent="0.25">
      <c r="A3028" s="201"/>
      <c r="B3028" s="201"/>
    </row>
    <row r="3029" spans="1:2" x14ac:dyDescent="0.25">
      <c r="A3029" s="201"/>
      <c r="B3029" s="201"/>
    </row>
    <row r="3030" spans="1:2" x14ac:dyDescent="0.25">
      <c r="A3030" s="201"/>
      <c r="B3030" s="201"/>
    </row>
    <row r="3031" spans="1:2" x14ac:dyDescent="0.25">
      <c r="A3031" s="201"/>
      <c r="B3031" s="201"/>
    </row>
    <row r="3032" spans="1:2" x14ac:dyDescent="0.25">
      <c r="A3032" s="201"/>
      <c r="B3032" s="201"/>
    </row>
    <row r="3033" spans="1:2" x14ac:dyDescent="0.25">
      <c r="A3033" s="201"/>
      <c r="B3033" s="201"/>
    </row>
    <row r="3034" spans="1:2" x14ac:dyDescent="0.25">
      <c r="A3034" s="201"/>
      <c r="B3034" s="201"/>
    </row>
    <row r="3035" spans="1:2" x14ac:dyDescent="0.25">
      <c r="A3035" s="201"/>
      <c r="B3035" s="201"/>
    </row>
    <row r="3036" spans="1:2" x14ac:dyDescent="0.25">
      <c r="A3036" s="201"/>
      <c r="B3036" s="201"/>
    </row>
    <row r="3037" spans="1:2" x14ac:dyDescent="0.25">
      <c r="A3037" s="201"/>
      <c r="B3037" s="201"/>
    </row>
    <row r="3038" spans="1:2" x14ac:dyDescent="0.25">
      <c r="A3038" s="201"/>
      <c r="B3038" s="201"/>
    </row>
    <row r="3039" spans="1:2" x14ac:dyDescent="0.25">
      <c r="A3039" s="201"/>
      <c r="B3039" s="201"/>
    </row>
    <row r="3040" spans="1:2" x14ac:dyDescent="0.25">
      <c r="A3040" s="201"/>
      <c r="B3040" s="201"/>
    </row>
    <row r="3041" spans="1:2" x14ac:dyDescent="0.25">
      <c r="A3041" s="201"/>
      <c r="B3041" s="201"/>
    </row>
    <row r="3042" spans="1:2" x14ac:dyDescent="0.25">
      <c r="A3042" s="201"/>
      <c r="B3042" s="201"/>
    </row>
    <row r="3043" spans="1:2" x14ac:dyDescent="0.25">
      <c r="A3043" s="201"/>
      <c r="B3043" s="201"/>
    </row>
    <row r="3044" spans="1:2" x14ac:dyDescent="0.25">
      <c r="A3044" s="201"/>
      <c r="B3044" s="201"/>
    </row>
    <row r="3045" spans="1:2" x14ac:dyDescent="0.25">
      <c r="A3045" s="201"/>
      <c r="B3045" s="201"/>
    </row>
    <row r="3046" spans="1:2" x14ac:dyDescent="0.25">
      <c r="A3046" s="201"/>
      <c r="B3046" s="201"/>
    </row>
    <row r="3047" spans="1:2" x14ac:dyDescent="0.25">
      <c r="A3047" s="201"/>
      <c r="B3047" s="201"/>
    </row>
    <row r="3048" spans="1:2" x14ac:dyDescent="0.25">
      <c r="A3048" s="201"/>
      <c r="B3048" s="201"/>
    </row>
    <row r="3049" spans="1:2" x14ac:dyDescent="0.25">
      <c r="A3049" s="201"/>
      <c r="B3049" s="201"/>
    </row>
    <row r="3050" spans="1:2" x14ac:dyDescent="0.25">
      <c r="A3050" s="201"/>
      <c r="B3050" s="201"/>
    </row>
    <row r="3051" spans="1:2" x14ac:dyDescent="0.25">
      <c r="A3051" s="201"/>
      <c r="B3051" s="201"/>
    </row>
    <row r="3052" spans="1:2" x14ac:dyDescent="0.25">
      <c r="A3052" s="201"/>
      <c r="B3052" s="201"/>
    </row>
    <row r="3053" spans="1:2" x14ac:dyDescent="0.25">
      <c r="A3053" s="201"/>
      <c r="B3053" s="201"/>
    </row>
    <row r="3054" spans="1:2" x14ac:dyDescent="0.25">
      <c r="A3054" s="201"/>
      <c r="B3054" s="201"/>
    </row>
    <row r="3055" spans="1:2" x14ac:dyDescent="0.25">
      <c r="A3055" s="201"/>
      <c r="B3055" s="201"/>
    </row>
    <row r="3056" spans="1:2" x14ac:dyDescent="0.25">
      <c r="A3056" s="201"/>
      <c r="B3056" s="201"/>
    </row>
    <row r="3057" spans="1:2" x14ac:dyDescent="0.25">
      <c r="A3057" s="201"/>
      <c r="B3057" s="201"/>
    </row>
    <row r="3058" spans="1:2" x14ac:dyDescent="0.25">
      <c r="A3058" s="201"/>
      <c r="B3058" s="201"/>
    </row>
    <row r="3059" spans="1:2" x14ac:dyDescent="0.25">
      <c r="A3059" s="201"/>
      <c r="B3059" s="201"/>
    </row>
    <row r="3060" spans="1:2" x14ac:dyDescent="0.25">
      <c r="A3060" s="201"/>
      <c r="B3060" s="201"/>
    </row>
    <row r="3061" spans="1:2" x14ac:dyDescent="0.25">
      <c r="A3061" s="201"/>
      <c r="B3061" s="201"/>
    </row>
    <row r="3062" spans="1:2" x14ac:dyDescent="0.25">
      <c r="A3062" s="201"/>
      <c r="B3062" s="201"/>
    </row>
    <row r="3063" spans="1:2" x14ac:dyDescent="0.25">
      <c r="A3063" s="201"/>
      <c r="B3063" s="201"/>
    </row>
    <row r="3064" spans="1:2" x14ac:dyDescent="0.25">
      <c r="A3064" s="201"/>
      <c r="B3064" s="201"/>
    </row>
    <row r="3065" spans="1:2" x14ac:dyDescent="0.25">
      <c r="A3065" s="201"/>
      <c r="B3065" s="201"/>
    </row>
    <row r="3066" spans="1:2" x14ac:dyDescent="0.25">
      <c r="A3066" s="201"/>
      <c r="B3066" s="201"/>
    </row>
    <row r="3067" spans="1:2" x14ac:dyDescent="0.25">
      <c r="A3067" s="201"/>
      <c r="B3067" s="201"/>
    </row>
    <row r="3068" spans="1:2" x14ac:dyDescent="0.25">
      <c r="A3068" s="201"/>
      <c r="B3068" s="201"/>
    </row>
    <row r="3069" spans="1:2" x14ac:dyDescent="0.25">
      <c r="A3069" s="201"/>
      <c r="B3069" s="201"/>
    </row>
    <row r="3070" spans="1:2" x14ac:dyDescent="0.25">
      <c r="A3070" s="201"/>
      <c r="B3070" s="201"/>
    </row>
    <row r="3071" spans="1:2" x14ac:dyDescent="0.25">
      <c r="A3071" s="201"/>
      <c r="B3071" s="201"/>
    </row>
    <row r="3072" spans="1:2" x14ac:dyDescent="0.25">
      <c r="A3072" s="201"/>
      <c r="B3072" s="201"/>
    </row>
    <row r="3073" spans="1:2" x14ac:dyDescent="0.25">
      <c r="A3073" s="201"/>
      <c r="B3073" s="201"/>
    </row>
    <row r="3074" spans="1:2" x14ac:dyDescent="0.25">
      <c r="A3074" s="201"/>
      <c r="B3074" s="201"/>
    </row>
    <row r="3075" spans="1:2" x14ac:dyDescent="0.25">
      <c r="A3075" s="201"/>
      <c r="B3075" s="201"/>
    </row>
    <row r="3076" spans="1:2" x14ac:dyDescent="0.25">
      <c r="A3076" s="201"/>
      <c r="B3076" s="201"/>
    </row>
    <row r="3077" spans="1:2" x14ac:dyDescent="0.25">
      <c r="A3077" s="201"/>
      <c r="B3077" s="201"/>
    </row>
    <row r="3078" spans="1:2" x14ac:dyDescent="0.25">
      <c r="A3078" s="201"/>
      <c r="B3078" s="201"/>
    </row>
    <row r="3079" spans="1:2" x14ac:dyDescent="0.25">
      <c r="A3079" s="201"/>
      <c r="B3079" s="201"/>
    </row>
    <row r="3080" spans="1:2" x14ac:dyDescent="0.25">
      <c r="A3080" s="201"/>
      <c r="B3080" s="201"/>
    </row>
    <row r="3081" spans="1:2" x14ac:dyDescent="0.25">
      <c r="A3081" s="201"/>
      <c r="B3081" s="201"/>
    </row>
    <row r="3082" spans="1:2" x14ac:dyDescent="0.25">
      <c r="A3082" s="201"/>
      <c r="B3082" s="201"/>
    </row>
    <row r="3083" spans="1:2" x14ac:dyDescent="0.25">
      <c r="A3083" s="201"/>
      <c r="B3083" s="201"/>
    </row>
    <row r="3084" spans="1:2" x14ac:dyDescent="0.25">
      <c r="A3084" s="201"/>
      <c r="B3084" s="201"/>
    </row>
    <row r="3085" spans="1:2" x14ac:dyDescent="0.25">
      <c r="A3085" s="201"/>
      <c r="B3085" s="201"/>
    </row>
    <row r="3086" spans="1:2" x14ac:dyDescent="0.25">
      <c r="A3086" s="201"/>
      <c r="B3086" s="201"/>
    </row>
    <row r="3087" spans="1:2" x14ac:dyDescent="0.25">
      <c r="A3087" s="201"/>
      <c r="B3087" s="201"/>
    </row>
    <row r="3088" spans="1:2" x14ac:dyDescent="0.25">
      <c r="A3088" s="201"/>
      <c r="B3088" s="201"/>
    </row>
    <row r="3089" spans="1:2" x14ac:dyDescent="0.25">
      <c r="A3089" s="201"/>
      <c r="B3089" s="201"/>
    </row>
    <row r="3090" spans="1:2" x14ac:dyDescent="0.25">
      <c r="A3090" s="201"/>
      <c r="B3090" s="201"/>
    </row>
    <row r="3091" spans="1:2" x14ac:dyDescent="0.25">
      <c r="A3091" s="201"/>
      <c r="B3091" s="201"/>
    </row>
    <row r="3092" spans="1:2" x14ac:dyDescent="0.25">
      <c r="A3092" s="201"/>
      <c r="B3092" s="201"/>
    </row>
    <row r="3093" spans="1:2" x14ac:dyDescent="0.25">
      <c r="A3093" s="201"/>
      <c r="B3093" s="201"/>
    </row>
    <row r="3094" spans="1:2" x14ac:dyDescent="0.25">
      <c r="A3094" s="201"/>
      <c r="B3094" s="201"/>
    </row>
    <row r="3095" spans="1:2" x14ac:dyDescent="0.25">
      <c r="A3095" s="201"/>
      <c r="B3095" s="201"/>
    </row>
    <row r="3096" spans="1:2" x14ac:dyDescent="0.25">
      <c r="A3096" s="201"/>
      <c r="B3096" s="201"/>
    </row>
    <row r="3097" spans="1:2" x14ac:dyDescent="0.25">
      <c r="A3097" s="201"/>
      <c r="B3097" s="201"/>
    </row>
    <row r="3098" spans="1:2" x14ac:dyDescent="0.25">
      <c r="A3098" s="201"/>
      <c r="B3098" s="201"/>
    </row>
    <row r="3099" spans="1:2" x14ac:dyDescent="0.25">
      <c r="A3099" s="201"/>
      <c r="B3099" s="201"/>
    </row>
    <row r="3100" spans="1:2" x14ac:dyDescent="0.25">
      <c r="A3100" s="201"/>
      <c r="B3100" s="201"/>
    </row>
    <row r="3101" spans="1:2" x14ac:dyDescent="0.25">
      <c r="A3101" s="201"/>
      <c r="B3101" s="201"/>
    </row>
    <row r="3102" spans="1:2" x14ac:dyDescent="0.25">
      <c r="A3102" s="201"/>
      <c r="B3102" s="201"/>
    </row>
    <row r="3103" spans="1:2" x14ac:dyDescent="0.25">
      <c r="A3103" s="201"/>
      <c r="B3103" s="201"/>
    </row>
    <row r="3104" spans="1:2" x14ac:dyDescent="0.25">
      <c r="A3104" s="201"/>
      <c r="B3104" s="201"/>
    </row>
    <row r="3105" spans="1:2" x14ac:dyDescent="0.25">
      <c r="A3105" s="201"/>
      <c r="B3105" s="201"/>
    </row>
    <row r="3106" spans="1:2" x14ac:dyDescent="0.25">
      <c r="A3106" s="201"/>
      <c r="B3106" s="201"/>
    </row>
    <row r="3107" spans="1:2" x14ac:dyDescent="0.25">
      <c r="A3107" s="201"/>
      <c r="B3107" s="201"/>
    </row>
    <row r="3108" spans="1:2" x14ac:dyDescent="0.25">
      <c r="A3108" s="201"/>
      <c r="B3108" s="201"/>
    </row>
    <row r="3109" spans="1:2" x14ac:dyDescent="0.25">
      <c r="A3109" s="201"/>
      <c r="B3109" s="201"/>
    </row>
    <row r="3110" spans="1:2" x14ac:dyDescent="0.25">
      <c r="A3110" s="201"/>
      <c r="B3110" s="201"/>
    </row>
    <row r="3111" spans="1:2" x14ac:dyDescent="0.25">
      <c r="A3111" s="201"/>
      <c r="B3111" s="201"/>
    </row>
    <row r="3112" spans="1:2" x14ac:dyDescent="0.25">
      <c r="A3112" s="201"/>
      <c r="B3112" s="201"/>
    </row>
    <row r="3113" spans="1:2" x14ac:dyDescent="0.25">
      <c r="A3113" s="201"/>
      <c r="B3113" s="201"/>
    </row>
    <row r="3114" spans="1:2" x14ac:dyDescent="0.25">
      <c r="A3114" s="201"/>
      <c r="B3114" s="201"/>
    </row>
    <row r="3115" spans="1:2" x14ac:dyDescent="0.25">
      <c r="A3115" s="201"/>
      <c r="B3115" s="201"/>
    </row>
    <row r="3116" spans="1:2" x14ac:dyDescent="0.25">
      <c r="A3116" s="201"/>
      <c r="B3116" s="201"/>
    </row>
    <row r="3117" spans="1:2" x14ac:dyDescent="0.25">
      <c r="A3117" s="201"/>
      <c r="B3117" s="201"/>
    </row>
    <row r="3118" spans="1:2" x14ac:dyDescent="0.25">
      <c r="A3118" s="201"/>
      <c r="B3118" s="201"/>
    </row>
    <row r="3119" spans="1:2" x14ac:dyDescent="0.25">
      <c r="A3119" s="201"/>
      <c r="B3119" s="201"/>
    </row>
    <row r="3120" spans="1:2" x14ac:dyDescent="0.25">
      <c r="A3120" s="201"/>
      <c r="B3120" s="201"/>
    </row>
    <row r="3121" spans="1:2" x14ac:dyDescent="0.25">
      <c r="A3121" s="201"/>
      <c r="B3121" s="201"/>
    </row>
    <row r="3122" spans="1:2" x14ac:dyDescent="0.25">
      <c r="A3122" s="201"/>
      <c r="B3122" s="201"/>
    </row>
    <row r="3123" spans="1:2" x14ac:dyDescent="0.25">
      <c r="A3123" s="201"/>
      <c r="B3123" s="201"/>
    </row>
    <row r="3124" spans="1:2" x14ac:dyDescent="0.25">
      <c r="A3124" s="201"/>
      <c r="B3124" s="201"/>
    </row>
    <row r="3125" spans="1:2" x14ac:dyDescent="0.25">
      <c r="A3125" s="201"/>
      <c r="B3125" s="201"/>
    </row>
    <row r="3126" spans="1:2" x14ac:dyDescent="0.25">
      <c r="A3126" s="201"/>
      <c r="B3126" s="201"/>
    </row>
    <row r="3127" spans="1:2" x14ac:dyDescent="0.25">
      <c r="A3127" s="201"/>
      <c r="B3127" s="201"/>
    </row>
    <row r="3128" spans="1:2" x14ac:dyDescent="0.25">
      <c r="A3128" s="201"/>
      <c r="B3128" s="201"/>
    </row>
    <row r="3129" spans="1:2" x14ac:dyDescent="0.25">
      <c r="A3129" s="201"/>
      <c r="B3129" s="201"/>
    </row>
    <row r="3130" spans="1:2" x14ac:dyDescent="0.25">
      <c r="A3130" s="201"/>
      <c r="B3130" s="201"/>
    </row>
    <row r="3131" spans="1:2" x14ac:dyDescent="0.25">
      <c r="A3131" s="201"/>
      <c r="B3131" s="201"/>
    </row>
    <row r="3132" spans="1:2" x14ac:dyDescent="0.25">
      <c r="A3132" s="201"/>
      <c r="B3132" s="201"/>
    </row>
    <row r="3133" spans="1:2" x14ac:dyDescent="0.25">
      <c r="A3133" s="201"/>
      <c r="B3133" s="201"/>
    </row>
    <row r="3134" spans="1:2" x14ac:dyDescent="0.25">
      <c r="A3134" s="201"/>
      <c r="B3134" s="201"/>
    </row>
    <row r="3135" spans="1:2" x14ac:dyDescent="0.25">
      <c r="A3135" s="201"/>
      <c r="B3135" s="201"/>
    </row>
    <row r="3136" spans="1:2" x14ac:dyDescent="0.25">
      <c r="A3136" s="201"/>
      <c r="B3136" s="201"/>
    </row>
    <row r="3137" spans="1:2" x14ac:dyDescent="0.25">
      <c r="A3137" s="201"/>
      <c r="B3137" s="201"/>
    </row>
    <row r="3138" spans="1:2" x14ac:dyDescent="0.25">
      <c r="A3138" s="201"/>
      <c r="B3138" s="201"/>
    </row>
    <row r="3139" spans="1:2" x14ac:dyDescent="0.25">
      <c r="A3139" s="201"/>
      <c r="B3139" s="201"/>
    </row>
    <row r="3140" spans="1:2" x14ac:dyDescent="0.25">
      <c r="A3140" s="201"/>
      <c r="B3140" s="201"/>
    </row>
    <row r="3141" spans="1:2" x14ac:dyDescent="0.25">
      <c r="A3141" s="201"/>
      <c r="B3141" s="201"/>
    </row>
    <row r="3142" spans="1:2" x14ac:dyDescent="0.25">
      <c r="A3142" s="201"/>
      <c r="B3142" s="201"/>
    </row>
    <row r="3143" spans="1:2" x14ac:dyDescent="0.25">
      <c r="A3143" s="201"/>
      <c r="B3143" s="201"/>
    </row>
    <row r="3144" spans="1:2" x14ac:dyDescent="0.25">
      <c r="A3144" s="201"/>
      <c r="B3144" s="201"/>
    </row>
    <row r="3145" spans="1:2" x14ac:dyDescent="0.25">
      <c r="A3145" s="201"/>
      <c r="B3145" s="201"/>
    </row>
    <row r="3146" spans="1:2" x14ac:dyDescent="0.25">
      <c r="A3146" s="201"/>
      <c r="B3146" s="201"/>
    </row>
    <row r="3147" spans="1:2" x14ac:dyDescent="0.25">
      <c r="A3147" s="201"/>
      <c r="B3147" s="201"/>
    </row>
    <row r="3148" spans="1:2" x14ac:dyDescent="0.25">
      <c r="A3148" s="201"/>
      <c r="B3148" s="201"/>
    </row>
    <row r="3149" spans="1:2" x14ac:dyDescent="0.25">
      <c r="A3149" s="201"/>
      <c r="B3149" s="201"/>
    </row>
    <row r="3150" spans="1:2" x14ac:dyDescent="0.25">
      <c r="A3150" s="201"/>
      <c r="B3150" s="201"/>
    </row>
    <row r="3151" spans="1:2" x14ac:dyDescent="0.25">
      <c r="A3151" s="201"/>
      <c r="B3151" s="201"/>
    </row>
    <row r="3152" spans="1:2" x14ac:dyDescent="0.25">
      <c r="A3152" s="201"/>
      <c r="B3152" s="201"/>
    </row>
    <row r="3153" spans="1:2" x14ac:dyDescent="0.25">
      <c r="A3153" s="201"/>
      <c r="B3153" s="201"/>
    </row>
    <row r="3154" spans="1:2" x14ac:dyDescent="0.25">
      <c r="A3154" s="201"/>
      <c r="B3154" s="201"/>
    </row>
    <row r="3155" spans="1:2" x14ac:dyDescent="0.25">
      <c r="A3155" s="201"/>
      <c r="B3155" s="201"/>
    </row>
    <row r="3156" spans="1:2" x14ac:dyDescent="0.25">
      <c r="A3156" s="201"/>
      <c r="B3156" s="201"/>
    </row>
    <row r="3157" spans="1:2" x14ac:dyDescent="0.25">
      <c r="A3157" s="201"/>
      <c r="B3157" s="201"/>
    </row>
    <row r="3158" spans="1:2" x14ac:dyDescent="0.25">
      <c r="A3158" s="201"/>
      <c r="B3158" s="201"/>
    </row>
    <row r="3159" spans="1:2" x14ac:dyDescent="0.25">
      <c r="A3159" s="201"/>
      <c r="B3159" s="201"/>
    </row>
    <row r="3160" spans="1:2" x14ac:dyDescent="0.25">
      <c r="A3160" s="201"/>
      <c r="B3160" s="201"/>
    </row>
    <row r="3161" spans="1:2" x14ac:dyDescent="0.25">
      <c r="A3161" s="201"/>
      <c r="B3161" s="201"/>
    </row>
    <row r="3162" spans="1:2" x14ac:dyDescent="0.25">
      <c r="A3162" s="201"/>
      <c r="B3162" s="201"/>
    </row>
    <row r="3163" spans="1:2" x14ac:dyDescent="0.25">
      <c r="A3163" s="201"/>
      <c r="B3163" s="201"/>
    </row>
    <row r="3164" spans="1:2" x14ac:dyDescent="0.25">
      <c r="A3164" s="201"/>
      <c r="B3164" s="201"/>
    </row>
    <row r="3165" spans="1:2" x14ac:dyDescent="0.25">
      <c r="A3165" s="201"/>
      <c r="B3165" s="201"/>
    </row>
    <row r="3166" spans="1:2" x14ac:dyDescent="0.25">
      <c r="A3166" s="201"/>
      <c r="B3166" s="201"/>
    </row>
    <row r="3167" spans="1:2" x14ac:dyDescent="0.25">
      <c r="A3167" s="201"/>
      <c r="B3167" s="201"/>
    </row>
    <row r="3168" spans="1:2" x14ac:dyDescent="0.25">
      <c r="A3168" s="201"/>
      <c r="B3168" s="201"/>
    </row>
    <row r="3169" spans="1:2" x14ac:dyDescent="0.25">
      <c r="A3169" s="201"/>
      <c r="B3169" s="201"/>
    </row>
    <row r="3170" spans="1:2" x14ac:dyDescent="0.25">
      <c r="A3170" s="201"/>
      <c r="B3170" s="201"/>
    </row>
    <row r="3171" spans="1:2" x14ac:dyDescent="0.25">
      <c r="A3171" s="201"/>
      <c r="B3171" s="201"/>
    </row>
    <row r="3172" spans="1:2" x14ac:dyDescent="0.25">
      <c r="A3172" s="201"/>
      <c r="B3172" s="201"/>
    </row>
    <row r="3173" spans="1:2" x14ac:dyDescent="0.25">
      <c r="A3173" s="201"/>
      <c r="B3173" s="201"/>
    </row>
    <row r="3174" spans="1:2" x14ac:dyDescent="0.25">
      <c r="A3174" s="201"/>
      <c r="B3174" s="201"/>
    </row>
    <row r="3175" spans="1:2" x14ac:dyDescent="0.25">
      <c r="A3175" s="201"/>
      <c r="B3175" s="201"/>
    </row>
    <row r="3176" spans="1:2" x14ac:dyDescent="0.25">
      <c r="A3176" s="201"/>
      <c r="B3176" s="201"/>
    </row>
    <row r="3177" spans="1:2" x14ac:dyDescent="0.25">
      <c r="A3177" s="201"/>
      <c r="B3177" s="201"/>
    </row>
    <row r="3178" spans="1:2" x14ac:dyDescent="0.25">
      <c r="A3178" s="201"/>
      <c r="B3178" s="201"/>
    </row>
    <row r="3179" spans="1:2" x14ac:dyDescent="0.25">
      <c r="A3179" s="201"/>
      <c r="B3179" s="201"/>
    </row>
    <row r="3180" spans="1:2" x14ac:dyDescent="0.25">
      <c r="A3180" s="201"/>
      <c r="B3180" s="201"/>
    </row>
    <row r="3181" spans="1:2" x14ac:dyDescent="0.25">
      <c r="A3181" s="201"/>
      <c r="B3181" s="201"/>
    </row>
    <row r="3182" spans="1:2" x14ac:dyDescent="0.25">
      <c r="A3182" s="201"/>
      <c r="B3182" s="201"/>
    </row>
    <row r="3183" spans="1:2" x14ac:dyDescent="0.25">
      <c r="A3183" s="201"/>
      <c r="B3183" s="201"/>
    </row>
    <row r="3184" spans="1:2" x14ac:dyDescent="0.25">
      <c r="A3184" s="201"/>
      <c r="B3184" s="201"/>
    </row>
    <row r="3185" spans="1:2" x14ac:dyDescent="0.25">
      <c r="A3185" s="201"/>
      <c r="B3185" s="201"/>
    </row>
    <row r="3186" spans="1:2" x14ac:dyDescent="0.25">
      <c r="A3186" s="201"/>
      <c r="B3186" s="201"/>
    </row>
    <row r="3187" spans="1:2" x14ac:dyDescent="0.25">
      <c r="A3187" s="201"/>
      <c r="B3187" s="201"/>
    </row>
    <row r="3188" spans="1:2" x14ac:dyDescent="0.25">
      <c r="A3188" s="201"/>
      <c r="B3188" s="201"/>
    </row>
    <row r="3189" spans="1:2" x14ac:dyDescent="0.25">
      <c r="A3189" s="201"/>
      <c r="B3189" s="201"/>
    </row>
    <row r="3190" spans="1:2" x14ac:dyDescent="0.25">
      <c r="A3190" s="201"/>
      <c r="B3190" s="201"/>
    </row>
    <row r="3191" spans="1:2" x14ac:dyDescent="0.25">
      <c r="A3191" s="201"/>
      <c r="B3191" s="201"/>
    </row>
    <row r="3192" spans="1:2" x14ac:dyDescent="0.25">
      <c r="A3192" s="201"/>
      <c r="B3192" s="201"/>
    </row>
    <row r="3193" spans="1:2" x14ac:dyDescent="0.25">
      <c r="A3193" s="201"/>
      <c r="B3193" s="201"/>
    </row>
    <row r="3194" spans="1:2" x14ac:dyDescent="0.25">
      <c r="A3194" s="201"/>
      <c r="B3194" s="201"/>
    </row>
    <row r="3195" spans="1:2" x14ac:dyDescent="0.25">
      <c r="A3195" s="201"/>
      <c r="B3195" s="201"/>
    </row>
    <row r="3196" spans="1:2" x14ac:dyDescent="0.25">
      <c r="A3196" s="201"/>
      <c r="B3196" s="201"/>
    </row>
    <row r="3197" spans="1:2" x14ac:dyDescent="0.25">
      <c r="A3197" s="201"/>
      <c r="B3197" s="201"/>
    </row>
    <row r="3198" spans="1:2" x14ac:dyDescent="0.25">
      <c r="A3198" s="201"/>
      <c r="B3198" s="201"/>
    </row>
    <row r="3199" spans="1:2" x14ac:dyDescent="0.25">
      <c r="A3199" s="201"/>
      <c r="B3199" s="201"/>
    </row>
    <row r="3200" spans="1:2" x14ac:dyDescent="0.25">
      <c r="A3200" s="201"/>
      <c r="B3200" s="201"/>
    </row>
    <row r="3201" spans="1:2" x14ac:dyDescent="0.25">
      <c r="A3201" s="201"/>
      <c r="B3201" s="201"/>
    </row>
    <row r="3202" spans="1:2" x14ac:dyDescent="0.25">
      <c r="A3202" s="201"/>
      <c r="B3202" s="201"/>
    </row>
    <row r="3203" spans="1:2" x14ac:dyDescent="0.25">
      <c r="A3203" s="201"/>
      <c r="B3203" s="201"/>
    </row>
    <row r="3204" spans="1:2" x14ac:dyDescent="0.25">
      <c r="A3204" s="201"/>
      <c r="B3204" s="201"/>
    </row>
    <row r="3205" spans="1:2" x14ac:dyDescent="0.25">
      <c r="A3205" s="201"/>
      <c r="B3205" s="201"/>
    </row>
    <row r="3206" spans="1:2" x14ac:dyDescent="0.25">
      <c r="A3206" s="201"/>
      <c r="B3206" s="201"/>
    </row>
    <row r="3207" spans="1:2" x14ac:dyDescent="0.25">
      <c r="A3207" s="201"/>
      <c r="B3207" s="201"/>
    </row>
    <row r="3208" spans="1:2" x14ac:dyDescent="0.25">
      <c r="A3208" s="201"/>
      <c r="B3208" s="201"/>
    </row>
    <row r="3209" spans="1:2" x14ac:dyDescent="0.25">
      <c r="A3209" s="201"/>
      <c r="B3209" s="201"/>
    </row>
    <row r="3210" spans="1:2" x14ac:dyDescent="0.25">
      <c r="A3210" s="201"/>
      <c r="B3210" s="201"/>
    </row>
    <row r="3211" spans="1:2" x14ac:dyDescent="0.25">
      <c r="A3211" s="201"/>
      <c r="B3211" s="201"/>
    </row>
    <row r="3212" spans="1:2" x14ac:dyDescent="0.25">
      <c r="A3212" s="201"/>
      <c r="B3212" s="201"/>
    </row>
    <row r="3213" spans="1:2" x14ac:dyDescent="0.25">
      <c r="A3213" s="201"/>
      <c r="B3213" s="201"/>
    </row>
    <row r="3214" spans="1:2" x14ac:dyDescent="0.25">
      <c r="A3214" s="201"/>
      <c r="B3214" s="201"/>
    </row>
    <row r="3215" spans="1:2" x14ac:dyDescent="0.25">
      <c r="A3215" s="201"/>
      <c r="B3215" s="201"/>
    </row>
    <row r="3216" spans="1:2" x14ac:dyDescent="0.25">
      <c r="A3216" s="201"/>
      <c r="B3216" s="201"/>
    </row>
    <row r="3217" spans="1:2" x14ac:dyDescent="0.25">
      <c r="A3217" s="201"/>
      <c r="B3217" s="201"/>
    </row>
    <row r="3218" spans="1:2" x14ac:dyDescent="0.25">
      <c r="A3218" s="201"/>
      <c r="B3218" s="201"/>
    </row>
    <row r="3219" spans="1:2" x14ac:dyDescent="0.25">
      <c r="A3219" s="201"/>
      <c r="B3219" s="201"/>
    </row>
    <row r="3220" spans="1:2" x14ac:dyDescent="0.25">
      <c r="A3220" s="201"/>
      <c r="B3220" s="201"/>
    </row>
    <row r="3221" spans="1:2" x14ac:dyDescent="0.25">
      <c r="A3221" s="201"/>
      <c r="B3221" s="201"/>
    </row>
    <row r="3222" spans="1:2" x14ac:dyDescent="0.25">
      <c r="A3222" s="201"/>
      <c r="B3222" s="201"/>
    </row>
    <row r="3223" spans="1:2" x14ac:dyDescent="0.25">
      <c r="A3223" s="201"/>
      <c r="B3223" s="201"/>
    </row>
    <row r="3224" spans="1:2" x14ac:dyDescent="0.25">
      <c r="A3224" s="201"/>
      <c r="B3224" s="201"/>
    </row>
    <row r="3225" spans="1:2" x14ac:dyDescent="0.25">
      <c r="A3225" s="201"/>
      <c r="B3225" s="201"/>
    </row>
    <row r="3226" spans="1:2" x14ac:dyDescent="0.25">
      <c r="A3226" s="201"/>
      <c r="B3226" s="201"/>
    </row>
    <row r="3227" spans="1:2" x14ac:dyDescent="0.25">
      <c r="A3227" s="201"/>
      <c r="B3227" s="201"/>
    </row>
    <row r="3228" spans="1:2" x14ac:dyDescent="0.25">
      <c r="A3228" s="201"/>
      <c r="B3228" s="201"/>
    </row>
    <row r="3229" spans="1:2" x14ac:dyDescent="0.25">
      <c r="A3229" s="201"/>
      <c r="B3229" s="201"/>
    </row>
    <row r="3230" spans="1:2" x14ac:dyDescent="0.25">
      <c r="A3230" s="201"/>
      <c r="B3230" s="201"/>
    </row>
    <row r="3231" spans="1:2" x14ac:dyDescent="0.25">
      <c r="A3231" s="201"/>
      <c r="B3231" s="201"/>
    </row>
    <row r="3232" spans="1:2" x14ac:dyDescent="0.25">
      <c r="A3232" s="201"/>
      <c r="B3232" s="201"/>
    </row>
    <row r="3233" spans="1:2" x14ac:dyDescent="0.25">
      <c r="A3233" s="201"/>
      <c r="B3233" s="201"/>
    </row>
    <row r="3234" spans="1:2" x14ac:dyDescent="0.25">
      <c r="A3234" s="201"/>
      <c r="B3234" s="201"/>
    </row>
    <row r="3235" spans="1:2" x14ac:dyDescent="0.25">
      <c r="A3235" s="201"/>
      <c r="B3235" s="201"/>
    </row>
    <row r="3236" spans="1:2" x14ac:dyDescent="0.25">
      <c r="A3236" s="201"/>
      <c r="B3236" s="201"/>
    </row>
    <row r="3237" spans="1:2" x14ac:dyDescent="0.25">
      <c r="A3237" s="201"/>
      <c r="B3237" s="201"/>
    </row>
    <row r="3238" spans="1:2" x14ac:dyDescent="0.25">
      <c r="A3238" s="201"/>
      <c r="B3238" s="201"/>
    </row>
    <row r="3239" spans="1:2" x14ac:dyDescent="0.25">
      <c r="A3239" s="201"/>
      <c r="B3239" s="201"/>
    </row>
    <row r="3240" spans="1:2" x14ac:dyDescent="0.25">
      <c r="A3240" s="201"/>
      <c r="B3240" s="201"/>
    </row>
    <row r="3241" spans="1:2" x14ac:dyDescent="0.25">
      <c r="A3241" s="201"/>
      <c r="B3241" s="201"/>
    </row>
    <row r="3242" spans="1:2" x14ac:dyDescent="0.25">
      <c r="A3242" s="201"/>
      <c r="B3242" s="201"/>
    </row>
    <row r="3243" spans="1:2" x14ac:dyDescent="0.25">
      <c r="A3243" s="201"/>
      <c r="B3243" s="201"/>
    </row>
    <row r="3244" spans="1:2" x14ac:dyDescent="0.25">
      <c r="A3244" s="201"/>
      <c r="B3244" s="201"/>
    </row>
    <row r="3245" spans="1:2" x14ac:dyDescent="0.25">
      <c r="A3245" s="201"/>
      <c r="B3245" s="201"/>
    </row>
    <row r="3246" spans="1:2" x14ac:dyDescent="0.25">
      <c r="A3246" s="201"/>
      <c r="B3246" s="201"/>
    </row>
    <row r="3247" spans="1:2" x14ac:dyDescent="0.25">
      <c r="A3247" s="201"/>
      <c r="B3247" s="201"/>
    </row>
    <row r="3248" spans="1:2" x14ac:dyDescent="0.25">
      <c r="A3248" s="201"/>
      <c r="B3248" s="201"/>
    </row>
    <row r="3249" spans="1:2" x14ac:dyDescent="0.25">
      <c r="A3249" s="201"/>
      <c r="B3249" s="201"/>
    </row>
    <row r="3250" spans="1:2" x14ac:dyDescent="0.25">
      <c r="A3250" s="201"/>
      <c r="B3250" s="201"/>
    </row>
    <row r="3251" spans="1:2" x14ac:dyDescent="0.25">
      <c r="A3251" s="201"/>
      <c r="B3251" s="201"/>
    </row>
    <row r="3252" spans="1:2" x14ac:dyDescent="0.25">
      <c r="A3252" s="201"/>
      <c r="B3252" s="201"/>
    </row>
    <row r="3253" spans="1:2" x14ac:dyDescent="0.25">
      <c r="A3253" s="201"/>
      <c r="B3253" s="201"/>
    </row>
    <row r="3254" spans="1:2" x14ac:dyDescent="0.25">
      <c r="A3254" s="201"/>
      <c r="B3254" s="201"/>
    </row>
    <row r="3255" spans="1:2" x14ac:dyDescent="0.25">
      <c r="A3255" s="201"/>
      <c r="B3255" s="201"/>
    </row>
    <row r="3256" spans="1:2" x14ac:dyDescent="0.25">
      <c r="A3256" s="201"/>
      <c r="B3256" s="201"/>
    </row>
    <row r="3257" spans="1:2" x14ac:dyDescent="0.25">
      <c r="A3257" s="201"/>
      <c r="B3257" s="201"/>
    </row>
    <row r="3258" spans="1:2" x14ac:dyDescent="0.25">
      <c r="A3258" s="201"/>
      <c r="B3258" s="201"/>
    </row>
    <row r="3259" spans="1:2" x14ac:dyDescent="0.25">
      <c r="A3259" s="201"/>
      <c r="B3259" s="201"/>
    </row>
    <row r="3260" spans="1:2" x14ac:dyDescent="0.25">
      <c r="A3260" s="201"/>
      <c r="B3260" s="201"/>
    </row>
    <row r="3261" spans="1:2" x14ac:dyDescent="0.25">
      <c r="A3261" s="201"/>
      <c r="B3261" s="201"/>
    </row>
    <row r="3262" spans="1:2" x14ac:dyDescent="0.25">
      <c r="A3262" s="201"/>
      <c r="B3262" s="201"/>
    </row>
    <row r="3263" spans="1:2" x14ac:dyDescent="0.25">
      <c r="A3263" s="201"/>
      <c r="B3263" s="201"/>
    </row>
    <row r="3264" spans="1:2" x14ac:dyDescent="0.25">
      <c r="A3264" s="201"/>
      <c r="B3264" s="201"/>
    </row>
    <row r="3265" spans="1:2" x14ac:dyDescent="0.25">
      <c r="A3265" s="201"/>
      <c r="B3265" s="201"/>
    </row>
    <row r="3266" spans="1:2" x14ac:dyDescent="0.25">
      <c r="A3266" s="201"/>
      <c r="B3266" s="201"/>
    </row>
    <row r="3267" spans="1:2" x14ac:dyDescent="0.25">
      <c r="A3267" s="201"/>
      <c r="B3267" s="201"/>
    </row>
    <row r="3268" spans="1:2" x14ac:dyDescent="0.25">
      <c r="A3268" s="201"/>
      <c r="B3268" s="201"/>
    </row>
    <row r="3269" spans="1:2" x14ac:dyDescent="0.25">
      <c r="A3269" s="201"/>
      <c r="B3269" s="201"/>
    </row>
    <row r="3270" spans="1:2" x14ac:dyDescent="0.25">
      <c r="A3270" s="201"/>
      <c r="B3270" s="201"/>
    </row>
    <row r="3271" spans="1:2" x14ac:dyDescent="0.25">
      <c r="A3271" s="201"/>
      <c r="B3271" s="201"/>
    </row>
    <row r="3272" spans="1:2" x14ac:dyDescent="0.25">
      <c r="A3272" s="201"/>
      <c r="B3272" s="201"/>
    </row>
    <row r="3273" spans="1:2" x14ac:dyDescent="0.25">
      <c r="A3273" s="201"/>
      <c r="B3273" s="201"/>
    </row>
    <row r="3274" spans="1:2" x14ac:dyDescent="0.25">
      <c r="A3274" s="201"/>
      <c r="B3274" s="201"/>
    </row>
    <row r="3275" spans="1:2" x14ac:dyDescent="0.25">
      <c r="A3275" s="201"/>
      <c r="B3275" s="201"/>
    </row>
    <row r="3276" spans="1:2" x14ac:dyDescent="0.25">
      <c r="A3276" s="201"/>
      <c r="B3276" s="201"/>
    </row>
    <row r="3277" spans="1:2" x14ac:dyDescent="0.25">
      <c r="A3277" s="201"/>
      <c r="B3277" s="201"/>
    </row>
    <row r="3278" spans="1:2" x14ac:dyDescent="0.25">
      <c r="A3278" s="201"/>
      <c r="B3278" s="201"/>
    </row>
    <row r="3279" spans="1:2" x14ac:dyDescent="0.25">
      <c r="A3279" s="201"/>
      <c r="B3279" s="201"/>
    </row>
    <row r="3280" spans="1:2" x14ac:dyDescent="0.25">
      <c r="A3280" s="201"/>
      <c r="B3280" s="201"/>
    </row>
    <row r="3281" spans="1:2" x14ac:dyDescent="0.25">
      <c r="A3281" s="201"/>
      <c r="B3281" s="201"/>
    </row>
    <row r="3282" spans="1:2" x14ac:dyDescent="0.25">
      <c r="A3282" s="201"/>
      <c r="B3282" s="201"/>
    </row>
    <row r="3283" spans="1:2" x14ac:dyDescent="0.25">
      <c r="A3283" s="201"/>
      <c r="B3283" s="201"/>
    </row>
    <row r="3284" spans="1:2" x14ac:dyDescent="0.25">
      <c r="A3284" s="201"/>
      <c r="B3284" s="201"/>
    </row>
    <row r="3285" spans="1:2" x14ac:dyDescent="0.25">
      <c r="A3285" s="201"/>
      <c r="B3285" s="201"/>
    </row>
    <row r="3286" spans="1:2" x14ac:dyDescent="0.25">
      <c r="A3286" s="201"/>
      <c r="B3286" s="201"/>
    </row>
    <row r="3287" spans="1:2" x14ac:dyDescent="0.25">
      <c r="A3287" s="201"/>
      <c r="B3287" s="201"/>
    </row>
    <row r="3288" spans="1:2" x14ac:dyDescent="0.25">
      <c r="A3288" s="201"/>
      <c r="B3288" s="201"/>
    </row>
    <row r="3289" spans="1:2" x14ac:dyDescent="0.25">
      <c r="A3289" s="201"/>
      <c r="B3289" s="201"/>
    </row>
    <row r="3290" spans="1:2" x14ac:dyDescent="0.25">
      <c r="A3290" s="201"/>
      <c r="B3290" s="201"/>
    </row>
    <row r="3291" spans="1:2" x14ac:dyDescent="0.25">
      <c r="A3291" s="201"/>
      <c r="B3291" s="201"/>
    </row>
    <row r="3292" spans="1:2" x14ac:dyDescent="0.25">
      <c r="A3292" s="201"/>
      <c r="B3292" s="201"/>
    </row>
    <row r="3293" spans="1:2" x14ac:dyDescent="0.25">
      <c r="A3293" s="201"/>
      <c r="B3293" s="201"/>
    </row>
    <row r="3294" spans="1:2" x14ac:dyDescent="0.25">
      <c r="A3294" s="201"/>
      <c r="B3294" s="201"/>
    </row>
    <row r="3295" spans="1:2" x14ac:dyDescent="0.25">
      <c r="A3295" s="201"/>
      <c r="B3295" s="201"/>
    </row>
    <row r="3296" spans="1:2" x14ac:dyDescent="0.25">
      <c r="A3296" s="201"/>
      <c r="B3296" s="201"/>
    </row>
    <row r="3297" spans="1:2" x14ac:dyDescent="0.25">
      <c r="A3297" s="201"/>
      <c r="B3297" s="201"/>
    </row>
    <row r="3298" spans="1:2" x14ac:dyDescent="0.25">
      <c r="A3298" s="201"/>
      <c r="B3298" s="201"/>
    </row>
    <row r="3299" spans="1:2" x14ac:dyDescent="0.25">
      <c r="A3299" s="201"/>
      <c r="B3299" s="201"/>
    </row>
    <row r="3300" spans="1:2" x14ac:dyDescent="0.25">
      <c r="A3300" s="201"/>
      <c r="B3300" s="201"/>
    </row>
    <row r="3301" spans="1:2" x14ac:dyDescent="0.25">
      <c r="A3301" s="201"/>
      <c r="B3301" s="201"/>
    </row>
    <row r="3302" spans="1:2" x14ac:dyDescent="0.25">
      <c r="A3302" s="201"/>
      <c r="B3302" s="201"/>
    </row>
    <row r="3303" spans="1:2" x14ac:dyDescent="0.25">
      <c r="A3303" s="201"/>
      <c r="B3303" s="201"/>
    </row>
    <row r="3304" spans="1:2" x14ac:dyDescent="0.25">
      <c r="A3304" s="201"/>
      <c r="B3304" s="201"/>
    </row>
    <row r="3305" spans="1:2" x14ac:dyDescent="0.25">
      <c r="A3305" s="201"/>
      <c r="B3305" s="201"/>
    </row>
    <row r="3306" spans="1:2" x14ac:dyDescent="0.25">
      <c r="A3306" s="201"/>
      <c r="B3306" s="201"/>
    </row>
    <row r="3307" spans="1:2" x14ac:dyDescent="0.25">
      <c r="A3307" s="201"/>
      <c r="B3307" s="201"/>
    </row>
    <row r="3308" spans="1:2" x14ac:dyDescent="0.25">
      <c r="A3308" s="201"/>
      <c r="B3308" s="201"/>
    </row>
    <row r="3309" spans="1:2" x14ac:dyDescent="0.25">
      <c r="A3309" s="201"/>
      <c r="B3309" s="201"/>
    </row>
    <row r="3310" spans="1:2" x14ac:dyDescent="0.25">
      <c r="A3310" s="201"/>
      <c r="B3310" s="201"/>
    </row>
    <row r="3311" spans="1:2" x14ac:dyDescent="0.25">
      <c r="A3311" s="201"/>
      <c r="B3311" s="201"/>
    </row>
    <row r="3312" spans="1:2" x14ac:dyDescent="0.25">
      <c r="A3312" s="201"/>
      <c r="B3312" s="201"/>
    </row>
    <row r="3313" spans="1:2" x14ac:dyDescent="0.25">
      <c r="A3313" s="201"/>
      <c r="B3313" s="201"/>
    </row>
    <row r="3314" spans="1:2" x14ac:dyDescent="0.25">
      <c r="A3314" s="201"/>
      <c r="B3314" s="201"/>
    </row>
    <row r="3315" spans="1:2" x14ac:dyDescent="0.25">
      <c r="A3315" s="201"/>
      <c r="B3315" s="201"/>
    </row>
    <row r="3316" spans="1:2" x14ac:dyDescent="0.25">
      <c r="A3316" s="201"/>
      <c r="B3316" s="201"/>
    </row>
    <row r="3317" spans="1:2" x14ac:dyDescent="0.25">
      <c r="A3317" s="201"/>
      <c r="B3317" s="201"/>
    </row>
    <row r="3318" spans="1:2" x14ac:dyDescent="0.25">
      <c r="A3318" s="201"/>
      <c r="B3318" s="201"/>
    </row>
    <row r="3319" spans="1:2" x14ac:dyDescent="0.25">
      <c r="A3319" s="201"/>
      <c r="B3319" s="201"/>
    </row>
    <row r="3320" spans="1:2" x14ac:dyDescent="0.25">
      <c r="A3320" s="201"/>
      <c r="B3320" s="201"/>
    </row>
    <row r="3321" spans="1:2" x14ac:dyDescent="0.25">
      <c r="A3321" s="201"/>
      <c r="B3321" s="201"/>
    </row>
    <row r="3322" spans="1:2" x14ac:dyDescent="0.25">
      <c r="A3322" s="201"/>
      <c r="B3322" s="201"/>
    </row>
    <row r="3323" spans="1:2" x14ac:dyDescent="0.25">
      <c r="A3323" s="201"/>
      <c r="B3323" s="201"/>
    </row>
    <row r="3324" spans="1:2" x14ac:dyDescent="0.25">
      <c r="A3324" s="201"/>
      <c r="B3324" s="201"/>
    </row>
    <row r="3325" spans="1:2" x14ac:dyDescent="0.25">
      <c r="A3325" s="201"/>
      <c r="B3325" s="201"/>
    </row>
    <row r="3326" spans="1:2" x14ac:dyDescent="0.25">
      <c r="A3326" s="201"/>
      <c r="B3326" s="201"/>
    </row>
    <row r="3327" spans="1:2" x14ac:dyDescent="0.25">
      <c r="A3327" s="201"/>
      <c r="B3327" s="201"/>
    </row>
    <row r="3328" spans="1:2" x14ac:dyDescent="0.25">
      <c r="A3328" s="201"/>
      <c r="B3328" s="201"/>
    </row>
    <row r="3329" spans="1:2" x14ac:dyDescent="0.25">
      <c r="A3329" s="201"/>
      <c r="B3329" s="201"/>
    </row>
    <row r="3330" spans="1:2" x14ac:dyDescent="0.25">
      <c r="A3330" s="201"/>
      <c r="B3330" s="201"/>
    </row>
    <row r="3331" spans="1:2" x14ac:dyDescent="0.25">
      <c r="A3331" s="201"/>
      <c r="B3331" s="201"/>
    </row>
    <row r="3332" spans="1:2" x14ac:dyDescent="0.25">
      <c r="A3332" s="201"/>
      <c r="B3332" s="201"/>
    </row>
    <row r="3333" spans="1:2" x14ac:dyDescent="0.25">
      <c r="A3333" s="201"/>
      <c r="B3333" s="201"/>
    </row>
    <row r="3334" spans="1:2" x14ac:dyDescent="0.25">
      <c r="A3334" s="201"/>
      <c r="B3334" s="201"/>
    </row>
    <row r="3335" spans="1:2" x14ac:dyDescent="0.25">
      <c r="A3335" s="201"/>
      <c r="B3335" s="201"/>
    </row>
    <row r="3336" spans="1:2" x14ac:dyDescent="0.25">
      <c r="A3336" s="201"/>
      <c r="B3336" s="201"/>
    </row>
    <row r="3337" spans="1:2" x14ac:dyDescent="0.25">
      <c r="A3337" s="201"/>
      <c r="B3337" s="201"/>
    </row>
    <row r="3338" spans="1:2" x14ac:dyDescent="0.25">
      <c r="A3338" s="201"/>
      <c r="B3338" s="201"/>
    </row>
    <row r="3339" spans="1:2" x14ac:dyDescent="0.25">
      <c r="A3339" s="201"/>
      <c r="B3339" s="201"/>
    </row>
    <row r="3340" spans="1:2" x14ac:dyDescent="0.25">
      <c r="A3340" s="201"/>
      <c r="B3340" s="201"/>
    </row>
    <row r="3341" spans="1:2" x14ac:dyDescent="0.25">
      <c r="A3341" s="201"/>
      <c r="B3341" s="201"/>
    </row>
    <row r="3342" spans="1:2" x14ac:dyDescent="0.25">
      <c r="A3342" s="201"/>
      <c r="B3342" s="201"/>
    </row>
    <row r="3343" spans="1:2" x14ac:dyDescent="0.25">
      <c r="A3343" s="201"/>
      <c r="B3343" s="201"/>
    </row>
    <row r="3344" spans="1:2" x14ac:dyDescent="0.25">
      <c r="A3344" s="201"/>
      <c r="B3344" s="201"/>
    </row>
    <row r="3345" spans="1:2" x14ac:dyDescent="0.25">
      <c r="A3345" s="201"/>
      <c r="B3345" s="201"/>
    </row>
    <row r="3346" spans="1:2" x14ac:dyDescent="0.25">
      <c r="A3346" s="201"/>
      <c r="B3346" s="201"/>
    </row>
    <row r="3347" spans="1:2" x14ac:dyDescent="0.25">
      <c r="A3347" s="201"/>
      <c r="B3347" s="201"/>
    </row>
    <row r="3348" spans="1:2" x14ac:dyDescent="0.25">
      <c r="A3348" s="201"/>
      <c r="B3348" s="201"/>
    </row>
    <row r="3349" spans="1:2" x14ac:dyDescent="0.25">
      <c r="A3349" s="201"/>
      <c r="B3349" s="201"/>
    </row>
    <row r="3350" spans="1:2" x14ac:dyDescent="0.25">
      <c r="A3350" s="201"/>
      <c r="B3350" s="201"/>
    </row>
    <row r="3351" spans="1:2" x14ac:dyDescent="0.25">
      <c r="A3351" s="201"/>
      <c r="B3351" s="201"/>
    </row>
    <row r="3352" spans="1:2" x14ac:dyDescent="0.25">
      <c r="A3352" s="201"/>
      <c r="B3352" s="201"/>
    </row>
    <row r="3353" spans="1:2" x14ac:dyDescent="0.25">
      <c r="A3353" s="201"/>
      <c r="B3353" s="201"/>
    </row>
    <row r="3354" spans="1:2" x14ac:dyDescent="0.25">
      <c r="A3354" s="201"/>
      <c r="B3354" s="201"/>
    </row>
    <row r="3355" spans="1:2" x14ac:dyDescent="0.25">
      <c r="A3355" s="201"/>
      <c r="B3355" s="201"/>
    </row>
    <row r="3356" spans="1:2" x14ac:dyDescent="0.25">
      <c r="A3356" s="201"/>
      <c r="B3356" s="201"/>
    </row>
    <row r="3357" spans="1:2" x14ac:dyDescent="0.25">
      <c r="A3357" s="201"/>
      <c r="B3357" s="201"/>
    </row>
    <row r="3358" spans="1:2" x14ac:dyDescent="0.25">
      <c r="A3358" s="201"/>
      <c r="B3358" s="201"/>
    </row>
    <row r="3359" spans="1:2" x14ac:dyDescent="0.25">
      <c r="A3359" s="201"/>
      <c r="B3359" s="201"/>
    </row>
    <row r="3360" spans="1:2" x14ac:dyDescent="0.25">
      <c r="A3360" s="201"/>
      <c r="B3360" s="201"/>
    </row>
    <row r="3361" spans="1:2" x14ac:dyDescent="0.25">
      <c r="A3361" s="201"/>
      <c r="B3361" s="201"/>
    </row>
    <row r="3362" spans="1:2" x14ac:dyDescent="0.25">
      <c r="A3362" s="201"/>
      <c r="B3362" s="201"/>
    </row>
    <row r="3363" spans="1:2" x14ac:dyDescent="0.25">
      <c r="A3363" s="201"/>
      <c r="B3363" s="201"/>
    </row>
    <row r="3364" spans="1:2" x14ac:dyDescent="0.25">
      <c r="A3364" s="201"/>
      <c r="B3364" s="201"/>
    </row>
    <row r="3365" spans="1:2" x14ac:dyDescent="0.25">
      <c r="A3365" s="201"/>
      <c r="B3365" s="201"/>
    </row>
    <row r="3366" spans="1:2" x14ac:dyDescent="0.25">
      <c r="A3366" s="201"/>
      <c r="B3366" s="201"/>
    </row>
    <row r="3367" spans="1:2" x14ac:dyDescent="0.25">
      <c r="A3367" s="201"/>
      <c r="B3367" s="201"/>
    </row>
    <row r="3368" spans="1:2" x14ac:dyDescent="0.25">
      <c r="A3368" s="201"/>
      <c r="B3368" s="201"/>
    </row>
    <row r="3369" spans="1:2" x14ac:dyDescent="0.25">
      <c r="A3369" s="201"/>
      <c r="B3369" s="201"/>
    </row>
    <row r="3370" spans="1:2" x14ac:dyDescent="0.25">
      <c r="A3370" s="201"/>
      <c r="B3370" s="201"/>
    </row>
    <row r="3371" spans="1:2" x14ac:dyDescent="0.25">
      <c r="A3371" s="201"/>
      <c r="B3371" s="201"/>
    </row>
    <row r="3372" spans="1:2" x14ac:dyDescent="0.25">
      <c r="A3372" s="201"/>
      <c r="B3372" s="201"/>
    </row>
    <row r="3373" spans="1:2" x14ac:dyDescent="0.25">
      <c r="A3373" s="201"/>
      <c r="B3373" s="201"/>
    </row>
    <row r="3374" spans="1:2" x14ac:dyDescent="0.25">
      <c r="A3374" s="201"/>
      <c r="B3374" s="201"/>
    </row>
    <row r="3375" spans="1:2" x14ac:dyDescent="0.25">
      <c r="A3375" s="201"/>
      <c r="B3375" s="201"/>
    </row>
    <row r="3376" spans="1:2" x14ac:dyDescent="0.25">
      <c r="A3376" s="201"/>
      <c r="B3376" s="201"/>
    </row>
    <row r="3377" spans="1:2" x14ac:dyDescent="0.25">
      <c r="A3377" s="201"/>
      <c r="B3377" s="201"/>
    </row>
    <row r="3378" spans="1:2" x14ac:dyDescent="0.25">
      <c r="A3378" s="201"/>
      <c r="B3378" s="201"/>
    </row>
    <row r="3379" spans="1:2" x14ac:dyDescent="0.25">
      <c r="A3379" s="201"/>
      <c r="B3379" s="201"/>
    </row>
    <row r="3380" spans="1:2" x14ac:dyDescent="0.25">
      <c r="A3380" s="201"/>
      <c r="B3380" s="201"/>
    </row>
    <row r="3381" spans="1:2" x14ac:dyDescent="0.25">
      <c r="A3381" s="201"/>
      <c r="B3381" s="201"/>
    </row>
    <row r="3382" spans="1:2" x14ac:dyDescent="0.25">
      <c r="A3382" s="201"/>
      <c r="B3382" s="201"/>
    </row>
    <row r="3383" spans="1:2" x14ac:dyDescent="0.25">
      <c r="A3383" s="201"/>
      <c r="B3383" s="201"/>
    </row>
    <row r="3384" spans="1:2" x14ac:dyDescent="0.25">
      <c r="A3384" s="201"/>
      <c r="B3384" s="201"/>
    </row>
    <row r="3385" spans="1:2" x14ac:dyDescent="0.25">
      <c r="A3385" s="201"/>
      <c r="B3385" s="201"/>
    </row>
    <row r="3386" spans="1:2" x14ac:dyDescent="0.25">
      <c r="A3386" s="201"/>
      <c r="B3386" s="201"/>
    </row>
    <row r="3387" spans="1:2" x14ac:dyDescent="0.25">
      <c r="A3387" s="201"/>
      <c r="B3387" s="201"/>
    </row>
    <row r="3388" spans="1:2" x14ac:dyDescent="0.25">
      <c r="A3388" s="201"/>
      <c r="B3388" s="201"/>
    </row>
    <row r="3389" spans="1:2" x14ac:dyDescent="0.25">
      <c r="A3389" s="201"/>
      <c r="B3389" s="201"/>
    </row>
    <row r="3390" spans="1:2" x14ac:dyDescent="0.25">
      <c r="A3390" s="201"/>
      <c r="B3390" s="201"/>
    </row>
    <row r="3391" spans="1:2" x14ac:dyDescent="0.25">
      <c r="A3391" s="201"/>
      <c r="B3391" s="201"/>
    </row>
    <row r="3392" spans="1:2" x14ac:dyDescent="0.25">
      <c r="A3392" s="201"/>
      <c r="B3392" s="201"/>
    </row>
    <row r="3393" spans="1:2" x14ac:dyDescent="0.25">
      <c r="A3393" s="201"/>
      <c r="B3393" s="201"/>
    </row>
    <row r="3394" spans="1:2" x14ac:dyDescent="0.25">
      <c r="A3394" s="201"/>
      <c r="B3394" s="201"/>
    </row>
    <row r="3395" spans="1:2" x14ac:dyDescent="0.25">
      <c r="A3395" s="201"/>
      <c r="B3395" s="201"/>
    </row>
    <row r="3396" spans="1:2" x14ac:dyDescent="0.25">
      <c r="A3396" s="201"/>
      <c r="B3396" s="201"/>
    </row>
    <row r="3397" spans="1:2" x14ac:dyDescent="0.25">
      <c r="A3397" s="201"/>
      <c r="B3397" s="201"/>
    </row>
    <row r="3398" spans="1:2" x14ac:dyDescent="0.25">
      <c r="A3398" s="201"/>
      <c r="B3398" s="201"/>
    </row>
    <row r="3399" spans="1:2" x14ac:dyDescent="0.25">
      <c r="A3399" s="201"/>
      <c r="B3399" s="201"/>
    </row>
    <row r="3400" spans="1:2" x14ac:dyDescent="0.25">
      <c r="A3400" s="201"/>
      <c r="B3400" s="201"/>
    </row>
    <row r="3401" spans="1:2" x14ac:dyDescent="0.25">
      <c r="A3401" s="201"/>
      <c r="B3401" s="201"/>
    </row>
    <row r="3402" spans="1:2" x14ac:dyDescent="0.25">
      <c r="A3402" s="201"/>
      <c r="B3402" s="201"/>
    </row>
    <row r="3403" spans="1:2" x14ac:dyDescent="0.25">
      <c r="A3403" s="201"/>
      <c r="B3403" s="201"/>
    </row>
    <row r="3404" spans="1:2" x14ac:dyDescent="0.25">
      <c r="A3404" s="201"/>
      <c r="B3404" s="201"/>
    </row>
    <row r="3405" spans="1:2" x14ac:dyDescent="0.25">
      <c r="A3405" s="201"/>
      <c r="B3405" s="201"/>
    </row>
    <row r="3406" spans="1:2" x14ac:dyDescent="0.25">
      <c r="A3406" s="201"/>
      <c r="B3406" s="201"/>
    </row>
    <row r="3407" spans="1:2" x14ac:dyDescent="0.25">
      <c r="A3407" s="201"/>
      <c r="B3407" s="201"/>
    </row>
    <row r="3408" spans="1:2" x14ac:dyDescent="0.25">
      <c r="A3408" s="201"/>
      <c r="B3408" s="201"/>
    </row>
    <row r="3409" spans="1:2" x14ac:dyDescent="0.25">
      <c r="A3409" s="201"/>
      <c r="B3409" s="201"/>
    </row>
    <row r="3410" spans="1:2" x14ac:dyDescent="0.25">
      <c r="A3410" s="201"/>
      <c r="B3410" s="201"/>
    </row>
    <row r="3411" spans="1:2" x14ac:dyDescent="0.25">
      <c r="A3411" s="201"/>
      <c r="B3411" s="201"/>
    </row>
    <row r="3412" spans="1:2" x14ac:dyDescent="0.25">
      <c r="A3412" s="201"/>
      <c r="B3412" s="201"/>
    </row>
    <row r="3413" spans="1:2" x14ac:dyDescent="0.25">
      <c r="A3413" s="201"/>
      <c r="B3413" s="201"/>
    </row>
    <row r="3414" spans="1:2" x14ac:dyDescent="0.25">
      <c r="A3414" s="201"/>
      <c r="B3414" s="201"/>
    </row>
    <row r="3415" spans="1:2" x14ac:dyDescent="0.25">
      <c r="A3415" s="201"/>
      <c r="B3415" s="201"/>
    </row>
    <row r="3416" spans="1:2" x14ac:dyDescent="0.25">
      <c r="A3416" s="201"/>
      <c r="B3416" s="201"/>
    </row>
    <row r="3417" spans="1:2" x14ac:dyDescent="0.25">
      <c r="A3417" s="201"/>
      <c r="B3417" s="201"/>
    </row>
    <row r="3418" spans="1:2" x14ac:dyDescent="0.25">
      <c r="A3418" s="201"/>
      <c r="B3418" s="201"/>
    </row>
    <row r="3419" spans="1:2" x14ac:dyDescent="0.25">
      <c r="A3419" s="201"/>
      <c r="B3419" s="201"/>
    </row>
    <row r="3420" spans="1:2" x14ac:dyDescent="0.25">
      <c r="A3420" s="201"/>
      <c r="B3420" s="201"/>
    </row>
    <row r="3421" spans="1:2" x14ac:dyDescent="0.25">
      <c r="A3421" s="201"/>
      <c r="B3421" s="201"/>
    </row>
    <row r="3422" spans="1:2" x14ac:dyDescent="0.25">
      <c r="A3422" s="201"/>
      <c r="B3422" s="201"/>
    </row>
    <row r="3423" spans="1:2" x14ac:dyDescent="0.25">
      <c r="A3423" s="201"/>
      <c r="B3423" s="201"/>
    </row>
    <row r="3424" spans="1:2" x14ac:dyDescent="0.25">
      <c r="A3424" s="201"/>
      <c r="B3424" s="201"/>
    </row>
    <row r="3425" spans="1:2" x14ac:dyDescent="0.25">
      <c r="A3425" s="201"/>
      <c r="B3425" s="201"/>
    </row>
    <row r="3426" spans="1:2" x14ac:dyDescent="0.25">
      <c r="A3426" s="201"/>
      <c r="B3426" s="201"/>
    </row>
    <row r="3427" spans="1:2" x14ac:dyDescent="0.25">
      <c r="A3427" s="201"/>
      <c r="B3427" s="201"/>
    </row>
    <row r="3428" spans="1:2" x14ac:dyDescent="0.25">
      <c r="A3428" s="201"/>
      <c r="B3428" s="201"/>
    </row>
    <row r="3429" spans="1:2" x14ac:dyDescent="0.25">
      <c r="A3429" s="201"/>
      <c r="B3429" s="201"/>
    </row>
    <row r="3430" spans="1:2" x14ac:dyDescent="0.25">
      <c r="A3430" s="201"/>
      <c r="B3430" s="201"/>
    </row>
    <row r="3431" spans="1:2" x14ac:dyDescent="0.25">
      <c r="A3431" s="201"/>
      <c r="B3431" s="201"/>
    </row>
    <row r="3432" spans="1:2" x14ac:dyDescent="0.25">
      <c r="A3432" s="201"/>
      <c r="B3432" s="201"/>
    </row>
    <row r="3433" spans="1:2" x14ac:dyDescent="0.25">
      <c r="A3433" s="201"/>
      <c r="B3433" s="201"/>
    </row>
    <row r="3434" spans="1:2" x14ac:dyDescent="0.25">
      <c r="A3434" s="201"/>
      <c r="B3434" s="201"/>
    </row>
    <row r="3435" spans="1:2" x14ac:dyDescent="0.25">
      <c r="A3435" s="201"/>
      <c r="B3435" s="201"/>
    </row>
    <row r="3436" spans="1:2" x14ac:dyDescent="0.25">
      <c r="A3436" s="201"/>
      <c r="B3436" s="201"/>
    </row>
    <row r="3437" spans="1:2" x14ac:dyDescent="0.25">
      <c r="A3437" s="201"/>
      <c r="B3437" s="201"/>
    </row>
    <row r="3438" spans="1:2" x14ac:dyDescent="0.25">
      <c r="A3438" s="201"/>
      <c r="B3438" s="201"/>
    </row>
    <row r="3439" spans="1:2" x14ac:dyDescent="0.25">
      <c r="A3439" s="201"/>
      <c r="B3439" s="201"/>
    </row>
    <row r="3440" spans="1:2" x14ac:dyDescent="0.25">
      <c r="A3440" s="201"/>
      <c r="B3440" s="201"/>
    </row>
    <row r="3441" spans="1:2" x14ac:dyDescent="0.25">
      <c r="A3441" s="201"/>
      <c r="B3441" s="201"/>
    </row>
    <row r="3442" spans="1:2" x14ac:dyDescent="0.25">
      <c r="A3442" s="201"/>
      <c r="B3442" s="201"/>
    </row>
    <row r="3443" spans="1:2" x14ac:dyDescent="0.25">
      <c r="A3443" s="201"/>
      <c r="B3443" s="201"/>
    </row>
    <row r="3444" spans="1:2" x14ac:dyDescent="0.25">
      <c r="A3444" s="201"/>
      <c r="B3444" s="201"/>
    </row>
    <row r="3445" spans="1:2" x14ac:dyDescent="0.25">
      <c r="A3445" s="201"/>
      <c r="B3445" s="201"/>
    </row>
    <row r="3446" spans="1:2" x14ac:dyDescent="0.25">
      <c r="A3446" s="201"/>
      <c r="B3446" s="201"/>
    </row>
    <row r="3447" spans="1:2" x14ac:dyDescent="0.25">
      <c r="A3447" s="201"/>
      <c r="B3447" s="201"/>
    </row>
    <row r="3448" spans="1:2" x14ac:dyDescent="0.25">
      <c r="A3448" s="201"/>
      <c r="B3448" s="201"/>
    </row>
    <row r="3449" spans="1:2" x14ac:dyDescent="0.25">
      <c r="A3449" s="201"/>
      <c r="B3449" s="201"/>
    </row>
    <row r="3450" spans="1:2" x14ac:dyDescent="0.25">
      <c r="A3450" s="201"/>
      <c r="B3450" s="201"/>
    </row>
    <row r="3451" spans="1:2" x14ac:dyDescent="0.25">
      <c r="A3451" s="201"/>
      <c r="B3451" s="201"/>
    </row>
    <row r="3452" spans="1:2" x14ac:dyDescent="0.25">
      <c r="A3452" s="201"/>
      <c r="B3452" s="201"/>
    </row>
    <row r="3453" spans="1:2" x14ac:dyDescent="0.25">
      <c r="A3453" s="201"/>
      <c r="B3453" s="201"/>
    </row>
    <row r="3454" spans="1:2" x14ac:dyDescent="0.25">
      <c r="A3454" s="201"/>
      <c r="B3454" s="201"/>
    </row>
    <row r="3455" spans="1:2" x14ac:dyDescent="0.25">
      <c r="A3455" s="201"/>
      <c r="B3455" s="201"/>
    </row>
    <row r="3456" spans="1:2" x14ac:dyDescent="0.25">
      <c r="A3456" s="201"/>
      <c r="B3456" s="201"/>
    </row>
    <row r="3457" spans="1:2" x14ac:dyDescent="0.25">
      <c r="A3457" s="201"/>
      <c r="B3457" s="201"/>
    </row>
    <row r="3458" spans="1:2" x14ac:dyDescent="0.25">
      <c r="A3458" s="201"/>
      <c r="B3458" s="201"/>
    </row>
    <row r="3459" spans="1:2" x14ac:dyDescent="0.25">
      <c r="A3459" s="201"/>
      <c r="B3459" s="201"/>
    </row>
    <row r="3460" spans="1:2" x14ac:dyDescent="0.25">
      <c r="A3460" s="201"/>
      <c r="B3460" s="201"/>
    </row>
    <row r="3461" spans="1:2" x14ac:dyDescent="0.25">
      <c r="A3461" s="201"/>
      <c r="B3461" s="201"/>
    </row>
    <row r="3462" spans="1:2" x14ac:dyDescent="0.25">
      <c r="A3462" s="201"/>
      <c r="B3462" s="201"/>
    </row>
    <row r="3463" spans="1:2" x14ac:dyDescent="0.25">
      <c r="A3463" s="201"/>
      <c r="B3463" s="201"/>
    </row>
    <row r="3464" spans="1:2" x14ac:dyDescent="0.25">
      <c r="A3464" s="201"/>
      <c r="B3464" s="201"/>
    </row>
    <row r="3465" spans="1:2" x14ac:dyDescent="0.25">
      <c r="A3465" s="201"/>
      <c r="B3465" s="201"/>
    </row>
    <row r="3466" spans="1:2" x14ac:dyDescent="0.25">
      <c r="A3466" s="201"/>
      <c r="B3466" s="201"/>
    </row>
    <row r="3467" spans="1:2" x14ac:dyDescent="0.25">
      <c r="A3467" s="201"/>
      <c r="B3467" s="201"/>
    </row>
    <row r="3468" spans="1:2" x14ac:dyDescent="0.25">
      <c r="A3468" s="201"/>
      <c r="B3468" s="201"/>
    </row>
    <row r="3469" spans="1:2" x14ac:dyDescent="0.25">
      <c r="A3469" s="201"/>
      <c r="B3469" s="201"/>
    </row>
    <row r="3470" spans="1:2" x14ac:dyDescent="0.25">
      <c r="A3470" s="201"/>
      <c r="B3470" s="201"/>
    </row>
    <row r="3471" spans="1:2" x14ac:dyDescent="0.25">
      <c r="A3471" s="201"/>
      <c r="B3471" s="201"/>
    </row>
    <row r="3472" spans="1:2" x14ac:dyDescent="0.25">
      <c r="A3472" s="201"/>
      <c r="B3472" s="201"/>
    </row>
    <row r="3473" spans="1:2" x14ac:dyDescent="0.25">
      <c r="A3473" s="201"/>
      <c r="B3473" s="201"/>
    </row>
    <row r="3474" spans="1:2" x14ac:dyDescent="0.25">
      <c r="A3474" s="201"/>
      <c r="B3474" s="201"/>
    </row>
    <row r="3475" spans="1:2" x14ac:dyDescent="0.25">
      <c r="A3475" s="201"/>
      <c r="B3475" s="201"/>
    </row>
    <row r="3476" spans="1:2" x14ac:dyDescent="0.25">
      <c r="A3476" s="201"/>
      <c r="B3476" s="201"/>
    </row>
    <row r="3477" spans="1:2" x14ac:dyDescent="0.25">
      <c r="A3477" s="201"/>
      <c r="B3477" s="201"/>
    </row>
    <row r="3478" spans="1:2" x14ac:dyDescent="0.25">
      <c r="A3478" s="201"/>
      <c r="B3478" s="201"/>
    </row>
    <row r="3479" spans="1:2" x14ac:dyDescent="0.25">
      <c r="A3479" s="201"/>
      <c r="B3479" s="201"/>
    </row>
    <row r="3480" spans="1:2" x14ac:dyDescent="0.25">
      <c r="A3480" s="201"/>
      <c r="B3480" s="201"/>
    </row>
    <row r="3481" spans="1:2" x14ac:dyDescent="0.25">
      <c r="A3481" s="201"/>
      <c r="B3481" s="201"/>
    </row>
    <row r="3482" spans="1:2" x14ac:dyDescent="0.25">
      <c r="A3482" s="201"/>
      <c r="B3482" s="201"/>
    </row>
    <row r="3483" spans="1:2" x14ac:dyDescent="0.25">
      <c r="A3483" s="201"/>
      <c r="B3483" s="201"/>
    </row>
    <row r="3484" spans="1:2" x14ac:dyDescent="0.25">
      <c r="A3484" s="201"/>
      <c r="B3484" s="201"/>
    </row>
    <row r="3485" spans="1:2" x14ac:dyDescent="0.25">
      <c r="A3485" s="201"/>
      <c r="B3485" s="201"/>
    </row>
    <row r="3486" spans="1:2" x14ac:dyDescent="0.25">
      <c r="A3486" s="201"/>
      <c r="B3486" s="201"/>
    </row>
    <row r="3487" spans="1:2" x14ac:dyDescent="0.25">
      <c r="A3487" s="201"/>
      <c r="B3487" s="201"/>
    </row>
    <row r="3488" spans="1:2" x14ac:dyDescent="0.25">
      <c r="A3488" s="201"/>
      <c r="B3488" s="201"/>
    </row>
    <row r="3489" spans="1:2" x14ac:dyDescent="0.25">
      <c r="A3489" s="201"/>
      <c r="B3489" s="201"/>
    </row>
    <row r="3490" spans="1:2" x14ac:dyDescent="0.25">
      <c r="A3490" s="201"/>
      <c r="B3490" s="201"/>
    </row>
    <row r="3491" spans="1:2" x14ac:dyDescent="0.25">
      <c r="A3491" s="201"/>
      <c r="B3491" s="201"/>
    </row>
    <row r="3492" spans="1:2" x14ac:dyDescent="0.25">
      <c r="A3492" s="201"/>
      <c r="B3492" s="201"/>
    </row>
    <row r="3493" spans="1:2" x14ac:dyDescent="0.25">
      <c r="A3493" s="201"/>
      <c r="B3493" s="201"/>
    </row>
    <row r="3494" spans="1:2" x14ac:dyDescent="0.25">
      <c r="A3494" s="201"/>
      <c r="B3494" s="201"/>
    </row>
    <row r="3495" spans="1:2" x14ac:dyDescent="0.25">
      <c r="A3495" s="201"/>
      <c r="B3495" s="201"/>
    </row>
    <row r="3496" spans="1:2" x14ac:dyDescent="0.25">
      <c r="A3496" s="201"/>
      <c r="B3496" s="201"/>
    </row>
    <row r="3497" spans="1:2" x14ac:dyDescent="0.25">
      <c r="A3497" s="201"/>
      <c r="B3497" s="201"/>
    </row>
    <row r="3498" spans="1:2" x14ac:dyDescent="0.25">
      <c r="A3498" s="201"/>
      <c r="B3498" s="201"/>
    </row>
    <row r="3499" spans="1:2" x14ac:dyDescent="0.25">
      <c r="A3499" s="201"/>
      <c r="B3499" s="201"/>
    </row>
    <row r="3500" spans="1:2" x14ac:dyDescent="0.25">
      <c r="A3500" s="201"/>
      <c r="B3500" s="201"/>
    </row>
    <row r="3501" spans="1:2" x14ac:dyDescent="0.25">
      <c r="A3501" s="201"/>
      <c r="B3501" s="201"/>
    </row>
    <row r="3502" spans="1:2" x14ac:dyDescent="0.25">
      <c r="A3502" s="201"/>
      <c r="B3502" s="201"/>
    </row>
    <row r="3503" spans="1:2" x14ac:dyDescent="0.25">
      <c r="A3503" s="201"/>
      <c r="B3503" s="201"/>
    </row>
    <row r="3504" spans="1:2" x14ac:dyDescent="0.25">
      <c r="A3504" s="201"/>
      <c r="B3504" s="201"/>
    </row>
    <row r="3505" spans="1:2" x14ac:dyDescent="0.25">
      <c r="A3505" s="201"/>
      <c r="B3505" s="201"/>
    </row>
    <row r="3506" spans="1:2" x14ac:dyDescent="0.25">
      <c r="A3506" s="201"/>
      <c r="B3506" s="201"/>
    </row>
    <row r="3507" spans="1:2" x14ac:dyDescent="0.25">
      <c r="A3507" s="201"/>
      <c r="B3507" s="201"/>
    </row>
    <row r="3508" spans="1:2" x14ac:dyDescent="0.25">
      <c r="A3508" s="201"/>
      <c r="B3508" s="201"/>
    </row>
    <row r="3509" spans="1:2" x14ac:dyDescent="0.25">
      <c r="A3509" s="201"/>
      <c r="B3509" s="201"/>
    </row>
    <row r="3510" spans="1:2" x14ac:dyDescent="0.25">
      <c r="A3510" s="201"/>
      <c r="B3510" s="201"/>
    </row>
    <row r="3511" spans="1:2" x14ac:dyDescent="0.25">
      <c r="A3511" s="201"/>
      <c r="B3511" s="201"/>
    </row>
    <row r="3512" spans="1:2" x14ac:dyDescent="0.25">
      <c r="A3512" s="201"/>
      <c r="B3512" s="201"/>
    </row>
    <row r="3513" spans="1:2" x14ac:dyDescent="0.25">
      <c r="A3513" s="201"/>
      <c r="B3513" s="201"/>
    </row>
    <row r="3514" spans="1:2" x14ac:dyDescent="0.25">
      <c r="A3514" s="201"/>
      <c r="B3514" s="201"/>
    </row>
    <row r="3515" spans="1:2" x14ac:dyDescent="0.25">
      <c r="A3515" s="201"/>
      <c r="B3515" s="201"/>
    </row>
    <row r="3516" spans="1:2" x14ac:dyDescent="0.25">
      <c r="A3516" s="201"/>
      <c r="B3516" s="201"/>
    </row>
    <row r="3517" spans="1:2" x14ac:dyDescent="0.25">
      <c r="A3517" s="201"/>
      <c r="B3517" s="201"/>
    </row>
    <row r="3518" spans="1:2" x14ac:dyDescent="0.25">
      <c r="A3518" s="201"/>
      <c r="B3518" s="201"/>
    </row>
    <row r="3519" spans="1:2" x14ac:dyDescent="0.25">
      <c r="A3519" s="201"/>
      <c r="B3519" s="201"/>
    </row>
    <row r="3520" spans="1:2" x14ac:dyDescent="0.25">
      <c r="A3520" s="201"/>
      <c r="B3520" s="201"/>
    </row>
    <row r="3521" spans="1:2" x14ac:dyDescent="0.25">
      <c r="A3521" s="201"/>
      <c r="B3521" s="201"/>
    </row>
    <row r="3522" spans="1:2" x14ac:dyDescent="0.25">
      <c r="A3522" s="201"/>
      <c r="B3522" s="201"/>
    </row>
    <row r="3523" spans="1:2" x14ac:dyDescent="0.25">
      <c r="A3523" s="201"/>
      <c r="B3523" s="201"/>
    </row>
    <row r="3524" spans="1:2" x14ac:dyDescent="0.25">
      <c r="A3524" s="201"/>
      <c r="B3524" s="201"/>
    </row>
    <row r="3525" spans="1:2" x14ac:dyDescent="0.25">
      <c r="A3525" s="201"/>
      <c r="B3525" s="201"/>
    </row>
    <row r="3526" spans="1:2" x14ac:dyDescent="0.25">
      <c r="A3526" s="201"/>
      <c r="B3526" s="201"/>
    </row>
    <row r="3527" spans="1:2" x14ac:dyDescent="0.25">
      <c r="A3527" s="201"/>
      <c r="B3527" s="201"/>
    </row>
    <row r="3528" spans="1:2" x14ac:dyDescent="0.25">
      <c r="A3528" s="201"/>
      <c r="B3528" s="201"/>
    </row>
    <row r="3529" spans="1:2" x14ac:dyDescent="0.25">
      <c r="A3529" s="201"/>
      <c r="B3529" s="201"/>
    </row>
    <row r="3530" spans="1:2" x14ac:dyDescent="0.25">
      <c r="A3530" s="201"/>
      <c r="B3530" s="201"/>
    </row>
    <row r="3531" spans="1:2" x14ac:dyDescent="0.25">
      <c r="A3531" s="201"/>
      <c r="B3531" s="201"/>
    </row>
    <row r="3532" spans="1:2" x14ac:dyDescent="0.25">
      <c r="A3532" s="201"/>
      <c r="B3532" s="201"/>
    </row>
    <row r="3533" spans="1:2" x14ac:dyDescent="0.25">
      <c r="A3533" s="201"/>
      <c r="B3533" s="201"/>
    </row>
    <row r="3534" spans="1:2" x14ac:dyDescent="0.25">
      <c r="A3534" s="201"/>
      <c r="B3534" s="201"/>
    </row>
    <row r="3535" spans="1:2" x14ac:dyDescent="0.25">
      <c r="A3535" s="201"/>
      <c r="B3535" s="201"/>
    </row>
    <row r="3536" spans="1:2" x14ac:dyDescent="0.25">
      <c r="A3536" s="201"/>
      <c r="B3536" s="201"/>
    </row>
    <row r="3537" spans="1:2" x14ac:dyDescent="0.25">
      <c r="A3537" s="201"/>
      <c r="B3537" s="201"/>
    </row>
    <row r="3538" spans="1:2" x14ac:dyDescent="0.25">
      <c r="A3538" s="201"/>
      <c r="B3538" s="201"/>
    </row>
    <row r="3539" spans="1:2" x14ac:dyDescent="0.25">
      <c r="A3539" s="201"/>
      <c r="B3539" s="201"/>
    </row>
    <row r="3540" spans="1:2" x14ac:dyDescent="0.25">
      <c r="A3540" s="201"/>
      <c r="B3540" s="201"/>
    </row>
    <row r="3541" spans="1:2" x14ac:dyDescent="0.25">
      <c r="A3541" s="201"/>
      <c r="B3541" s="201"/>
    </row>
    <row r="3542" spans="1:2" x14ac:dyDescent="0.25">
      <c r="A3542" s="201"/>
      <c r="B3542" s="201"/>
    </row>
    <row r="3543" spans="1:2" x14ac:dyDescent="0.25">
      <c r="A3543" s="201"/>
      <c r="B3543" s="201"/>
    </row>
    <row r="3544" spans="1:2" x14ac:dyDescent="0.25">
      <c r="A3544" s="201"/>
      <c r="B3544" s="201"/>
    </row>
    <row r="3545" spans="1:2" x14ac:dyDescent="0.25">
      <c r="A3545" s="201"/>
      <c r="B3545" s="201"/>
    </row>
    <row r="3546" spans="1:2" x14ac:dyDescent="0.25">
      <c r="A3546" s="201"/>
      <c r="B3546" s="201"/>
    </row>
    <row r="3547" spans="1:2" x14ac:dyDescent="0.25">
      <c r="A3547" s="201"/>
      <c r="B3547" s="201"/>
    </row>
    <row r="3548" spans="1:2" x14ac:dyDescent="0.25">
      <c r="A3548" s="201"/>
      <c r="B3548" s="201"/>
    </row>
    <row r="3549" spans="1:2" x14ac:dyDescent="0.25">
      <c r="A3549" s="201"/>
      <c r="B3549" s="201"/>
    </row>
    <row r="3550" spans="1:2" x14ac:dyDescent="0.25">
      <c r="A3550" s="201"/>
      <c r="B3550" s="201"/>
    </row>
    <row r="3551" spans="1:2" x14ac:dyDescent="0.25">
      <c r="A3551" s="201"/>
      <c r="B3551" s="201"/>
    </row>
    <row r="3552" spans="1:2" x14ac:dyDescent="0.25">
      <c r="A3552" s="201"/>
      <c r="B3552" s="201"/>
    </row>
    <row r="3553" spans="1:2" x14ac:dyDescent="0.25">
      <c r="A3553" s="201"/>
      <c r="B3553" s="201"/>
    </row>
    <row r="3554" spans="1:2" x14ac:dyDescent="0.25">
      <c r="A3554" s="201"/>
      <c r="B3554" s="201"/>
    </row>
    <row r="3555" spans="1:2" x14ac:dyDescent="0.25">
      <c r="A3555" s="201"/>
      <c r="B3555" s="201"/>
    </row>
    <row r="3556" spans="1:2" x14ac:dyDescent="0.25">
      <c r="A3556" s="201"/>
      <c r="B3556" s="201"/>
    </row>
    <row r="3557" spans="1:2" x14ac:dyDescent="0.25">
      <c r="A3557" s="201"/>
      <c r="B3557" s="201"/>
    </row>
    <row r="3558" spans="1:2" x14ac:dyDescent="0.25">
      <c r="A3558" s="201"/>
      <c r="B3558" s="201"/>
    </row>
    <row r="3559" spans="1:2" x14ac:dyDescent="0.25">
      <c r="A3559" s="201"/>
      <c r="B3559" s="201"/>
    </row>
    <row r="3560" spans="1:2" x14ac:dyDescent="0.25">
      <c r="A3560" s="201"/>
      <c r="B3560" s="201"/>
    </row>
    <row r="3561" spans="1:2" x14ac:dyDescent="0.25">
      <c r="A3561" s="201"/>
      <c r="B3561" s="201"/>
    </row>
    <row r="3562" spans="1:2" x14ac:dyDescent="0.25">
      <c r="A3562" s="201"/>
      <c r="B3562" s="201"/>
    </row>
    <row r="3563" spans="1:2" x14ac:dyDescent="0.25">
      <c r="A3563" s="201"/>
      <c r="B3563" s="201"/>
    </row>
    <row r="3564" spans="1:2" x14ac:dyDescent="0.25">
      <c r="A3564" s="201"/>
      <c r="B3564" s="201"/>
    </row>
    <row r="3565" spans="1:2" x14ac:dyDescent="0.25">
      <c r="A3565" s="201"/>
      <c r="B3565" s="201"/>
    </row>
    <row r="3566" spans="1:2" x14ac:dyDescent="0.25">
      <c r="A3566" s="201"/>
      <c r="B3566" s="201"/>
    </row>
    <row r="3567" spans="1:2" x14ac:dyDescent="0.25">
      <c r="A3567" s="201"/>
      <c r="B3567" s="201"/>
    </row>
    <row r="3568" spans="1:2" x14ac:dyDescent="0.25">
      <c r="A3568" s="201"/>
      <c r="B3568" s="201"/>
    </row>
    <row r="3569" spans="1:2" x14ac:dyDescent="0.25">
      <c r="A3569" s="201"/>
      <c r="B3569" s="201"/>
    </row>
    <row r="3570" spans="1:2" x14ac:dyDescent="0.25">
      <c r="A3570" s="201"/>
      <c r="B3570" s="201"/>
    </row>
    <row r="3571" spans="1:2" x14ac:dyDescent="0.25">
      <c r="A3571" s="201"/>
      <c r="B3571" s="201"/>
    </row>
    <row r="3572" spans="1:2" x14ac:dyDescent="0.25">
      <c r="A3572" s="201"/>
      <c r="B3572" s="201"/>
    </row>
    <row r="3573" spans="1:2" x14ac:dyDescent="0.25">
      <c r="A3573" s="201"/>
      <c r="B3573" s="201"/>
    </row>
    <row r="3574" spans="1:2" x14ac:dyDescent="0.25">
      <c r="A3574" s="201"/>
      <c r="B3574" s="201"/>
    </row>
    <row r="3575" spans="1:2" x14ac:dyDescent="0.25">
      <c r="A3575" s="201"/>
      <c r="B3575" s="201"/>
    </row>
    <row r="3576" spans="1:2" x14ac:dyDescent="0.25">
      <c r="A3576" s="201"/>
      <c r="B3576" s="201"/>
    </row>
    <row r="3577" spans="1:2" x14ac:dyDescent="0.25">
      <c r="A3577" s="201"/>
      <c r="B3577" s="201"/>
    </row>
    <row r="3578" spans="1:2" x14ac:dyDescent="0.25">
      <c r="A3578" s="201"/>
      <c r="B3578" s="201"/>
    </row>
    <row r="3579" spans="1:2" x14ac:dyDescent="0.25">
      <c r="A3579" s="201"/>
      <c r="B3579" s="201"/>
    </row>
    <row r="3580" spans="1:2" x14ac:dyDescent="0.25">
      <c r="A3580" s="201"/>
      <c r="B3580" s="201"/>
    </row>
    <row r="3581" spans="1:2" x14ac:dyDescent="0.25">
      <c r="A3581" s="201"/>
      <c r="B3581" s="201"/>
    </row>
    <row r="3582" spans="1:2" x14ac:dyDescent="0.25">
      <c r="A3582" s="201"/>
      <c r="B3582" s="201"/>
    </row>
    <row r="3583" spans="1:2" x14ac:dyDescent="0.25">
      <c r="A3583" s="201"/>
      <c r="B3583" s="201"/>
    </row>
    <row r="3584" spans="1:2" x14ac:dyDescent="0.25">
      <c r="A3584" s="201"/>
      <c r="B3584" s="201"/>
    </row>
    <row r="3585" spans="1:2" x14ac:dyDescent="0.25">
      <c r="A3585" s="201"/>
      <c r="B3585" s="201"/>
    </row>
    <row r="3586" spans="1:2" x14ac:dyDescent="0.25">
      <c r="A3586" s="201"/>
      <c r="B3586" s="201"/>
    </row>
    <row r="3587" spans="1:2" x14ac:dyDescent="0.25">
      <c r="A3587" s="201"/>
      <c r="B3587" s="201"/>
    </row>
    <row r="3588" spans="1:2" x14ac:dyDescent="0.25">
      <c r="A3588" s="201"/>
      <c r="B3588" s="201"/>
    </row>
    <row r="3589" spans="1:2" x14ac:dyDescent="0.25">
      <c r="A3589" s="201"/>
      <c r="B3589" s="201"/>
    </row>
    <row r="3590" spans="1:2" x14ac:dyDescent="0.25">
      <c r="A3590" s="201"/>
      <c r="B3590" s="201"/>
    </row>
    <row r="3591" spans="1:2" x14ac:dyDescent="0.25">
      <c r="A3591" s="201"/>
      <c r="B3591" s="201"/>
    </row>
    <row r="3592" spans="1:2" x14ac:dyDescent="0.25">
      <c r="A3592" s="201"/>
      <c r="B3592" s="201"/>
    </row>
    <row r="3593" spans="1:2" x14ac:dyDescent="0.25">
      <c r="A3593" s="201"/>
      <c r="B3593" s="201"/>
    </row>
    <row r="3594" spans="1:2" x14ac:dyDescent="0.25">
      <c r="A3594" s="201"/>
      <c r="B3594" s="201"/>
    </row>
    <row r="3595" spans="1:2" x14ac:dyDescent="0.25">
      <c r="A3595" s="201"/>
      <c r="B3595" s="201"/>
    </row>
    <row r="3596" spans="1:2" x14ac:dyDescent="0.25">
      <c r="A3596" s="201"/>
      <c r="B3596" s="201"/>
    </row>
    <row r="3597" spans="1:2" x14ac:dyDescent="0.25">
      <c r="A3597" s="201"/>
      <c r="B3597" s="201"/>
    </row>
    <row r="3598" spans="1:2" x14ac:dyDescent="0.25">
      <c r="A3598" s="201"/>
      <c r="B3598" s="201"/>
    </row>
    <row r="3599" spans="1:2" x14ac:dyDescent="0.25">
      <c r="A3599" s="201"/>
      <c r="B3599" s="201"/>
    </row>
    <row r="3600" spans="1:2" x14ac:dyDescent="0.25">
      <c r="A3600" s="201"/>
      <c r="B3600" s="201"/>
    </row>
    <row r="3601" spans="1:2" x14ac:dyDescent="0.25">
      <c r="A3601" s="201"/>
      <c r="B3601" s="201"/>
    </row>
    <row r="3602" spans="1:2" x14ac:dyDescent="0.25">
      <c r="A3602" s="201"/>
      <c r="B3602" s="201"/>
    </row>
    <row r="3603" spans="1:2" x14ac:dyDescent="0.25">
      <c r="A3603" s="201"/>
      <c r="B3603" s="201"/>
    </row>
    <row r="3604" spans="1:2" x14ac:dyDescent="0.25">
      <c r="A3604" s="201"/>
      <c r="B3604" s="201"/>
    </row>
    <row r="3605" spans="1:2" x14ac:dyDescent="0.25">
      <c r="A3605" s="201"/>
      <c r="B3605" s="201"/>
    </row>
    <row r="3606" spans="1:2" x14ac:dyDescent="0.25">
      <c r="A3606" s="201"/>
      <c r="B3606" s="201"/>
    </row>
    <row r="3607" spans="1:2" x14ac:dyDescent="0.25">
      <c r="A3607" s="201"/>
      <c r="B3607" s="201"/>
    </row>
    <row r="3608" spans="1:2" x14ac:dyDescent="0.25">
      <c r="A3608" s="201"/>
      <c r="B3608" s="201"/>
    </row>
    <row r="3609" spans="1:2" x14ac:dyDescent="0.25">
      <c r="A3609" s="201"/>
      <c r="B3609" s="201"/>
    </row>
    <row r="3610" spans="1:2" x14ac:dyDescent="0.25">
      <c r="A3610" s="201"/>
      <c r="B3610" s="201"/>
    </row>
    <row r="3611" spans="1:2" x14ac:dyDescent="0.25">
      <c r="A3611" s="201"/>
      <c r="B3611" s="201"/>
    </row>
    <row r="3612" spans="1:2" x14ac:dyDescent="0.25">
      <c r="A3612" s="201"/>
      <c r="B3612" s="201"/>
    </row>
    <row r="3613" spans="1:2" x14ac:dyDescent="0.25">
      <c r="A3613" s="201"/>
      <c r="B3613" s="201"/>
    </row>
    <row r="3614" spans="1:2" x14ac:dyDescent="0.25">
      <c r="A3614" s="201"/>
      <c r="B3614" s="201"/>
    </row>
    <row r="3615" spans="1:2" x14ac:dyDescent="0.25">
      <c r="A3615" s="201"/>
      <c r="B3615" s="201"/>
    </row>
    <row r="3616" spans="1:2" x14ac:dyDescent="0.25">
      <c r="A3616" s="201"/>
      <c r="B3616" s="201"/>
    </row>
    <row r="3617" spans="1:2" x14ac:dyDescent="0.25">
      <c r="A3617" s="201"/>
      <c r="B3617" s="201"/>
    </row>
    <row r="3618" spans="1:2" x14ac:dyDescent="0.25">
      <c r="A3618" s="201"/>
      <c r="B3618" s="201"/>
    </row>
    <row r="3619" spans="1:2" x14ac:dyDescent="0.25">
      <c r="A3619" s="201"/>
      <c r="B3619" s="201"/>
    </row>
    <row r="3620" spans="1:2" x14ac:dyDescent="0.25">
      <c r="A3620" s="201"/>
      <c r="B3620" s="201"/>
    </row>
    <row r="3621" spans="1:2" x14ac:dyDescent="0.25">
      <c r="A3621" s="201"/>
      <c r="B3621" s="201"/>
    </row>
    <row r="3622" spans="1:2" x14ac:dyDescent="0.25">
      <c r="A3622" s="201"/>
      <c r="B3622" s="201"/>
    </row>
    <row r="3623" spans="1:2" x14ac:dyDescent="0.25">
      <c r="A3623" s="201"/>
      <c r="B3623" s="201"/>
    </row>
    <row r="3624" spans="1:2" x14ac:dyDescent="0.25">
      <c r="A3624" s="201"/>
      <c r="B3624" s="201"/>
    </row>
    <row r="3625" spans="1:2" x14ac:dyDescent="0.25">
      <c r="A3625" s="201"/>
      <c r="B3625" s="201"/>
    </row>
    <row r="3626" spans="1:2" x14ac:dyDescent="0.25">
      <c r="A3626" s="201"/>
      <c r="B3626" s="201"/>
    </row>
    <row r="3627" spans="1:2" x14ac:dyDescent="0.25">
      <c r="A3627" s="201"/>
      <c r="B3627" s="201"/>
    </row>
    <row r="3628" spans="1:2" x14ac:dyDescent="0.25">
      <c r="A3628" s="201"/>
      <c r="B3628" s="201"/>
    </row>
    <row r="3629" spans="1:2" x14ac:dyDescent="0.25">
      <c r="A3629" s="201"/>
      <c r="B3629" s="201"/>
    </row>
    <row r="3630" spans="1:2" x14ac:dyDescent="0.25">
      <c r="A3630" s="201"/>
      <c r="B3630" s="201"/>
    </row>
    <row r="3631" spans="1:2" x14ac:dyDescent="0.25">
      <c r="A3631" s="201"/>
      <c r="B3631" s="201"/>
    </row>
    <row r="3632" spans="1:2" x14ac:dyDescent="0.25">
      <c r="A3632" s="201"/>
      <c r="B3632" s="201"/>
    </row>
    <row r="3633" spans="1:2" x14ac:dyDescent="0.25">
      <c r="A3633" s="201"/>
      <c r="B3633" s="201"/>
    </row>
    <row r="3634" spans="1:2" x14ac:dyDescent="0.25">
      <c r="A3634" s="201"/>
      <c r="B3634" s="201"/>
    </row>
    <row r="3635" spans="1:2" x14ac:dyDescent="0.25">
      <c r="A3635" s="201"/>
      <c r="B3635" s="201"/>
    </row>
    <row r="3636" spans="1:2" x14ac:dyDescent="0.25">
      <c r="A3636" s="201"/>
      <c r="B3636" s="201"/>
    </row>
    <row r="3637" spans="1:2" x14ac:dyDescent="0.25">
      <c r="A3637" s="201"/>
      <c r="B3637" s="201"/>
    </row>
    <row r="3638" spans="1:2" x14ac:dyDescent="0.25">
      <c r="A3638" s="201"/>
      <c r="B3638" s="201"/>
    </row>
    <row r="3639" spans="1:2" x14ac:dyDescent="0.25">
      <c r="A3639" s="201"/>
      <c r="B3639" s="201"/>
    </row>
    <row r="3640" spans="1:2" x14ac:dyDescent="0.25">
      <c r="A3640" s="201"/>
      <c r="B3640" s="201"/>
    </row>
    <row r="3641" spans="1:2" x14ac:dyDescent="0.25">
      <c r="A3641" s="201"/>
      <c r="B3641" s="201"/>
    </row>
    <row r="3642" spans="1:2" x14ac:dyDescent="0.25">
      <c r="A3642" s="201"/>
      <c r="B3642" s="201"/>
    </row>
    <row r="3643" spans="1:2" x14ac:dyDescent="0.25">
      <c r="A3643" s="201"/>
      <c r="B3643" s="201"/>
    </row>
    <row r="3644" spans="1:2" x14ac:dyDescent="0.25">
      <c r="A3644" s="201"/>
      <c r="B3644" s="201"/>
    </row>
    <row r="3645" spans="1:2" x14ac:dyDescent="0.25">
      <c r="A3645" s="201"/>
      <c r="B3645" s="201"/>
    </row>
    <row r="3646" spans="1:2" x14ac:dyDescent="0.25">
      <c r="A3646" s="201"/>
      <c r="B3646" s="201"/>
    </row>
    <row r="3647" spans="1:2" x14ac:dyDescent="0.25">
      <c r="A3647" s="201"/>
      <c r="B3647" s="201"/>
    </row>
    <row r="3648" spans="1:2" x14ac:dyDescent="0.25">
      <c r="A3648" s="201"/>
      <c r="B3648" s="201"/>
    </row>
    <row r="3649" spans="1:2" x14ac:dyDescent="0.25">
      <c r="A3649" s="201"/>
      <c r="B3649" s="201"/>
    </row>
    <row r="3650" spans="1:2" x14ac:dyDescent="0.25">
      <c r="A3650" s="201"/>
      <c r="B3650" s="201"/>
    </row>
    <row r="3651" spans="1:2" x14ac:dyDescent="0.25">
      <c r="A3651" s="201"/>
      <c r="B3651" s="201"/>
    </row>
    <row r="3652" spans="1:2" x14ac:dyDescent="0.25">
      <c r="A3652" s="201"/>
      <c r="B3652" s="201"/>
    </row>
    <row r="3653" spans="1:2" x14ac:dyDescent="0.25">
      <c r="A3653" s="201"/>
      <c r="B3653" s="201"/>
    </row>
    <row r="3654" spans="1:2" x14ac:dyDescent="0.25">
      <c r="A3654" s="201"/>
      <c r="B3654" s="201"/>
    </row>
    <row r="3655" spans="1:2" x14ac:dyDescent="0.25">
      <c r="A3655" s="201"/>
      <c r="B3655" s="201"/>
    </row>
    <row r="3656" spans="1:2" x14ac:dyDescent="0.25">
      <c r="A3656" s="201"/>
      <c r="B3656" s="201"/>
    </row>
    <row r="3657" spans="1:2" x14ac:dyDescent="0.25">
      <c r="A3657" s="201"/>
      <c r="B3657" s="201"/>
    </row>
    <row r="3658" spans="1:2" x14ac:dyDescent="0.25">
      <c r="A3658" s="201"/>
      <c r="B3658" s="201"/>
    </row>
    <row r="3659" spans="1:2" x14ac:dyDescent="0.25">
      <c r="A3659" s="201"/>
      <c r="B3659" s="201"/>
    </row>
    <row r="3660" spans="1:2" x14ac:dyDescent="0.25">
      <c r="A3660" s="201"/>
      <c r="B3660" s="201"/>
    </row>
    <row r="3661" spans="1:2" x14ac:dyDescent="0.25">
      <c r="A3661" s="201"/>
      <c r="B3661" s="201"/>
    </row>
    <row r="3662" spans="1:2" x14ac:dyDescent="0.25">
      <c r="A3662" s="201"/>
      <c r="B3662" s="201"/>
    </row>
    <row r="3663" spans="1:2" x14ac:dyDescent="0.25">
      <c r="A3663" s="201"/>
      <c r="B3663" s="201"/>
    </row>
    <row r="3664" spans="1:2" x14ac:dyDescent="0.25">
      <c r="A3664" s="201"/>
      <c r="B3664" s="201"/>
    </row>
    <row r="3665" spans="1:2" x14ac:dyDescent="0.25">
      <c r="A3665" s="201"/>
      <c r="B3665" s="201"/>
    </row>
    <row r="3666" spans="1:2" x14ac:dyDescent="0.25">
      <c r="A3666" s="201"/>
      <c r="B3666" s="201"/>
    </row>
    <row r="3667" spans="1:2" x14ac:dyDescent="0.25">
      <c r="A3667" s="201"/>
      <c r="B3667" s="201"/>
    </row>
    <row r="3668" spans="1:2" x14ac:dyDescent="0.25">
      <c r="A3668" s="201"/>
      <c r="B3668" s="201"/>
    </row>
    <row r="3669" spans="1:2" x14ac:dyDescent="0.25">
      <c r="A3669" s="201"/>
      <c r="B3669" s="201"/>
    </row>
    <row r="3670" spans="1:2" x14ac:dyDescent="0.25">
      <c r="A3670" s="201"/>
      <c r="B3670" s="201"/>
    </row>
    <row r="3671" spans="1:2" x14ac:dyDescent="0.25">
      <c r="A3671" s="201"/>
      <c r="B3671" s="201"/>
    </row>
    <row r="3672" spans="1:2" x14ac:dyDescent="0.25">
      <c r="A3672" s="201"/>
      <c r="B3672" s="201"/>
    </row>
    <row r="3673" spans="1:2" x14ac:dyDescent="0.25">
      <c r="A3673" s="201"/>
      <c r="B3673" s="201"/>
    </row>
    <row r="3674" spans="1:2" x14ac:dyDescent="0.25">
      <c r="A3674" s="201"/>
      <c r="B3674" s="201"/>
    </row>
    <row r="3675" spans="1:2" x14ac:dyDescent="0.25">
      <c r="A3675" s="201"/>
      <c r="B3675" s="201"/>
    </row>
    <row r="3676" spans="1:2" x14ac:dyDescent="0.25">
      <c r="A3676" s="201"/>
      <c r="B3676" s="201"/>
    </row>
    <row r="3677" spans="1:2" x14ac:dyDescent="0.25">
      <c r="A3677" s="201"/>
      <c r="B3677" s="201"/>
    </row>
    <row r="3678" spans="1:2" x14ac:dyDescent="0.25">
      <c r="A3678" s="201"/>
      <c r="B3678" s="201"/>
    </row>
    <row r="3679" spans="1:2" x14ac:dyDescent="0.25">
      <c r="A3679" s="201"/>
      <c r="B3679" s="201"/>
    </row>
    <row r="3680" spans="1:2" x14ac:dyDescent="0.25">
      <c r="A3680" s="201"/>
      <c r="B3680" s="201"/>
    </row>
    <row r="3681" spans="1:2" x14ac:dyDescent="0.25">
      <c r="A3681" s="201"/>
      <c r="B3681" s="201"/>
    </row>
    <row r="3682" spans="1:2" x14ac:dyDescent="0.25">
      <c r="A3682" s="201"/>
      <c r="B3682" s="201"/>
    </row>
    <row r="3683" spans="1:2" x14ac:dyDescent="0.25">
      <c r="A3683" s="201"/>
      <c r="B3683" s="201"/>
    </row>
    <row r="3684" spans="1:2" x14ac:dyDescent="0.25">
      <c r="A3684" s="201"/>
      <c r="B3684" s="201"/>
    </row>
    <row r="3685" spans="1:2" x14ac:dyDescent="0.25">
      <c r="A3685" s="201"/>
      <c r="B3685" s="201"/>
    </row>
    <row r="3686" spans="1:2" x14ac:dyDescent="0.25">
      <c r="A3686" s="201"/>
      <c r="B3686" s="201"/>
    </row>
    <row r="3687" spans="1:2" x14ac:dyDescent="0.25">
      <c r="A3687" s="201"/>
      <c r="B3687" s="201"/>
    </row>
    <row r="3688" spans="1:2" x14ac:dyDescent="0.25">
      <c r="A3688" s="201"/>
      <c r="B3688" s="201"/>
    </row>
    <row r="3689" spans="1:2" x14ac:dyDescent="0.25">
      <c r="A3689" s="201"/>
      <c r="B3689" s="201"/>
    </row>
    <row r="3690" spans="1:2" x14ac:dyDescent="0.25">
      <c r="A3690" s="201"/>
      <c r="B3690" s="201"/>
    </row>
    <row r="3691" spans="1:2" x14ac:dyDescent="0.25">
      <c r="A3691" s="201"/>
      <c r="B3691" s="201"/>
    </row>
    <row r="3692" spans="1:2" x14ac:dyDescent="0.25">
      <c r="A3692" s="201"/>
      <c r="B3692" s="201"/>
    </row>
    <row r="3693" spans="1:2" x14ac:dyDescent="0.25">
      <c r="A3693" s="201"/>
      <c r="B3693" s="201"/>
    </row>
    <row r="3694" spans="1:2" x14ac:dyDescent="0.25">
      <c r="A3694" s="201"/>
      <c r="B3694" s="201"/>
    </row>
    <row r="3695" spans="1:2" x14ac:dyDescent="0.25">
      <c r="A3695" s="201"/>
      <c r="B3695" s="201"/>
    </row>
    <row r="3696" spans="1:2" x14ac:dyDescent="0.25">
      <c r="A3696" s="201"/>
      <c r="B3696" s="201"/>
    </row>
    <row r="3697" spans="1:2" x14ac:dyDescent="0.25">
      <c r="A3697" s="201"/>
      <c r="B3697" s="201"/>
    </row>
    <row r="3698" spans="1:2" x14ac:dyDescent="0.25">
      <c r="A3698" s="201"/>
      <c r="B3698" s="201"/>
    </row>
    <row r="3699" spans="1:2" x14ac:dyDescent="0.25">
      <c r="A3699" s="201"/>
      <c r="B3699" s="201"/>
    </row>
    <row r="3700" spans="1:2" x14ac:dyDescent="0.25">
      <c r="A3700" s="201"/>
      <c r="B3700" s="201"/>
    </row>
    <row r="3701" spans="1:2" x14ac:dyDescent="0.25">
      <c r="A3701" s="201"/>
      <c r="B3701" s="201"/>
    </row>
    <row r="3702" spans="1:2" x14ac:dyDescent="0.25">
      <c r="A3702" s="201"/>
      <c r="B3702" s="201"/>
    </row>
    <row r="3703" spans="1:2" x14ac:dyDescent="0.25">
      <c r="A3703" s="201"/>
      <c r="B3703" s="201"/>
    </row>
    <row r="3704" spans="1:2" x14ac:dyDescent="0.25">
      <c r="A3704" s="201"/>
      <c r="B3704" s="201"/>
    </row>
    <row r="3705" spans="1:2" x14ac:dyDescent="0.25">
      <c r="A3705" s="201"/>
      <c r="B3705" s="201"/>
    </row>
    <row r="3706" spans="1:2" x14ac:dyDescent="0.25">
      <c r="A3706" s="201"/>
      <c r="B3706" s="201"/>
    </row>
    <row r="3707" spans="1:2" x14ac:dyDescent="0.25">
      <c r="A3707" s="201"/>
      <c r="B3707" s="201"/>
    </row>
    <row r="3708" spans="1:2" x14ac:dyDescent="0.25">
      <c r="A3708" s="201"/>
      <c r="B3708" s="201"/>
    </row>
    <row r="3709" spans="1:2" x14ac:dyDescent="0.25">
      <c r="A3709" s="201"/>
      <c r="B3709" s="201"/>
    </row>
    <row r="3710" spans="1:2" x14ac:dyDescent="0.25">
      <c r="A3710" s="201"/>
      <c r="B3710" s="201"/>
    </row>
    <row r="3711" spans="1:2" x14ac:dyDescent="0.25">
      <c r="A3711" s="201"/>
      <c r="B3711" s="201"/>
    </row>
    <row r="3712" spans="1:2" x14ac:dyDescent="0.25">
      <c r="A3712" s="201"/>
      <c r="B3712" s="201"/>
    </row>
    <row r="3713" spans="1:2" x14ac:dyDescent="0.25">
      <c r="A3713" s="201"/>
      <c r="B3713" s="201"/>
    </row>
    <row r="3714" spans="1:2" x14ac:dyDescent="0.25">
      <c r="A3714" s="201"/>
      <c r="B3714" s="201"/>
    </row>
    <row r="3715" spans="1:2" x14ac:dyDescent="0.25">
      <c r="A3715" s="201"/>
      <c r="B3715" s="201"/>
    </row>
    <row r="3716" spans="1:2" x14ac:dyDescent="0.25">
      <c r="A3716" s="201"/>
      <c r="B3716" s="201"/>
    </row>
    <row r="3717" spans="1:2" x14ac:dyDescent="0.25">
      <c r="A3717" s="201"/>
      <c r="B3717" s="201"/>
    </row>
    <row r="3718" spans="1:2" x14ac:dyDescent="0.25">
      <c r="A3718" s="201"/>
      <c r="B3718" s="201"/>
    </row>
    <row r="3719" spans="1:2" x14ac:dyDescent="0.25">
      <c r="A3719" s="201"/>
      <c r="B3719" s="201"/>
    </row>
    <row r="3720" spans="1:2" x14ac:dyDescent="0.25">
      <c r="A3720" s="201"/>
      <c r="B3720" s="201"/>
    </row>
    <row r="3721" spans="1:2" x14ac:dyDescent="0.25">
      <c r="A3721" s="201"/>
      <c r="B3721" s="201"/>
    </row>
    <row r="3722" spans="1:2" x14ac:dyDescent="0.25">
      <c r="A3722" s="201"/>
      <c r="B3722" s="201"/>
    </row>
    <row r="3723" spans="1:2" x14ac:dyDescent="0.25">
      <c r="A3723" s="201"/>
      <c r="B3723" s="201"/>
    </row>
    <row r="3724" spans="1:2" x14ac:dyDescent="0.25">
      <c r="A3724" s="201"/>
      <c r="B3724" s="201"/>
    </row>
    <row r="3725" spans="1:2" x14ac:dyDescent="0.25">
      <c r="A3725" s="201"/>
      <c r="B3725" s="201"/>
    </row>
    <row r="3726" spans="1:2" x14ac:dyDescent="0.25">
      <c r="A3726" s="201"/>
      <c r="B3726" s="201"/>
    </row>
    <row r="3727" spans="1:2" x14ac:dyDescent="0.25">
      <c r="A3727" s="201"/>
      <c r="B3727" s="201"/>
    </row>
    <row r="3728" spans="1:2" x14ac:dyDescent="0.25">
      <c r="A3728" s="201"/>
      <c r="B3728" s="201"/>
    </row>
    <row r="3729" spans="1:2" x14ac:dyDescent="0.25">
      <c r="A3729" s="201"/>
      <c r="B3729" s="201"/>
    </row>
    <row r="3730" spans="1:2" x14ac:dyDescent="0.25">
      <c r="A3730" s="201"/>
      <c r="B3730" s="201"/>
    </row>
    <row r="3731" spans="1:2" x14ac:dyDescent="0.25">
      <c r="A3731" s="201"/>
      <c r="B3731" s="201"/>
    </row>
    <row r="3732" spans="1:2" x14ac:dyDescent="0.25">
      <c r="A3732" s="201"/>
      <c r="B3732" s="201"/>
    </row>
    <row r="3733" spans="1:2" x14ac:dyDescent="0.25">
      <c r="A3733" s="201"/>
      <c r="B3733" s="201"/>
    </row>
    <row r="3734" spans="1:2" x14ac:dyDescent="0.25">
      <c r="A3734" s="201"/>
      <c r="B3734" s="201"/>
    </row>
    <row r="3735" spans="1:2" x14ac:dyDescent="0.25">
      <c r="A3735" s="201"/>
      <c r="B3735" s="201"/>
    </row>
    <row r="3736" spans="1:2" x14ac:dyDescent="0.25">
      <c r="A3736" s="201"/>
      <c r="B3736" s="201"/>
    </row>
    <row r="3737" spans="1:2" x14ac:dyDescent="0.25">
      <c r="A3737" s="201"/>
      <c r="B3737" s="201"/>
    </row>
    <row r="3738" spans="1:2" x14ac:dyDescent="0.25">
      <c r="A3738" s="201"/>
      <c r="B3738" s="201"/>
    </row>
    <row r="3739" spans="1:2" x14ac:dyDescent="0.25">
      <c r="A3739" s="201"/>
      <c r="B3739" s="201"/>
    </row>
    <row r="3740" spans="1:2" x14ac:dyDescent="0.25">
      <c r="A3740" s="201"/>
      <c r="B3740" s="201"/>
    </row>
    <row r="3741" spans="1:2" x14ac:dyDescent="0.25">
      <c r="A3741" s="201"/>
      <c r="B3741" s="201"/>
    </row>
    <row r="3742" spans="1:2" x14ac:dyDescent="0.25">
      <c r="A3742" s="201"/>
      <c r="B3742" s="201"/>
    </row>
    <row r="3743" spans="1:2" x14ac:dyDescent="0.25">
      <c r="A3743" s="201"/>
      <c r="B3743" s="201"/>
    </row>
    <row r="3744" spans="1:2" x14ac:dyDescent="0.25">
      <c r="A3744" s="201"/>
      <c r="B3744" s="201"/>
    </row>
    <row r="3745" spans="1:2" x14ac:dyDescent="0.25">
      <c r="A3745" s="201"/>
      <c r="B3745" s="201"/>
    </row>
    <row r="3746" spans="1:2" x14ac:dyDescent="0.25">
      <c r="A3746" s="201"/>
      <c r="B3746" s="201"/>
    </row>
    <row r="3747" spans="1:2" x14ac:dyDescent="0.25">
      <c r="A3747" s="201"/>
      <c r="B3747" s="201"/>
    </row>
    <row r="3748" spans="1:2" x14ac:dyDescent="0.25">
      <c r="A3748" s="201"/>
      <c r="B3748" s="201"/>
    </row>
    <row r="3749" spans="1:2" x14ac:dyDescent="0.25">
      <c r="A3749" s="201"/>
      <c r="B3749" s="201"/>
    </row>
    <row r="3750" spans="1:2" x14ac:dyDescent="0.25">
      <c r="A3750" s="201"/>
      <c r="B3750" s="201"/>
    </row>
    <row r="3751" spans="1:2" x14ac:dyDescent="0.25">
      <c r="A3751" s="201"/>
      <c r="B3751" s="201"/>
    </row>
    <row r="3752" spans="1:2" x14ac:dyDescent="0.25">
      <c r="A3752" s="201"/>
      <c r="B3752" s="201"/>
    </row>
    <row r="3753" spans="1:2" x14ac:dyDescent="0.25">
      <c r="A3753" s="201"/>
      <c r="B3753" s="201"/>
    </row>
    <row r="3754" spans="1:2" x14ac:dyDescent="0.25">
      <c r="A3754" s="201"/>
      <c r="B3754" s="201"/>
    </row>
    <row r="3755" spans="1:2" x14ac:dyDescent="0.25">
      <c r="A3755" s="201"/>
      <c r="B3755" s="201"/>
    </row>
    <row r="3756" spans="1:2" x14ac:dyDescent="0.25">
      <c r="A3756" s="201"/>
      <c r="B3756" s="201"/>
    </row>
    <row r="3757" spans="1:2" x14ac:dyDescent="0.25">
      <c r="A3757" s="201"/>
      <c r="B3757" s="201"/>
    </row>
    <row r="3758" spans="1:2" x14ac:dyDescent="0.25">
      <c r="A3758" s="201"/>
      <c r="B3758" s="201"/>
    </row>
    <row r="3759" spans="1:2" x14ac:dyDescent="0.25">
      <c r="A3759" s="201"/>
      <c r="B3759" s="201"/>
    </row>
    <row r="3760" spans="1:2" x14ac:dyDescent="0.25">
      <c r="A3760" s="201"/>
      <c r="B3760" s="201"/>
    </row>
    <row r="3761" spans="1:2" x14ac:dyDescent="0.25">
      <c r="A3761" s="201"/>
      <c r="B3761" s="201"/>
    </row>
    <row r="3762" spans="1:2" x14ac:dyDescent="0.25">
      <c r="A3762" s="201"/>
      <c r="B3762" s="201"/>
    </row>
    <row r="3763" spans="1:2" x14ac:dyDescent="0.25">
      <c r="A3763" s="201"/>
      <c r="B3763" s="201"/>
    </row>
    <row r="3764" spans="1:2" x14ac:dyDescent="0.25">
      <c r="A3764" s="201"/>
      <c r="B3764" s="201"/>
    </row>
    <row r="3765" spans="1:2" x14ac:dyDescent="0.25">
      <c r="A3765" s="201"/>
      <c r="B3765" s="201"/>
    </row>
    <row r="3766" spans="1:2" x14ac:dyDescent="0.25">
      <c r="A3766" s="201"/>
      <c r="B3766" s="201"/>
    </row>
    <row r="3767" spans="1:2" x14ac:dyDescent="0.25">
      <c r="A3767" s="201"/>
      <c r="B3767" s="201"/>
    </row>
    <row r="3768" spans="1:2" x14ac:dyDescent="0.25">
      <c r="A3768" s="201"/>
      <c r="B3768" s="201"/>
    </row>
    <row r="3769" spans="1:2" x14ac:dyDescent="0.25">
      <c r="A3769" s="201"/>
      <c r="B3769" s="201"/>
    </row>
    <row r="3770" spans="1:2" x14ac:dyDescent="0.25">
      <c r="A3770" s="201"/>
      <c r="B3770" s="201"/>
    </row>
    <row r="3771" spans="1:2" x14ac:dyDescent="0.25">
      <c r="A3771" s="201"/>
      <c r="B3771" s="201"/>
    </row>
    <row r="3772" spans="1:2" x14ac:dyDescent="0.25">
      <c r="A3772" s="201"/>
      <c r="B3772" s="201"/>
    </row>
    <row r="3773" spans="1:2" x14ac:dyDescent="0.25">
      <c r="A3773" s="201"/>
      <c r="B3773" s="201"/>
    </row>
    <row r="3774" spans="1:2" x14ac:dyDescent="0.25">
      <c r="A3774" s="201"/>
      <c r="B3774" s="201"/>
    </row>
    <row r="3775" spans="1:2" x14ac:dyDescent="0.25">
      <c r="A3775" s="201"/>
      <c r="B3775" s="201"/>
    </row>
    <row r="3776" spans="1:2" x14ac:dyDescent="0.25">
      <c r="A3776" s="201"/>
      <c r="B3776" s="201"/>
    </row>
    <row r="3777" spans="1:2" x14ac:dyDescent="0.25">
      <c r="A3777" s="201"/>
      <c r="B3777" s="201"/>
    </row>
    <row r="3778" spans="1:2" x14ac:dyDescent="0.25">
      <c r="A3778" s="201"/>
      <c r="B3778" s="201"/>
    </row>
    <row r="3779" spans="1:2" x14ac:dyDescent="0.25">
      <c r="A3779" s="201"/>
      <c r="B3779" s="201"/>
    </row>
    <row r="3780" spans="1:2" x14ac:dyDescent="0.25">
      <c r="A3780" s="201"/>
      <c r="B3780" s="201"/>
    </row>
    <row r="3781" spans="1:2" x14ac:dyDescent="0.25">
      <c r="A3781" s="201"/>
      <c r="B3781" s="201"/>
    </row>
    <row r="3782" spans="1:2" x14ac:dyDescent="0.25">
      <c r="A3782" s="201"/>
      <c r="B3782" s="201"/>
    </row>
    <row r="3783" spans="1:2" x14ac:dyDescent="0.25">
      <c r="A3783" s="201"/>
      <c r="B3783" s="201"/>
    </row>
    <row r="3784" spans="1:2" x14ac:dyDescent="0.25">
      <c r="A3784" s="201"/>
      <c r="B3784" s="201"/>
    </row>
    <row r="3785" spans="1:2" x14ac:dyDescent="0.25">
      <c r="A3785" s="201"/>
      <c r="B3785" s="201"/>
    </row>
    <row r="3786" spans="1:2" x14ac:dyDescent="0.25">
      <c r="A3786" s="201"/>
      <c r="B3786" s="201"/>
    </row>
    <row r="3787" spans="1:2" x14ac:dyDescent="0.25">
      <c r="A3787" s="201"/>
      <c r="B3787" s="201"/>
    </row>
    <row r="3788" spans="1:2" x14ac:dyDescent="0.25">
      <c r="A3788" s="201"/>
      <c r="B3788" s="201"/>
    </row>
    <row r="3789" spans="1:2" x14ac:dyDescent="0.25">
      <c r="A3789" s="201"/>
      <c r="B3789" s="201"/>
    </row>
    <row r="3790" spans="1:2" x14ac:dyDescent="0.25">
      <c r="A3790" s="201"/>
      <c r="B3790" s="201"/>
    </row>
    <row r="3791" spans="1:2" x14ac:dyDescent="0.25">
      <c r="A3791" s="201"/>
      <c r="B3791" s="201"/>
    </row>
    <row r="3792" spans="1:2" x14ac:dyDescent="0.25">
      <c r="A3792" s="201"/>
      <c r="B3792" s="201"/>
    </row>
    <row r="3793" spans="1:2" x14ac:dyDescent="0.25">
      <c r="A3793" s="201"/>
      <c r="B3793" s="201"/>
    </row>
    <row r="3794" spans="1:2" x14ac:dyDescent="0.25">
      <c r="A3794" s="201"/>
      <c r="B3794" s="201"/>
    </row>
    <row r="3795" spans="1:2" x14ac:dyDescent="0.25">
      <c r="A3795" s="201"/>
      <c r="B3795" s="201"/>
    </row>
    <row r="3796" spans="1:2" x14ac:dyDescent="0.25">
      <c r="A3796" s="201"/>
      <c r="B3796" s="201"/>
    </row>
    <row r="3797" spans="1:2" x14ac:dyDescent="0.25">
      <c r="A3797" s="201"/>
      <c r="B3797" s="201"/>
    </row>
    <row r="3798" spans="1:2" x14ac:dyDescent="0.25">
      <c r="A3798" s="201"/>
      <c r="B3798" s="201"/>
    </row>
    <row r="3799" spans="1:2" x14ac:dyDescent="0.25">
      <c r="A3799" s="201"/>
      <c r="B3799" s="201"/>
    </row>
    <row r="3800" spans="1:2" x14ac:dyDescent="0.25">
      <c r="A3800" s="201"/>
      <c r="B3800" s="201"/>
    </row>
    <row r="3801" spans="1:2" x14ac:dyDescent="0.25">
      <c r="A3801" s="201"/>
      <c r="B3801" s="201"/>
    </row>
    <row r="3802" spans="1:2" x14ac:dyDescent="0.25">
      <c r="A3802" s="201"/>
      <c r="B3802" s="201"/>
    </row>
    <row r="3803" spans="1:2" x14ac:dyDescent="0.25">
      <c r="A3803" s="201"/>
      <c r="B3803" s="201"/>
    </row>
    <row r="3804" spans="1:2" x14ac:dyDescent="0.25">
      <c r="A3804" s="201"/>
      <c r="B3804" s="201"/>
    </row>
    <row r="3805" spans="1:2" x14ac:dyDescent="0.25">
      <c r="A3805" s="201"/>
      <c r="B3805" s="201"/>
    </row>
    <row r="3806" spans="1:2" x14ac:dyDescent="0.25">
      <c r="A3806" s="201"/>
      <c r="B3806" s="201"/>
    </row>
    <row r="3807" spans="1:2" x14ac:dyDescent="0.25">
      <c r="A3807" s="201"/>
      <c r="B3807" s="201"/>
    </row>
    <row r="3808" spans="1:2" x14ac:dyDescent="0.25">
      <c r="A3808" s="201"/>
      <c r="B3808" s="201"/>
    </row>
    <row r="3809" spans="1:2" x14ac:dyDescent="0.25">
      <c r="A3809" s="201"/>
      <c r="B3809" s="201"/>
    </row>
    <row r="3810" spans="1:2" x14ac:dyDescent="0.25">
      <c r="A3810" s="201"/>
      <c r="B3810" s="201"/>
    </row>
    <row r="3811" spans="1:2" x14ac:dyDescent="0.25">
      <c r="A3811" s="201"/>
      <c r="B3811" s="201"/>
    </row>
    <row r="3812" spans="1:2" x14ac:dyDescent="0.25">
      <c r="A3812" s="201"/>
      <c r="B3812" s="201"/>
    </row>
    <row r="3813" spans="1:2" x14ac:dyDescent="0.25">
      <c r="A3813" s="201"/>
      <c r="B3813" s="201"/>
    </row>
    <row r="3814" spans="1:2" x14ac:dyDescent="0.25">
      <c r="A3814" s="201"/>
      <c r="B3814" s="201"/>
    </row>
    <row r="3815" spans="1:2" x14ac:dyDescent="0.25">
      <c r="A3815" s="201"/>
      <c r="B3815" s="201"/>
    </row>
    <row r="3816" spans="1:2" x14ac:dyDescent="0.25">
      <c r="A3816" s="201"/>
      <c r="B3816" s="201"/>
    </row>
    <row r="3817" spans="1:2" x14ac:dyDescent="0.25">
      <c r="A3817" s="201"/>
      <c r="B3817" s="201"/>
    </row>
    <row r="3818" spans="1:2" x14ac:dyDescent="0.25">
      <c r="A3818" s="201"/>
      <c r="B3818" s="201"/>
    </row>
    <row r="3819" spans="1:2" x14ac:dyDescent="0.25">
      <c r="A3819" s="201"/>
      <c r="B3819" s="201"/>
    </row>
    <row r="3820" spans="1:2" x14ac:dyDescent="0.25">
      <c r="A3820" s="201"/>
      <c r="B3820" s="201"/>
    </row>
    <row r="3821" spans="1:2" x14ac:dyDescent="0.25">
      <c r="A3821" s="201"/>
      <c r="B3821" s="201"/>
    </row>
    <row r="3822" spans="1:2" x14ac:dyDescent="0.25">
      <c r="A3822" s="201"/>
      <c r="B3822" s="201"/>
    </row>
    <row r="3823" spans="1:2" x14ac:dyDescent="0.25">
      <c r="A3823" s="201"/>
      <c r="B3823" s="201"/>
    </row>
    <row r="3824" spans="1:2" x14ac:dyDescent="0.25">
      <c r="A3824" s="201"/>
      <c r="B3824" s="201"/>
    </row>
    <row r="3825" spans="1:2" x14ac:dyDescent="0.25">
      <c r="A3825" s="201"/>
      <c r="B3825" s="201"/>
    </row>
    <row r="3826" spans="1:2" x14ac:dyDescent="0.25">
      <c r="A3826" s="201"/>
      <c r="B3826" s="201"/>
    </row>
    <row r="3827" spans="1:2" x14ac:dyDescent="0.25">
      <c r="A3827" s="201"/>
      <c r="B3827" s="201"/>
    </row>
    <row r="3828" spans="1:2" x14ac:dyDescent="0.25">
      <c r="A3828" s="201"/>
      <c r="B3828" s="201"/>
    </row>
    <row r="3829" spans="1:2" x14ac:dyDescent="0.25">
      <c r="A3829" s="201"/>
      <c r="B3829" s="201"/>
    </row>
    <row r="3830" spans="1:2" x14ac:dyDescent="0.25">
      <c r="A3830" s="201"/>
      <c r="B3830" s="201"/>
    </row>
    <row r="3831" spans="1:2" x14ac:dyDescent="0.25">
      <c r="A3831" s="201"/>
      <c r="B3831" s="201"/>
    </row>
    <row r="3832" spans="1:2" x14ac:dyDescent="0.25">
      <c r="A3832" s="201"/>
      <c r="B3832" s="201"/>
    </row>
    <row r="3833" spans="1:2" x14ac:dyDescent="0.25">
      <c r="A3833" s="201"/>
      <c r="B3833" s="201"/>
    </row>
    <row r="3834" spans="1:2" x14ac:dyDescent="0.25">
      <c r="A3834" s="201"/>
      <c r="B3834" s="201"/>
    </row>
    <row r="3835" spans="1:2" x14ac:dyDescent="0.25">
      <c r="A3835" s="201"/>
      <c r="B3835" s="201"/>
    </row>
    <row r="3836" spans="1:2" x14ac:dyDescent="0.25">
      <c r="A3836" s="201"/>
      <c r="B3836" s="201"/>
    </row>
    <row r="3837" spans="1:2" x14ac:dyDescent="0.25">
      <c r="A3837" s="201"/>
      <c r="B3837" s="201"/>
    </row>
    <row r="3838" spans="1:2" x14ac:dyDescent="0.25">
      <c r="A3838" s="201"/>
      <c r="B3838" s="201"/>
    </row>
    <row r="3839" spans="1:2" x14ac:dyDescent="0.25">
      <c r="A3839" s="201"/>
      <c r="B3839" s="201"/>
    </row>
    <row r="3840" spans="1:2" x14ac:dyDescent="0.25">
      <c r="A3840" s="201"/>
      <c r="B3840" s="201"/>
    </row>
    <row r="3841" spans="1:2" x14ac:dyDescent="0.25">
      <c r="A3841" s="201"/>
      <c r="B3841" s="201"/>
    </row>
    <row r="3842" spans="1:2" x14ac:dyDescent="0.25">
      <c r="A3842" s="201"/>
      <c r="B3842" s="201"/>
    </row>
    <row r="3843" spans="1:2" x14ac:dyDescent="0.25">
      <c r="A3843" s="201"/>
      <c r="B3843" s="201"/>
    </row>
    <row r="3844" spans="1:2" x14ac:dyDescent="0.25">
      <c r="A3844" s="201"/>
      <c r="B3844" s="201"/>
    </row>
    <row r="3845" spans="1:2" x14ac:dyDescent="0.25">
      <c r="A3845" s="201"/>
      <c r="B3845" s="201"/>
    </row>
    <row r="3846" spans="1:2" x14ac:dyDescent="0.25">
      <c r="A3846" s="201"/>
      <c r="B3846" s="201"/>
    </row>
    <row r="3847" spans="1:2" x14ac:dyDescent="0.25">
      <c r="A3847" s="201"/>
      <c r="B3847" s="201"/>
    </row>
    <row r="3848" spans="1:2" x14ac:dyDescent="0.25">
      <c r="A3848" s="201"/>
      <c r="B3848" s="201"/>
    </row>
    <row r="3849" spans="1:2" x14ac:dyDescent="0.25">
      <c r="A3849" s="201"/>
      <c r="B3849" s="201"/>
    </row>
    <row r="3850" spans="1:2" x14ac:dyDescent="0.25">
      <c r="A3850" s="201"/>
      <c r="B3850" s="201"/>
    </row>
    <row r="3851" spans="1:2" x14ac:dyDescent="0.25">
      <c r="A3851" s="201"/>
      <c r="B3851" s="201"/>
    </row>
    <row r="3852" spans="1:2" x14ac:dyDescent="0.25">
      <c r="A3852" s="201"/>
      <c r="B3852" s="201"/>
    </row>
    <row r="3853" spans="1:2" x14ac:dyDescent="0.25">
      <c r="A3853" s="201"/>
      <c r="B3853" s="201"/>
    </row>
    <row r="3854" spans="1:2" x14ac:dyDescent="0.25">
      <c r="A3854" s="201"/>
      <c r="B3854" s="201"/>
    </row>
    <row r="3855" spans="1:2" x14ac:dyDescent="0.25">
      <c r="A3855" s="201"/>
      <c r="B3855" s="201"/>
    </row>
    <row r="3856" spans="1:2" x14ac:dyDescent="0.25">
      <c r="A3856" s="201"/>
      <c r="B3856" s="201"/>
    </row>
    <row r="3857" spans="1:2" x14ac:dyDescent="0.25">
      <c r="A3857" s="201"/>
      <c r="B3857" s="201"/>
    </row>
    <row r="3858" spans="1:2" x14ac:dyDescent="0.25">
      <c r="A3858" s="201"/>
      <c r="B3858" s="201"/>
    </row>
    <row r="3859" spans="1:2" x14ac:dyDescent="0.25">
      <c r="A3859" s="201"/>
      <c r="B3859" s="201"/>
    </row>
    <row r="3860" spans="1:2" x14ac:dyDescent="0.25">
      <c r="A3860" s="201"/>
      <c r="B3860" s="201"/>
    </row>
    <row r="3861" spans="1:2" x14ac:dyDescent="0.25">
      <c r="A3861" s="201"/>
      <c r="B3861" s="201"/>
    </row>
    <row r="3862" spans="1:2" x14ac:dyDescent="0.25">
      <c r="A3862" s="201"/>
      <c r="B3862" s="201"/>
    </row>
    <row r="3863" spans="1:2" x14ac:dyDescent="0.25">
      <c r="A3863" s="201"/>
      <c r="B3863" s="201"/>
    </row>
    <row r="3864" spans="1:2" x14ac:dyDescent="0.25">
      <c r="A3864" s="201"/>
      <c r="B3864" s="201"/>
    </row>
    <row r="3865" spans="1:2" x14ac:dyDescent="0.25">
      <c r="A3865" s="201"/>
      <c r="B3865" s="201"/>
    </row>
    <row r="3866" spans="1:2" x14ac:dyDescent="0.25">
      <c r="A3866" s="201"/>
      <c r="B3866" s="201"/>
    </row>
    <row r="3867" spans="1:2" x14ac:dyDescent="0.25">
      <c r="A3867" s="201"/>
      <c r="B3867" s="201"/>
    </row>
    <row r="3868" spans="1:2" x14ac:dyDescent="0.25">
      <c r="A3868" s="201"/>
      <c r="B3868" s="201"/>
    </row>
    <row r="3869" spans="1:2" x14ac:dyDescent="0.25">
      <c r="A3869" s="201"/>
      <c r="B3869" s="201"/>
    </row>
    <row r="3870" spans="1:2" x14ac:dyDescent="0.25">
      <c r="A3870" s="201"/>
      <c r="B3870" s="201"/>
    </row>
    <row r="3871" spans="1:2" x14ac:dyDescent="0.25">
      <c r="A3871" s="201"/>
      <c r="B3871" s="201"/>
    </row>
    <row r="3872" spans="1:2" x14ac:dyDescent="0.25">
      <c r="A3872" s="201"/>
      <c r="B3872" s="201"/>
    </row>
    <row r="3873" spans="1:2" x14ac:dyDescent="0.25">
      <c r="A3873" s="201"/>
      <c r="B3873" s="201"/>
    </row>
    <row r="3874" spans="1:2" x14ac:dyDescent="0.25">
      <c r="A3874" s="201"/>
      <c r="B3874" s="201"/>
    </row>
    <row r="3875" spans="1:2" x14ac:dyDescent="0.25">
      <c r="A3875" s="201"/>
      <c r="B3875" s="201"/>
    </row>
    <row r="3876" spans="1:2" x14ac:dyDescent="0.25">
      <c r="A3876" s="201"/>
      <c r="B3876" s="201"/>
    </row>
    <row r="3877" spans="1:2" x14ac:dyDescent="0.25">
      <c r="A3877" s="201"/>
      <c r="B3877" s="201"/>
    </row>
    <row r="3878" spans="1:2" x14ac:dyDescent="0.25">
      <c r="A3878" s="201"/>
      <c r="B3878" s="201"/>
    </row>
    <row r="3879" spans="1:2" x14ac:dyDescent="0.25">
      <c r="A3879" s="201"/>
      <c r="B3879" s="201"/>
    </row>
    <row r="3880" spans="1:2" x14ac:dyDescent="0.25">
      <c r="A3880" s="201"/>
      <c r="B3880" s="201"/>
    </row>
    <row r="3881" spans="1:2" x14ac:dyDescent="0.25">
      <c r="A3881" s="201"/>
      <c r="B3881" s="201"/>
    </row>
    <row r="3882" spans="1:2" x14ac:dyDescent="0.25">
      <c r="A3882" s="201"/>
      <c r="B3882" s="201"/>
    </row>
    <row r="3883" spans="1:2" x14ac:dyDescent="0.25">
      <c r="A3883" s="201"/>
      <c r="B3883" s="201"/>
    </row>
    <row r="3884" spans="1:2" x14ac:dyDescent="0.25">
      <c r="A3884" s="201"/>
      <c r="B3884" s="201"/>
    </row>
    <row r="3885" spans="1:2" x14ac:dyDescent="0.25">
      <c r="A3885" s="201"/>
      <c r="B3885" s="201"/>
    </row>
    <row r="3886" spans="1:2" x14ac:dyDescent="0.25">
      <c r="A3886" s="201"/>
      <c r="B3886" s="201"/>
    </row>
    <row r="3887" spans="1:2" x14ac:dyDescent="0.25">
      <c r="A3887" s="201"/>
      <c r="B3887" s="201"/>
    </row>
    <row r="3888" spans="1:2" x14ac:dyDescent="0.25">
      <c r="A3888" s="201"/>
      <c r="B3888" s="201"/>
    </row>
    <row r="3889" spans="1:2" x14ac:dyDescent="0.25">
      <c r="A3889" s="201"/>
      <c r="B3889" s="201"/>
    </row>
    <row r="3890" spans="1:2" x14ac:dyDescent="0.25">
      <c r="A3890" s="201"/>
      <c r="B3890" s="201"/>
    </row>
    <row r="3891" spans="1:2" x14ac:dyDescent="0.25">
      <c r="A3891" s="201"/>
      <c r="B3891" s="201"/>
    </row>
    <row r="3892" spans="1:2" x14ac:dyDescent="0.25">
      <c r="A3892" s="201"/>
      <c r="B3892" s="201"/>
    </row>
    <row r="3893" spans="1:2" x14ac:dyDescent="0.25">
      <c r="A3893" s="201"/>
      <c r="B3893" s="201"/>
    </row>
    <row r="3894" spans="1:2" x14ac:dyDescent="0.25">
      <c r="A3894" s="201"/>
      <c r="B3894" s="201"/>
    </row>
    <row r="3895" spans="1:2" x14ac:dyDescent="0.25">
      <c r="A3895" s="201"/>
      <c r="B3895" s="201"/>
    </row>
    <row r="3896" spans="1:2" x14ac:dyDescent="0.25">
      <c r="A3896" s="201"/>
      <c r="B3896" s="201"/>
    </row>
    <row r="3897" spans="1:2" x14ac:dyDescent="0.25">
      <c r="A3897" s="201"/>
      <c r="B3897" s="201"/>
    </row>
    <row r="3898" spans="1:2" x14ac:dyDescent="0.25">
      <c r="A3898" s="201"/>
      <c r="B3898" s="201"/>
    </row>
    <row r="3899" spans="1:2" x14ac:dyDescent="0.25">
      <c r="A3899" s="201"/>
      <c r="B3899" s="201"/>
    </row>
    <row r="3900" spans="1:2" x14ac:dyDescent="0.25">
      <c r="A3900" s="201"/>
      <c r="B3900" s="201"/>
    </row>
    <row r="3901" spans="1:2" x14ac:dyDescent="0.25">
      <c r="A3901" s="201"/>
      <c r="B3901" s="201"/>
    </row>
    <row r="3902" spans="1:2" x14ac:dyDescent="0.25">
      <c r="A3902" s="201"/>
      <c r="B3902" s="201"/>
    </row>
    <row r="3903" spans="1:2" x14ac:dyDescent="0.25">
      <c r="A3903" s="201"/>
      <c r="B3903" s="201"/>
    </row>
    <row r="3904" spans="1:2" x14ac:dyDescent="0.25">
      <c r="A3904" s="201"/>
      <c r="B3904" s="201"/>
    </row>
    <row r="3905" spans="1:2" x14ac:dyDescent="0.25">
      <c r="A3905" s="201"/>
      <c r="B3905" s="201"/>
    </row>
    <row r="3906" spans="1:2" x14ac:dyDescent="0.25">
      <c r="A3906" s="201"/>
      <c r="B3906" s="201"/>
    </row>
    <row r="3907" spans="1:2" x14ac:dyDescent="0.25">
      <c r="A3907" s="201"/>
      <c r="B3907" s="201"/>
    </row>
    <row r="3908" spans="1:2" x14ac:dyDescent="0.25">
      <c r="A3908" s="201"/>
      <c r="B3908" s="201"/>
    </row>
    <row r="3909" spans="1:2" x14ac:dyDescent="0.25">
      <c r="A3909" s="201"/>
      <c r="B3909" s="201"/>
    </row>
    <row r="3910" spans="1:2" x14ac:dyDescent="0.25">
      <c r="A3910" s="201"/>
      <c r="B3910" s="201"/>
    </row>
    <row r="3911" spans="1:2" x14ac:dyDescent="0.25">
      <c r="A3911" s="201"/>
      <c r="B3911" s="201"/>
    </row>
    <row r="3912" spans="1:2" x14ac:dyDescent="0.25">
      <c r="A3912" s="201"/>
      <c r="B3912" s="201"/>
    </row>
    <row r="3913" spans="1:2" x14ac:dyDescent="0.25">
      <c r="A3913" s="201"/>
      <c r="B3913" s="201"/>
    </row>
    <row r="3914" spans="1:2" x14ac:dyDescent="0.25">
      <c r="A3914" s="201"/>
      <c r="B3914" s="201"/>
    </row>
    <row r="3915" spans="1:2" x14ac:dyDescent="0.25">
      <c r="A3915" s="201"/>
      <c r="B3915" s="201"/>
    </row>
    <row r="3916" spans="1:2" x14ac:dyDescent="0.25">
      <c r="A3916" s="201"/>
      <c r="B3916" s="201"/>
    </row>
    <row r="3917" spans="1:2" x14ac:dyDescent="0.25">
      <c r="A3917" s="201"/>
      <c r="B3917" s="201"/>
    </row>
    <row r="3918" spans="1:2" x14ac:dyDescent="0.25">
      <c r="A3918" s="201"/>
      <c r="B3918" s="201"/>
    </row>
    <row r="3919" spans="1:2" x14ac:dyDescent="0.25">
      <c r="A3919" s="201"/>
      <c r="B3919" s="201"/>
    </row>
    <row r="3920" spans="1:2" x14ac:dyDescent="0.25">
      <c r="A3920" s="201"/>
      <c r="B3920" s="201"/>
    </row>
    <row r="3921" spans="1:2" x14ac:dyDescent="0.25">
      <c r="A3921" s="201"/>
      <c r="B3921" s="201"/>
    </row>
    <row r="3922" spans="1:2" x14ac:dyDescent="0.25">
      <c r="A3922" s="201"/>
      <c r="B3922" s="201"/>
    </row>
    <row r="3923" spans="1:2" x14ac:dyDescent="0.25">
      <c r="A3923" s="201"/>
      <c r="B3923" s="201"/>
    </row>
    <row r="3924" spans="1:2" x14ac:dyDescent="0.25">
      <c r="A3924" s="201"/>
      <c r="B3924" s="201"/>
    </row>
    <row r="3925" spans="1:2" x14ac:dyDescent="0.25">
      <c r="A3925" s="201"/>
      <c r="B3925" s="201"/>
    </row>
    <row r="3926" spans="1:2" x14ac:dyDescent="0.25">
      <c r="A3926" s="201"/>
      <c r="B3926" s="201"/>
    </row>
    <row r="3927" spans="1:2" x14ac:dyDescent="0.25">
      <c r="A3927" s="201"/>
      <c r="B3927" s="201"/>
    </row>
    <row r="3928" spans="1:2" x14ac:dyDescent="0.25">
      <c r="A3928" s="201"/>
      <c r="B3928" s="201"/>
    </row>
    <row r="3929" spans="1:2" x14ac:dyDescent="0.25">
      <c r="A3929" s="201"/>
      <c r="B3929" s="201"/>
    </row>
    <row r="3930" spans="1:2" x14ac:dyDescent="0.25">
      <c r="A3930" s="201"/>
      <c r="B3930" s="201"/>
    </row>
    <row r="3931" spans="1:2" x14ac:dyDescent="0.25">
      <c r="A3931" s="201"/>
      <c r="B3931" s="201"/>
    </row>
    <row r="3932" spans="1:2" x14ac:dyDescent="0.25">
      <c r="A3932" s="201"/>
      <c r="B3932" s="201"/>
    </row>
    <row r="3933" spans="1:2" x14ac:dyDescent="0.25">
      <c r="A3933" s="201"/>
      <c r="B3933" s="201"/>
    </row>
    <row r="3934" spans="1:2" x14ac:dyDescent="0.25">
      <c r="A3934" s="201"/>
      <c r="B3934" s="201"/>
    </row>
    <row r="3935" spans="1:2" x14ac:dyDescent="0.25">
      <c r="A3935" s="201"/>
      <c r="B3935" s="201"/>
    </row>
    <row r="3936" spans="1:2" x14ac:dyDescent="0.25">
      <c r="A3936" s="201"/>
      <c r="B3936" s="201"/>
    </row>
    <row r="3937" spans="1:2" x14ac:dyDescent="0.25">
      <c r="A3937" s="201"/>
      <c r="B3937" s="201"/>
    </row>
    <row r="3938" spans="1:2" x14ac:dyDescent="0.25">
      <c r="A3938" s="201"/>
      <c r="B3938" s="201"/>
    </row>
    <row r="3939" spans="1:2" x14ac:dyDescent="0.25">
      <c r="A3939" s="201"/>
      <c r="B3939" s="201"/>
    </row>
    <row r="3940" spans="1:2" x14ac:dyDescent="0.25">
      <c r="A3940" s="201"/>
      <c r="B3940" s="201"/>
    </row>
    <row r="3941" spans="1:2" x14ac:dyDescent="0.25">
      <c r="A3941" s="201"/>
      <c r="B3941" s="201"/>
    </row>
    <row r="3942" spans="1:2" x14ac:dyDescent="0.25">
      <c r="A3942" s="201"/>
      <c r="B3942" s="201"/>
    </row>
    <row r="3943" spans="1:2" x14ac:dyDescent="0.25">
      <c r="A3943" s="201"/>
      <c r="B3943" s="201"/>
    </row>
    <row r="3944" spans="1:2" x14ac:dyDescent="0.25">
      <c r="A3944" s="201"/>
      <c r="B3944" s="201"/>
    </row>
    <row r="3945" spans="1:2" x14ac:dyDescent="0.25">
      <c r="A3945" s="201"/>
      <c r="B3945" s="201"/>
    </row>
    <row r="3946" spans="1:2" x14ac:dyDescent="0.25">
      <c r="A3946" s="201"/>
      <c r="B3946" s="201"/>
    </row>
    <row r="3947" spans="1:2" x14ac:dyDescent="0.25">
      <c r="A3947" s="201"/>
      <c r="B3947" s="201"/>
    </row>
    <row r="3948" spans="1:2" x14ac:dyDescent="0.25">
      <c r="A3948" s="201"/>
      <c r="B3948" s="201"/>
    </row>
    <row r="3949" spans="1:2" x14ac:dyDescent="0.25">
      <c r="A3949" s="201"/>
      <c r="B3949" s="201"/>
    </row>
    <row r="3950" spans="1:2" x14ac:dyDescent="0.25">
      <c r="A3950" s="201"/>
      <c r="B3950" s="201"/>
    </row>
    <row r="3951" spans="1:2" x14ac:dyDescent="0.25">
      <c r="A3951" s="201"/>
      <c r="B3951" s="201"/>
    </row>
    <row r="3952" spans="1:2" x14ac:dyDescent="0.25">
      <c r="A3952" s="201"/>
      <c r="B3952" s="201"/>
    </row>
    <row r="3953" spans="1:2" x14ac:dyDescent="0.25">
      <c r="A3953" s="201"/>
      <c r="B3953" s="201"/>
    </row>
    <row r="3954" spans="1:2" x14ac:dyDescent="0.25">
      <c r="A3954" s="201"/>
      <c r="B3954" s="201"/>
    </row>
    <row r="3955" spans="1:2" x14ac:dyDescent="0.25">
      <c r="A3955" s="201"/>
      <c r="B3955" s="201"/>
    </row>
    <row r="3956" spans="1:2" x14ac:dyDescent="0.25">
      <c r="A3956" s="201"/>
      <c r="B3956" s="201"/>
    </row>
    <row r="3957" spans="1:2" x14ac:dyDescent="0.25">
      <c r="A3957" s="201"/>
      <c r="B3957" s="201"/>
    </row>
    <row r="3958" spans="1:2" x14ac:dyDescent="0.25">
      <c r="A3958" s="201"/>
      <c r="B3958" s="201"/>
    </row>
    <row r="3959" spans="1:2" x14ac:dyDescent="0.25">
      <c r="A3959" s="201"/>
      <c r="B3959" s="201"/>
    </row>
    <row r="3960" spans="1:2" x14ac:dyDescent="0.25">
      <c r="A3960" s="201"/>
      <c r="B3960" s="201"/>
    </row>
    <row r="3961" spans="1:2" x14ac:dyDescent="0.25">
      <c r="A3961" s="201"/>
      <c r="B3961" s="201"/>
    </row>
    <row r="3962" spans="1:2" x14ac:dyDescent="0.25">
      <c r="A3962" s="201"/>
      <c r="B3962" s="201"/>
    </row>
    <row r="3963" spans="1:2" x14ac:dyDescent="0.25">
      <c r="A3963" s="201"/>
      <c r="B3963" s="201"/>
    </row>
    <row r="3964" spans="1:2" x14ac:dyDescent="0.25">
      <c r="A3964" s="201"/>
      <c r="B3964" s="201"/>
    </row>
    <row r="3965" spans="1:2" x14ac:dyDescent="0.25">
      <c r="A3965" s="201"/>
      <c r="B3965" s="201"/>
    </row>
    <row r="3966" spans="1:2" x14ac:dyDescent="0.25">
      <c r="A3966" s="201"/>
      <c r="B3966" s="201"/>
    </row>
    <row r="3967" spans="1:2" x14ac:dyDescent="0.25">
      <c r="A3967" s="201"/>
      <c r="B3967" s="201"/>
    </row>
    <row r="3968" spans="1:2" x14ac:dyDescent="0.25">
      <c r="A3968" s="201"/>
      <c r="B3968" s="201"/>
    </row>
    <row r="3969" spans="1:2" x14ac:dyDescent="0.25">
      <c r="A3969" s="201"/>
      <c r="B3969" s="201"/>
    </row>
    <row r="3970" spans="1:2" x14ac:dyDescent="0.25">
      <c r="A3970" s="201"/>
      <c r="B3970" s="201"/>
    </row>
    <row r="3971" spans="1:2" x14ac:dyDescent="0.25">
      <c r="A3971" s="201"/>
      <c r="B3971" s="201"/>
    </row>
    <row r="3972" spans="1:2" x14ac:dyDescent="0.25">
      <c r="A3972" s="201"/>
      <c r="B3972" s="201"/>
    </row>
    <row r="3973" spans="1:2" x14ac:dyDescent="0.25">
      <c r="A3973" s="201"/>
      <c r="B3973" s="201"/>
    </row>
    <row r="3974" spans="1:2" x14ac:dyDescent="0.25">
      <c r="A3974" s="201"/>
      <c r="B3974" s="201"/>
    </row>
    <row r="3975" spans="1:2" x14ac:dyDescent="0.25">
      <c r="A3975" s="201"/>
      <c r="B3975" s="201"/>
    </row>
    <row r="3976" spans="1:2" x14ac:dyDescent="0.25">
      <c r="A3976" s="201"/>
      <c r="B3976" s="201"/>
    </row>
    <row r="3977" spans="1:2" x14ac:dyDescent="0.25">
      <c r="A3977" s="201"/>
      <c r="B3977" s="201"/>
    </row>
    <row r="3978" spans="1:2" x14ac:dyDescent="0.25">
      <c r="A3978" s="201"/>
      <c r="B3978" s="201"/>
    </row>
    <row r="3979" spans="1:2" x14ac:dyDescent="0.25">
      <c r="A3979" s="201"/>
      <c r="B3979" s="201"/>
    </row>
    <row r="3980" spans="1:2" x14ac:dyDescent="0.25">
      <c r="A3980" s="201"/>
      <c r="B3980" s="201"/>
    </row>
    <row r="3981" spans="1:2" x14ac:dyDescent="0.25">
      <c r="A3981" s="201"/>
      <c r="B3981" s="201"/>
    </row>
    <row r="3982" spans="1:2" x14ac:dyDescent="0.25">
      <c r="A3982" s="201"/>
      <c r="B3982" s="201"/>
    </row>
    <row r="3983" spans="1:2" x14ac:dyDescent="0.25">
      <c r="A3983" s="201"/>
      <c r="B3983" s="201"/>
    </row>
    <row r="3984" spans="1:2" x14ac:dyDescent="0.25">
      <c r="A3984" s="201"/>
      <c r="B3984" s="201"/>
    </row>
    <row r="3985" spans="1:2" x14ac:dyDescent="0.25">
      <c r="A3985" s="201"/>
      <c r="B3985" s="201"/>
    </row>
    <row r="3986" spans="1:2" x14ac:dyDescent="0.25">
      <c r="A3986" s="201"/>
      <c r="B3986" s="201"/>
    </row>
    <row r="3987" spans="1:2" x14ac:dyDescent="0.25">
      <c r="A3987" s="201"/>
      <c r="B3987" s="201"/>
    </row>
    <row r="3988" spans="1:2" x14ac:dyDescent="0.25">
      <c r="A3988" s="201"/>
      <c r="B3988" s="201"/>
    </row>
    <row r="3989" spans="1:2" x14ac:dyDescent="0.25">
      <c r="A3989" s="201"/>
      <c r="B3989" s="201"/>
    </row>
    <row r="3990" spans="1:2" x14ac:dyDescent="0.25">
      <c r="A3990" s="201"/>
      <c r="B3990" s="201"/>
    </row>
    <row r="3991" spans="1:2" x14ac:dyDescent="0.25">
      <c r="A3991" s="201"/>
      <c r="B3991" s="201"/>
    </row>
    <row r="3992" spans="1:2" x14ac:dyDescent="0.25">
      <c r="A3992" s="201"/>
      <c r="B3992" s="201"/>
    </row>
    <row r="3993" spans="1:2" x14ac:dyDescent="0.25">
      <c r="A3993" s="201"/>
      <c r="B3993" s="201"/>
    </row>
    <row r="3994" spans="1:2" x14ac:dyDescent="0.25">
      <c r="A3994" s="201"/>
      <c r="B3994" s="201"/>
    </row>
    <row r="3995" spans="1:2" x14ac:dyDescent="0.25">
      <c r="A3995" s="201"/>
      <c r="B3995" s="201"/>
    </row>
    <row r="3996" spans="1:2" x14ac:dyDescent="0.25">
      <c r="A3996" s="201"/>
      <c r="B3996" s="201"/>
    </row>
    <row r="3997" spans="1:2" x14ac:dyDescent="0.25">
      <c r="A3997" s="201"/>
      <c r="B3997" s="201"/>
    </row>
    <row r="3998" spans="1:2" x14ac:dyDescent="0.25">
      <c r="A3998" s="201"/>
      <c r="B3998" s="201"/>
    </row>
    <row r="3999" spans="1:2" x14ac:dyDescent="0.25">
      <c r="A3999" s="201"/>
      <c r="B3999" s="201"/>
    </row>
    <row r="4000" spans="1:2" x14ac:dyDescent="0.25">
      <c r="A4000" s="201"/>
      <c r="B4000" s="201"/>
    </row>
    <row r="4001" spans="1:2" x14ac:dyDescent="0.25">
      <c r="A4001" s="201"/>
      <c r="B4001" s="201"/>
    </row>
    <row r="4002" spans="1:2" x14ac:dyDescent="0.25">
      <c r="A4002" s="201"/>
      <c r="B4002" s="201"/>
    </row>
    <row r="4003" spans="1:2" x14ac:dyDescent="0.25">
      <c r="A4003" s="201"/>
      <c r="B4003" s="201"/>
    </row>
    <row r="4004" spans="1:2" x14ac:dyDescent="0.25">
      <c r="A4004" s="201"/>
      <c r="B4004" s="201"/>
    </row>
    <row r="4005" spans="1:2" x14ac:dyDescent="0.25">
      <c r="A4005" s="201"/>
      <c r="B4005" s="201"/>
    </row>
    <row r="4006" spans="1:2" x14ac:dyDescent="0.25">
      <c r="A4006" s="201"/>
      <c r="B4006" s="201"/>
    </row>
    <row r="4007" spans="1:2" x14ac:dyDescent="0.25">
      <c r="A4007" s="201"/>
      <c r="B4007" s="201"/>
    </row>
    <row r="4008" spans="1:2" x14ac:dyDescent="0.25">
      <c r="A4008" s="201"/>
      <c r="B4008" s="201"/>
    </row>
    <row r="4009" spans="1:2" x14ac:dyDescent="0.25">
      <c r="A4009" s="201"/>
      <c r="B4009" s="201"/>
    </row>
    <row r="4010" spans="1:2" x14ac:dyDescent="0.25">
      <c r="A4010" s="201"/>
      <c r="B4010" s="201"/>
    </row>
    <row r="4011" spans="1:2" x14ac:dyDescent="0.25">
      <c r="A4011" s="201"/>
      <c r="B4011" s="201"/>
    </row>
    <row r="4012" spans="1:2" x14ac:dyDescent="0.25">
      <c r="A4012" s="201"/>
      <c r="B4012" s="201"/>
    </row>
    <row r="4013" spans="1:2" x14ac:dyDescent="0.25">
      <c r="A4013" s="201"/>
      <c r="B4013" s="201"/>
    </row>
    <row r="4014" spans="1:2" x14ac:dyDescent="0.25">
      <c r="A4014" s="201"/>
      <c r="B4014" s="201"/>
    </row>
    <row r="4015" spans="1:2" x14ac:dyDescent="0.25">
      <c r="A4015" s="201"/>
      <c r="B4015" s="201"/>
    </row>
    <row r="4016" spans="1:2" x14ac:dyDescent="0.25">
      <c r="A4016" s="201"/>
      <c r="B4016" s="201"/>
    </row>
    <row r="4017" spans="1:2" x14ac:dyDescent="0.25">
      <c r="A4017" s="201"/>
      <c r="B4017" s="201"/>
    </row>
    <row r="4018" spans="1:2" x14ac:dyDescent="0.25">
      <c r="A4018" s="201"/>
      <c r="B4018" s="201"/>
    </row>
    <row r="4019" spans="1:2" x14ac:dyDescent="0.25">
      <c r="A4019" s="201"/>
      <c r="B4019" s="201"/>
    </row>
    <row r="4020" spans="1:2" x14ac:dyDescent="0.25">
      <c r="A4020" s="201"/>
      <c r="B4020" s="201"/>
    </row>
    <row r="4021" spans="1:2" x14ac:dyDescent="0.25">
      <c r="A4021" s="201"/>
      <c r="B4021" s="201"/>
    </row>
    <row r="4022" spans="1:2" x14ac:dyDescent="0.25">
      <c r="A4022" s="201"/>
      <c r="B4022" s="201"/>
    </row>
    <row r="4023" spans="1:2" x14ac:dyDescent="0.25">
      <c r="A4023" s="201"/>
      <c r="B4023" s="201"/>
    </row>
    <row r="4024" spans="1:2" x14ac:dyDescent="0.25">
      <c r="A4024" s="201"/>
      <c r="B4024" s="201"/>
    </row>
    <row r="4025" spans="1:2" x14ac:dyDescent="0.25">
      <c r="A4025" s="201"/>
      <c r="B4025" s="201"/>
    </row>
    <row r="4026" spans="1:2" x14ac:dyDescent="0.25">
      <c r="A4026" s="201"/>
      <c r="B4026" s="201"/>
    </row>
    <row r="4027" spans="1:2" x14ac:dyDescent="0.25">
      <c r="A4027" s="201"/>
      <c r="B4027" s="201"/>
    </row>
    <row r="4028" spans="1:2" x14ac:dyDescent="0.25">
      <c r="A4028" s="201"/>
      <c r="B4028" s="201"/>
    </row>
    <row r="4029" spans="1:2" x14ac:dyDescent="0.25">
      <c r="A4029" s="201"/>
      <c r="B4029" s="201"/>
    </row>
    <row r="4030" spans="1:2" x14ac:dyDescent="0.25">
      <c r="A4030" s="201"/>
      <c r="B4030" s="201"/>
    </row>
    <row r="4031" spans="1:2" x14ac:dyDescent="0.25">
      <c r="A4031" s="201"/>
      <c r="B4031" s="201"/>
    </row>
    <row r="4032" spans="1:2" x14ac:dyDescent="0.25">
      <c r="A4032" s="201"/>
      <c r="B4032" s="201"/>
    </row>
    <row r="4033" spans="1:2" x14ac:dyDescent="0.25">
      <c r="A4033" s="201"/>
      <c r="B4033" s="201"/>
    </row>
    <row r="4034" spans="1:2" x14ac:dyDescent="0.25">
      <c r="A4034" s="201"/>
      <c r="B4034" s="201"/>
    </row>
    <row r="4035" spans="1:2" x14ac:dyDescent="0.25">
      <c r="A4035" s="201"/>
      <c r="B4035" s="201"/>
    </row>
    <row r="4036" spans="1:2" x14ac:dyDescent="0.25">
      <c r="A4036" s="201"/>
      <c r="B4036" s="201"/>
    </row>
    <row r="4037" spans="1:2" x14ac:dyDescent="0.25">
      <c r="A4037" s="201"/>
      <c r="B4037" s="201"/>
    </row>
    <row r="4038" spans="1:2" x14ac:dyDescent="0.25">
      <c r="A4038" s="201"/>
      <c r="B4038" s="201"/>
    </row>
    <row r="4039" spans="1:2" x14ac:dyDescent="0.25">
      <c r="A4039" s="201"/>
      <c r="B4039" s="201"/>
    </row>
    <row r="4040" spans="1:2" x14ac:dyDescent="0.25">
      <c r="A4040" s="201"/>
      <c r="B4040" s="201"/>
    </row>
    <row r="4041" spans="1:2" x14ac:dyDescent="0.25">
      <c r="A4041" s="201"/>
      <c r="B4041" s="201"/>
    </row>
    <row r="4042" spans="1:2" x14ac:dyDescent="0.25">
      <c r="A4042" s="201"/>
      <c r="B4042" s="201"/>
    </row>
    <row r="4043" spans="1:2" x14ac:dyDescent="0.25">
      <c r="A4043" s="201"/>
      <c r="B4043" s="201"/>
    </row>
    <row r="4044" spans="1:2" x14ac:dyDescent="0.25">
      <c r="A4044" s="201"/>
      <c r="B4044" s="201"/>
    </row>
    <row r="4045" spans="1:2" x14ac:dyDescent="0.25">
      <c r="A4045" s="201"/>
      <c r="B4045" s="201"/>
    </row>
    <row r="4046" spans="1:2" x14ac:dyDescent="0.25">
      <c r="A4046" s="201"/>
      <c r="B4046" s="201"/>
    </row>
    <row r="4047" spans="1:2" x14ac:dyDescent="0.25">
      <c r="A4047" s="201"/>
      <c r="B4047" s="201"/>
    </row>
    <row r="4048" spans="1:2" x14ac:dyDescent="0.25">
      <c r="A4048" s="201"/>
      <c r="B4048" s="201"/>
    </row>
    <row r="4049" spans="1:2" x14ac:dyDescent="0.25">
      <c r="A4049" s="201"/>
      <c r="B4049" s="201"/>
    </row>
    <row r="4050" spans="1:2" x14ac:dyDescent="0.25">
      <c r="A4050" s="201"/>
      <c r="B4050" s="201"/>
    </row>
    <row r="4051" spans="1:2" x14ac:dyDescent="0.25">
      <c r="A4051" s="201"/>
      <c r="B4051" s="201"/>
    </row>
    <row r="4052" spans="1:2" x14ac:dyDescent="0.25">
      <c r="A4052" s="201"/>
      <c r="B4052" s="201"/>
    </row>
    <row r="4053" spans="1:2" x14ac:dyDescent="0.25">
      <c r="A4053" s="201"/>
      <c r="B4053" s="201"/>
    </row>
    <row r="4054" spans="1:2" x14ac:dyDescent="0.25">
      <c r="A4054" s="201"/>
      <c r="B4054" s="201"/>
    </row>
    <row r="4055" spans="1:2" x14ac:dyDescent="0.25">
      <c r="A4055" s="201"/>
      <c r="B4055" s="201"/>
    </row>
    <row r="4056" spans="1:2" x14ac:dyDescent="0.25">
      <c r="A4056" s="201"/>
      <c r="B4056" s="201"/>
    </row>
    <row r="4057" spans="1:2" x14ac:dyDescent="0.25">
      <c r="A4057" s="201"/>
      <c r="B4057" s="201"/>
    </row>
    <row r="4058" spans="1:2" x14ac:dyDescent="0.25">
      <c r="A4058" s="201"/>
      <c r="B4058" s="201"/>
    </row>
    <row r="4059" spans="1:2" x14ac:dyDescent="0.25">
      <c r="A4059" s="201"/>
      <c r="B4059" s="201"/>
    </row>
    <row r="4060" spans="1:2" x14ac:dyDescent="0.25">
      <c r="A4060" s="201"/>
      <c r="B4060" s="201"/>
    </row>
    <row r="4061" spans="1:2" x14ac:dyDescent="0.25">
      <c r="A4061" s="201"/>
      <c r="B4061" s="201"/>
    </row>
    <row r="4062" spans="1:2" x14ac:dyDescent="0.25">
      <c r="A4062" s="201"/>
      <c r="B4062" s="201"/>
    </row>
    <row r="4063" spans="1:2" x14ac:dyDescent="0.25">
      <c r="A4063" s="201"/>
      <c r="B4063" s="201"/>
    </row>
    <row r="4064" spans="1:2" x14ac:dyDescent="0.25">
      <c r="A4064" s="201"/>
      <c r="B4064" s="201"/>
    </row>
    <row r="4065" spans="1:2" x14ac:dyDescent="0.25">
      <c r="A4065" s="201"/>
      <c r="B4065" s="201"/>
    </row>
    <row r="4066" spans="1:2" x14ac:dyDescent="0.25">
      <c r="A4066" s="201"/>
      <c r="B4066" s="201"/>
    </row>
    <row r="4067" spans="1:2" x14ac:dyDescent="0.25">
      <c r="A4067" s="201"/>
      <c r="B4067" s="201"/>
    </row>
    <row r="4068" spans="1:2" x14ac:dyDescent="0.25">
      <c r="A4068" s="201"/>
      <c r="B4068" s="201"/>
    </row>
    <row r="4069" spans="1:2" x14ac:dyDescent="0.25">
      <c r="A4069" s="201"/>
      <c r="B4069" s="201"/>
    </row>
    <row r="4070" spans="1:2" x14ac:dyDescent="0.25">
      <c r="A4070" s="201"/>
      <c r="B4070" s="201"/>
    </row>
    <row r="4071" spans="1:2" x14ac:dyDescent="0.25">
      <c r="A4071" s="201"/>
      <c r="B4071" s="201"/>
    </row>
    <row r="4072" spans="1:2" x14ac:dyDescent="0.25">
      <c r="A4072" s="201"/>
      <c r="B4072" s="201"/>
    </row>
    <row r="4073" spans="1:2" x14ac:dyDescent="0.25">
      <c r="A4073" s="201"/>
      <c r="B4073" s="201"/>
    </row>
    <row r="4074" spans="1:2" x14ac:dyDescent="0.25">
      <c r="A4074" s="201"/>
      <c r="B4074" s="201"/>
    </row>
    <row r="4075" spans="1:2" x14ac:dyDescent="0.25">
      <c r="A4075" s="201"/>
      <c r="B4075" s="201"/>
    </row>
    <row r="4076" spans="1:2" x14ac:dyDescent="0.25">
      <c r="A4076" s="201"/>
      <c r="B4076" s="201"/>
    </row>
    <row r="4077" spans="1:2" x14ac:dyDescent="0.25">
      <c r="A4077" s="201"/>
      <c r="B4077" s="201"/>
    </row>
    <row r="4078" spans="1:2" x14ac:dyDescent="0.25">
      <c r="A4078" s="201"/>
      <c r="B4078" s="201"/>
    </row>
    <row r="4079" spans="1:2" x14ac:dyDescent="0.25">
      <c r="A4079" s="201"/>
      <c r="B4079" s="201"/>
    </row>
    <row r="4080" spans="1:2" x14ac:dyDescent="0.25">
      <c r="A4080" s="201"/>
      <c r="B4080" s="201"/>
    </row>
    <row r="4081" spans="1:2" x14ac:dyDescent="0.25">
      <c r="A4081" s="201"/>
      <c r="B4081" s="201"/>
    </row>
    <row r="4082" spans="1:2" x14ac:dyDescent="0.25">
      <c r="A4082" s="201"/>
      <c r="B4082" s="201"/>
    </row>
    <row r="4083" spans="1:2" x14ac:dyDescent="0.25">
      <c r="A4083" s="201"/>
      <c r="B4083" s="201"/>
    </row>
    <row r="4084" spans="1:2" x14ac:dyDescent="0.25">
      <c r="A4084" s="201"/>
      <c r="B4084" s="201"/>
    </row>
    <row r="4085" spans="1:2" x14ac:dyDescent="0.25">
      <c r="A4085" s="201"/>
      <c r="B4085" s="201"/>
    </row>
    <row r="4086" spans="1:2" x14ac:dyDescent="0.25">
      <c r="A4086" s="201"/>
      <c r="B4086" s="201"/>
    </row>
    <row r="4087" spans="1:2" x14ac:dyDescent="0.25">
      <c r="A4087" s="201"/>
      <c r="B4087" s="201"/>
    </row>
    <row r="4088" spans="1:2" x14ac:dyDescent="0.25">
      <c r="A4088" s="201"/>
      <c r="B4088" s="201"/>
    </row>
    <row r="4089" spans="1:2" x14ac:dyDescent="0.25">
      <c r="A4089" s="201"/>
      <c r="B4089" s="201"/>
    </row>
    <row r="4090" spans="1:2" x14ac:dyDescent="0.25">
      <c r="A4090" s="201"/>
      <c r="B4090" s="201"/>
    </row>
    <row r="4091" spans="1:2" x14ac:dyDescent="0.25">
      <c r="A4091" s="201"/>
      <c r="B4091" s="201"/>
    </row>
    <row r="4092" spans="1:2" x14ac:dyDescent="0.25">
      <c r="A4092" s="201"/>
      <c r="B4092" s="201"/>
    </row>
    <row r="4093" spans="1:2" x14ac:dyDescent="0.25">
      <c r="A4093" s="201"/>
      <c r="B4093" s="201"/>
    </row>
    <row r="4094" spans="1:2" x14ac:dyDescent="0.25">
      <c r="A4094" s="201"/>
      <c r="B4094" s="201"/>
    </row>
    <row r="4095" spans="1:2" x14ac:dyDescent="0.25">
      <c r="A4095" s="201"/>
      <c r="B4095" s="201"/>
    </row>
    <row r="4096" spans="1:2" x14ac:dyDescent="0.25">
      <c r="A4096" s="201"/>
      <c r="B4096" s="201"/>
    </row>
    <row r="4097" spans="1:2" x14ac:dyDescent="0.25">
      <c r="A4097" s="201"/>
      <c r="B4097" s="201"/>
    </row>
    <row r="4098" spans="1:2" x14ac:dyDescent="0.25">
      <c r="A4098" s="201"/>
      <c r="B4098" s="201"/>
    </row>
    <row r="4099" spans="1:2" x14ac:dyDescent="0.25">
      <c r="A4099" s="201"/>
      <c r="B4099" s="201"/>
    </row>
    <row r="4100" spans="1:2" x14ac:dyDescent="0.25">
      <c r="A4100" s="201"/>
      <c r="B4100" s="201"/>
    </row>
    <row r="4101" spans="1:2" x14ac:dyDescent="0.25">
      <c r="A4101" s="201"/>
      <c r="B4101" s="201"/>
    </row>
    <row r="4102" spans="1:2" x14ac:dyDescent="0.25">
      <c r="A4102" s="201"/>
      <c r="B4102" s="201"/>
    </row>
    <row r="4103" spans="1:2" x14ac:dyDescent="0.25">
      <c r="A4103" s="201"/>
      <c r="B4103" s="201"/>
    </row>
    <row r="4104" spans="1:2" x14ac:dyDescent="0.25">
      <c r="A4104" s="201"/>
      <c r="B4104" s="201"/>
    </row>
    <row r="4105" spans="1:2" x14ac:dyDescent="0.25">
      <c r="A4105" s="201"/>
      <c r="B4105" s="201"/>
    </row>
    <row r="4106" spans="1:2" x14ac:dyDescent="0.25">
      <c r="A4106" s="201"/>
      <c r="B4106" s="201"/>
    </row>
    <row r="4107" spans="1:2" x14ac:dyDescent="0.25">
      <c r="A4107" s="201"/>
      <c r="B4107" s="201"/>
    </row>
    <row r="4108" spans="1:2" x14ac:dyDescent="0.25">
      <c r="A4108" s="201"/>
      <c r="B4108" s="201"/>
    </row>
    <row r="4109" spans="1:2" x14ac:dyDescent="0.25">
      <c r="A4109" s="201"/>
      <c r="B4109" s="201"/>
    </row>
    <row r="4110" spans="1:2" x14ac:dyDescent="0.25">
      <c r="A4110" s="201"/>
      <c r="B4110" s="201"/>
    </row>
    <row r="4111" spans="1:2" x14ac:dyDescent="0.25">
      <c r="A4111" s="201"/>
      <c r="B4111" s="201"/>
    </row>
    <row r="4112" spans="1:2" x14ac:dyDescent="0.25">
      <c r="A4112" s="201"/>
      <c r="B4112" s="201"/>
    </row>
    <row r="4113" spans="1:2" x14ac:dyDescent="0.25">
      <c r="A4113" s="201"/>
      <c r="B4113" s="201"/>
    </row>
    <row r="4114" spans="1:2" x14ac:dyDescent="0.25">
      <c r="A4114" s="201"/>
      <c r="B4114" s="201"/>
    </row>
    <row r="4115" spans="1:2" x14ac:dyDescent="0.25">
      <c r="A4115" s="201"/>
      <c r="B4115" s="201"/>
    </row>
    <row r="4116" spans="1:2" x14ac:dyDescent="0.25">
      <c r="A4116" s="201"/>
      <c r="B4116" s="201"/>
    </row>
    <row r="4117" spans="1:2" x14ac:dyDescent="0.25">
      <c r="A4117" s="201"/>
      <c r="B4117" s="201"/>
    </row>
    <row r="4118" spans="1:2" x14ac:dyDescent="0.25">
      <c r="A4118" s="201"/>
      <c r="B4118" s="201"/>
    </row>
    <row r="4119" spans="1:2" x14ac:dyDescent="0.25">
      <c r="A4119" s="201"/>
      <c r="B4119" s="201"/>
    </row>
    <row r="4120" spans="1:2" x14ac:dyDescent="0.25">
      <c r="A4120" s="201"/>
      <c r="B4120" s="201"/>
    </row>
    <row r="4121" spans="1:2" x14ac:dyDescent="0.25">
      <c r="A4121" s="201"/>
      <c r="B4121" s="201"/>
    </row>
    <row r="4122" spans="1:2" x14ac:dyDescent="0.25">
      <c r="A4122" s="201"/>
      <c r="B4122" s="201"/>
    </row>
    <row r="4123" spans="1:2" x14ac:dyDescent="0.25">
      <c r="A4123" s="201"/>
      <c r="B4123" s="201"/>
    </row>
    <row r="4124" spans="1:2" x14ac:dyDescent="0.25">
      <c r="A4124" s="201"/>
      <c r="B4124" s="201"/>
    </row>
    <row r="4125" spans="1:2" x14ac:dyDescent="0.25">
      <c r="A4125" s="201"/>
      <c r="B4125" s="201"/>
    </row>
    <row r="4126" spans="1:2" x14ac:dyDescent="0.25">
      <c r="A4126" s="201"/>
      <c r="B4126" s="201"/>
    </row>
    <row r="4127" spans="1:2" x14ac:dyDescent="0.25">
      <c r="A4127" s="201"/>
      <c r="B4127" s="201"/>
    </row>
    <row r="4128" spans="1:2" x14ac:dyDescent="0.25">
      <c r="A4128" s="201"/>
      <c r="B4128" s="201"/>
    </row>
    <row r="4129" spans="1:2" x14ac:dyDescent="0.25">
      <c r="A4129" s="201"/>
      <c r="B4129" s="201"/>
    </row>
    <row r="4130" spans="1:2" x14ac:dyDescent="0.25">
      <c r="A4130" s="201"/>
      <c r="B4130" s="201"/>
    </row>
    <row r="4131" spans="1:2" x14ac:dyDescent="0.25">
      <c r="A4131" s="201"/>
      <c r="B4131" s="201"/>
    </row>
    <row r="4132" spans="1:2" x14ac:dyDescent="0.25">
      <c r="A4132" s="201"/>
      <c r="B4132" s="201"/>
    </row>
    <row r="4133" spans="1:2" x14ac:dyDescent="0.25">
      <c r="A4133" s="201"/>
      <c r="B4133" s="201"/>
    </row>
    <row r="4134" spans="1:2" x14ac:dyDescent="0.25">
      <c r="A4134" s="201"/>
      <c r="B4134" s="201"/>
    </row>
    <row r="4135" spans="1:2" x14ac:dyDescent="0.25">
      <c r="A4135" s="201"/>
      <c r="B4135" s="201"/>
    </row>
    <row r="4136" spans="1:2" x14ac:dyDescent="0.25">
      <c r="A4136" s="201"/>
      <c r="B4136" s="201"/>
    </row>
    <row r="4137" spans="1:2" x14ac:dyDescent="0.25">
      <c r="A4137" s="201"/>
      <c r="B4137" s="201"/>
    </row>
    <row r="4138" spans="1:2" x14ac:dyDescent="0.25">
      <c r="A4138" s="201"/>
      <c r="B4138" s="201"/>
    </row>
    <row r="4139" spans="1:2" x14ac:dyDescent="0.25">
      <c r="A4139" s="201"/>
      <c r="B4139" s="201"/>
    </row>
    <row r="4140" spans="1:2" x14ac:dyDescent="0.25">
      <c r="A4140" s="201"/>
      <c r="B4140" s="201"/>
    </row>
    <row r="4141" spans="1:2" x14ac:dyDescent="0.25">
      <c r="A4141" s="201"/>
      <c r="B4141" s="201"/>
    </row>
    <row r="4142" spans="1:2" x14ac:dyDescent="0.25">
      <c r="A4142" s="201"/>
      <c r="B4142" s="201"/>
    </row>
    <row r="4143" spans="1:2" x14ac:dyDescent="0.25">
      <c r="A4143" s="201"/>
      <c r="B4143" s="201"/>
    </row>
    <row r="4144" spans="1:2" x14ac:dyDescent="0.25">
      <c r="A4144" s="201"/>
      <c r="B4144" s="201"/>
    </row>
    <row r="4145" spans="1:2" x14ac:dyDescent="0.25">
      <c r="A4145" s="201"/>
      <c r="B4145" s="201"/>
    </row>
    <row r="4146" spans="1:2" x14ac:dyDescent="0.25">
      <c r="A4146" s="201"/>
      <c r="B4146" s="201"/>
    </row>
    <row r="4147" spans="1:2" x14ac:dyDescent="0.25">
      <c r="A4147" s="201"/>
      <c r="B4147" s="201"/>
    </row>
    <row r="4148" spans="1:2" x14ac:dyDescent="0.25">
      <c r="A4148" s="201"/>
      <c r="B4148" s="201"/>
    </row>
    <row r="4149" spans="1:2" x14ac:dyDescent="0.25">
      <c r="A4149" s="201"/>
      <c r="B4149" s="201"/>
    </row>
    <row r="4150" spans="1:2" x14ac:dyDescent="0.25">
      <c r="A4150" s="201"/>
      <c r="B4150" s="201"/>
    </row>
    <row r="4151" spans="1:2" x14ac:dyDescent="0.25">
      <c r="A4151" s="201"/>
      <c r="B4151" s="201"/>
    </row>
    <row r="4152" spans="1:2" x14ac:dyDescent="0.25">
      <c r="A4152" s="201"/>
      <c r="B4152" s="201"/>
    </row>
    <row r="4153" spans="1:2" x14ac:dyDescent="0.25">
      <c r="A4153" s="201"/>
      <c r="B4153" s="201"/>
    </row>
    <row r="4154" spans="1:2" x14ac:dyDescent="0.25">
      <c r="A4154" s="201"/>
      <c r="B4154" s="201"/>
    </row>
    <row r="4155" spans="1:2" x14ac:dyDescent="0.25">
      <c r="A4155" s="201"/>
      <c r="B4155" s="201"/>
    </row>
    <row r="4156" spans="1:2" x14ac:dyDescent="0.25">
      <c r="A4156" s="201"/>
      <c r="B4156" s="201"/>
    </row>
    <row r="4157" spans="1:2" x14ac:dyDescent="0.25">
      <c r="A4157" s="201"/>
      <c r="B4157" s="201"/>
    </row>
    <row r="4158" spans="1:2" x14ac:dyDescent="0.25">
      <c r="A4158" s="201"/>
      <c r="B4158" s="201"/>
    </row>
    <row r="4159" spans="1:2" x14ac:dyDescent="0.25">
      <c r="A4159" s="201"/>
      <c r="B4159" s="201"/>
    </row>
    <row r="4160" spans="1:2" x14ac:dyDescent="0.25">
      <c r="A4160" s="201"/>
      <c r="B4160" s="201"/>
    </row>
    <row r="4161" spans="1:2" x14ac:dyDescent="0.25">
      <c r="A4161" s="201"/>
      <c r="B4161" s="201"/>
    </row>
    <row r="4162" spans="1:2" x14ac:dyDescent="0.25">
      <c r="A4162" s="201"/>
      <c r="B4162" s="201"/>
    </row>
    <row r="4163" spans="1:2" x14ac:dyDescent="0.25">
      <c r="A4163" s="201"/>
      <c r="B4163" s="201"/>
    </row>
    <row r="4164" spans="1:2" x14ac:dyDescent="0.25">
      <c r="A4164" s="201"/>
      <c r="B4164" s="201"/>
    </row>
    <row r="4165" spans="1:2" x14ac:dyDescent="0.25">
      <c r="A4165" s="201"/>
      <c r="B4165" s="201"/>
    </row>
    <row r="4166" spans="1:2" x14ac:dyDescent="0.25">
      <c r="A4166" s="201"/>
      <c r="B4166" s="201"/>
    </row>
    <row r="4167" spans="1:2" x14ac:dyDescent="0.25">
      <c r="A4167" s="201"/>
      <c r="B4167" s="201"/>
    </row>
    <row r="4168" spans="1:2" x14ac:dyDescent="0.25">
      <c r="A4168" s="201"/>
      <c r="B4168" s="201"/>
    </row>
    <row r="4169" spans="1:2" x14ac:dyDescent="0.25">
      <c r="A4169" s="201"/>
      <c r="B4169" s="201"/>
    </row>
    <row r="4170" spans="1:2" x14ac:dyDescent="0.25">
      <c r="A4170" s="201"/>
      <c r="B4170" s="201"/>
    </row>
    <row r="4171" spans="1:2" x14ac:dyDescent="0.25">
      <c r="A4171" s="201"/>
      <c r="B4171" s="201"/>
    </row>
    <row r="4172" spans="1:2" x14ac:dyDescent="0.25">
      <c r="A4172" s="201"/>
      <c r="B4172" s="201"/>
    </row>
    <row r="4173" spans="1:2" x14ac:dyDescent="0.25">
      <c r="A4173" s="201"/>
      <c r="B4173" s="201"/>
    </row>
    <row r="4174" spans="1:2" x14ac:dyDescent="0.25">
      <c r="A4174" s="201"/>
      <c r="B4174" s="201"/>
    </row>
    <row r="4175" spans="1:2" x14ac:dyDescent="0.25">
      <c r="A4175" s="201"/>
      <c r="B4175" s="201"/>
    </row>
    <row r="4176" spans="1:2" x14ac:dyDescent="0.25">
      <c r="A4176" s="201"/>
      <c r="B4176" s="201"/>
    </row>
    <row r="4177" spans="1:2" x14ac:dyDescent="0.25">
      <c r="A4177" s="201"/>
      <c r="B4177" s="201"/>
    </row>
    <row r="4178" spans="1:2" x14ac:dyDescent="0.25">
      <c r="A4178" s="201"/>
      <c r="B4178" s="201"/>
    </row>
    <row r="4179" spans="1:2" x14ac:dyDescent="0.25">
      <c r="A4179" s="201"/>
      <c r="B4179" s="201"/>
    </row>
    <row r="4180" spans="1:2" x14ac:dyDescent="0.25">
      <c r="A4180" s="201"/>
      <c r="B4180" s="201"/>
    </row>
    <row r="4181" spans="1:2" x14ac:dyDescent="0.25">
      <c r="A4181" s="201"/>
      <c r="B4181" s="201"/>
    </row>
    <row r="4182" spans="1:2" x14ac:dyDescent="0.25">
      <c r="A4182" s="201"/>
      <c r="B4182" s="201"/>
    </row>
    <row r="4183" spans="1:2" x14ac:dyDescent="0.25">
      <c r="A4183" s="201"/>
      <c r="B4183" s="201"/>
    </row>
    <row r="4184" spans="1:2" x14ac:dyDescent="0.25">
      <c r="A4184" s="201"/>
      <c r="B4184" s="201"/>
    </row>
    <row r="4185" spans="1:2" x14ac:dyDescent="0.25">
      <c r="A4185" s="201"/>
      <c r="B4185" s="201"/>
    </row>
    <row r="4186" spans="1:2" x14ac:dyDescent="0.25">
      <c r="A4186" s="201"/>
      <c r="B4186" s="201"/>
    </row>
    <row r="4187" spans="1:2" x14ac:dyDescent="0.25">
      <c r="A4187" s="201"/>
      <c r="B4187" s="201"/>
    </row>
    <row r="4188" spans="1:2" x14ac:dyDescent="0.25">
      <c r="A4188" s="201"/>
      <c r="B4188" s="201"/>
    </row>
    <row r="4189" spans="1:2" x14ac:dyDescent="0.25">
      <c r="A4189" s="201"/>
      <c r="B4189" s="201"/>
    </row>
    <row r="4190" spans="1:2" x14ac:dyDescent="0.25">
      <c r="A4190" s="201"/>
      <c r="B4190" s="201"/>
    </row>
    <row r="4191" spans="1:2" x14ac:dyDescent="0.25">
      <c r="A4191" s="201"/>
      <c r="B4191" s="201"/>
    </row>
    <row r="4192" spans="1:2" x14ac:dyDescent="0.25">
      <c r="A4192" s="201"/>
      <c r="B4192" s="201"/>
    </row>
    <row r="4193" spans="1:2" x14ac:dyDescent="0.25">
      <c r="A4193" s="201"/>
      <c r="B4193" s="201"/>
    </row>
    <row r="4194" spans="1:2" x14ac:dyDescent="0.25">
      <c r="A4194" s="201"/>
      <c r="B4194" s="201"/>
    </row>
    <row r="4195" spans="1:2" x14ac:dyDescent="0.25">
      <c r="A4195" s="201"/>
      <c r="B4195" s="201"/>
    </row>
    <row r="4196" spans="1:2" x14ac:dyDescent="0.25">
      <c r="A4196" s="201"/>
      <c r="B4196" s="201"/>
    </row>
    <row r="4197" spans="1:2" x14ac:dyDescent="0.25">
      <c r="A4197" s="201"/>
      <c r="B4197" s="201"/>
    </row>
    <row r="4198" spans="1:2" x14ac:dyDescent="0.25">
      <c r="A4198" s="201"/>
      <c r="B4198" s="201"/>
    </row>
    <row r="4199" spans="1:2" x14ac:dyDescent="0.25">
      <c r="A4199" s="201"/>
      <c r="B4199" s="201"/>
    </row>
    <row r="4200" spans="1:2" x14ac:dyDescent="0.25">
      <c r="A4200" s="201"/>
      <c r="B4200" s="201"/>
    </row>
    <row r="4201" spans="1:2" x14ac:dyDescent="0.25">
      <c r="A4201" s="201"/>
      <c r="B4201" s="201"/>
    </row>
    <row r="4202" spans="1:2" x14ac:dyDescent="0.25">
      <c r="A4202" s="201"/>
      <c r="B4202" s="201"/>
    </row>
    <row r="4203" spans="1:2" x14ac:dyDescent="0.25">
      <c r="A4203" s="201"/>
      <c r="B4203" s="201"/>
    </row>
    <row r="4204" spans="1:2" x14ac:dyDescent="0.25">
      <c r="A4204" s="201"/>
      <c r="B4204" s="201"/>
    </row>
    <row r="4205" spans="1:2" x14ac:dyDescent="0.25">
      <c r="A4205" s="201"/>
      <c r="B4205" s="201"/>
    </row>
    <row r="4206" spans="1:2" x14ac:dyDescent="0.25">
      <c r="A4206" s="201"/>
      <c r="B4206" s="201"/>
    </row>
    <row r="4207" spans="1:2" x14ac:dyDescent="0.25">
      <c r="A4207" s="201"/>
      <c r="B4207" s="201"/>
    </row>
    <row r="4208" spans="1:2" x14ac:dyDescent="0.25">
      <c r="A4208" s="201"/>
      <c r="B4208" s="201"/>
    </row>
    <row r="4209" spans="1:2" x14ac:dyDescent="0.25">
      <c r="A4209" s="201"/>
      <c r="B4209" s="201"/>
    </row>
    <row r="4210" spans="1:2" x14ac:dyDescent="0.25">
      <c r="A4210" s="201"/>
      <c r="B4210" s="201"/>
    </row>
    <row r="4211" spans="1:2" x14ac:dyDescent="0.25">
      <c r="A4211" s="201"/>
      <c r="B4211" s="201"/>
    </row>
    <row r="4212" spans="1:2" x14ac:dyDescent="0.25">
      <c r="A4212" s="201"/>
      <c r="B4212" s="201"/>
    </row>
    <row r="4213" spans="1:2" x14ac:dyDescent="0.25">
      <c r="A4213" s="201"/>
      <c r="B4213" s="201"/>
    </row>
    <row r="4214" spans="1:2" x14ac:dyDescent="0.25">
      <c r="A4214" s="201"/>
      <c r="B4214" s="201"/>
    </row>
    <row r="4215" spans="1:2" x14ac:dyDescent="0.25">
      <c r="A4215" s="201"/>
      <c r="B4215" s="201"/>
    </row>
    <row r="4216" spans="1:2" x14ac:dyDescent="0.25">
      <c r="A4216" s="201"/>
      <c r="B4216" s="201"/>
    </row>
    <row r="4217" spans="1:2" x14ac:dyDescent="0.25">
      <c r="A4217" s="201"/>
      <c r="B4217" s="201"/>
    </row>
    <row r="4218" spans="1:2" x14ac:dyDescent="0.25">
      <c r="A4218" s="201"/>
      <c r="B4218" s="201"/>
    </row>
    <row r="4219" spans="1:2" x14ac:dyDescent="0.25">
      <c r="A4219" s="201"/>
      <c r="B4219" s="201"/>
    </row>
    <row r="4220" spans="1:2" x14ac:dyDescent="0.25">
      <c r="A4220" s="201"/>
      <c r="B4220" s="201"/>
    </row>
    <row r="4221" spans="1:2" x14ac:dyDescent="0.25">
      <c r="A4221" s="201"/>
      <c r="B4221" s="201"/>
    </row>
    <row r="4222" spans="1:2" x14ac:dyDescent="0.25">
      <c r="A4222" s="201"/>
      <c r="B4222" s="201"/>
    </row>
    <row r="4223" spans="1:2" x14ac:dyDescent="0.25">
      <c r="A4223" s="201"/>
      <c r="B4223" s="201"/>
    </row>
    <row r="4224" spans="1:2" x14ac:dyDescent="0.25">
      <c r="A4224" s="201"/>
      <c r="B4224" s="201"/>
    </row>
    <row r="4225" spans="1:2" x14ac:dyDescent="0.25">
      <c r="A4225" s="201"/>
      <c r="B4225" s="201"/>
    </row>
    <row r="4226" spans="1:2" x14ac:dyDescent="0.25">
      <c r="A4226" s="201"/>
      <c r="B4226" s="201"/>
    </row>
    <row r="4227" spans="1:2" x14ac:dyDescent="0.25">
      <c r="A4227" s="201"/>
      <c r="B4227" s="201"/>
    </row>
    <row r="4228" spans="1:2" x14ac:dyDescent="0.25">
      <c r="A4228" s="201"/>
      <c r="B4228" s="201"/>
    </row>
    <row r="4229" spans="1:2" x14ac:dyDescent="0.25">
      <c r="A4229" s="201"/>
      <c r="B4229" s="201"/>
    </row>
    <row r="4230" spans="1:2" x14ac:dyDescent="0.25">
      <c r="A4230" s="201"/>
      <c r="B4230" s="201"/>
    </row>
    <row r="4231" spans="1:2" x14ac:dyDescent="0.25">
      <c r="A4231" s="201"/>
      <c r="B4231" s="201"/>
    </row>
    <row r="4232" spans="1:2" x14ac:dyDescent="0.25">
      <c r="A4232" s="201"/>
      <c r="B4232" s="201"/>
    </row>
    <row r="4233" spans="1:2" x14ac:dyDescent="0.25">
      <c r="A4233" s="201"/>
      <c r="B4233" s="201"/>
    </row>
    <row r="4234" spans="1:2" x14ac:dyDescent="0.25">
      <c r="A4234" s="201"/>
      <c r="B4234" s="201"/>
    </row>
    <row r="4235" spans="1:2" x14ac:dyDescent="0.25">
      <c r="A4235" s="201"/>
      <c r="B4235" s="201"/>
    </row>
    <row r="4236" spans="1:2" x14ac:dyDescent="0.25">
      <c r="A4236" s="201"/>
      <c r="B4236" s="201"/>
    </row>
    <row r="4237" spans="1:2" x14ac:dyDescent="0.25">
      <c r="A4237" s="201"/>
      <c r="B4237" s="201"/>
    </row>
    <row r="4238" spans="1:2" x14ac:dyDescent="0.25">
      <c r="A4238" s="201"/>
      <c r="B4238" s="201"/>
    </row>
    <row r="4239" spans="1:2" x14ac:dyDescent="0.25">
      <c r="A4239" s="201"/>
      <c r="B4239" s="201"/>
    </row>
    <row r="4240" spans="1:2" x14ac:dyDescent="0.25">
      <c r="A4240" s="201"/>
      <c r="B4240" s="201"/>
    </row>
    <row r="4241" spans="1:2" x14ac:dyDescent="0.25">
      <c r="A4241" s="201"/>
      <c r="B4241" s="201"/>
    </row>
    <row r="4242" spans="1:2" x14ac:dyDescent="0.25">
      <c r="A4242" s="201"/>
      <c r="B4242" s="201"/>
    </row>
    <row r="4243" spans="1:2" x14ac:dyDescent="0.25">
      <c r="A4243" s="201"/>
      <c r="B4243" s="201"/>
    </row>
    <row r="4244" spans="1:2" x14ac:dyDescent="0.25">
      <c r="A4244" s="201"/>
      <c r="B4244" s="201"/>
    </row>
    <row r="4245" spans="1:2" x14ac:dyDescent="0.25">
      <c r="A4245" s="201"/>
      <c r="B4245" s="201"/>
    </row>
    <row r="4246" spans="1:2" x14ac:dyDescent="0.25">
      <c r="A4246" s="201"/>
      <c r="B4246" s="201"/>
    </row>
    <row r="4247" spans="1:2" x14ac:dyDescent="0.25">
      <c r="A4247" s="201"/>
      <c r="B4247" s="201"/>
    </row>
    <row r="4248" spans="1:2" x14ac:dyDescent="0.25">
      <c r="A4248" s="201"/>
      <c r="B4248" s="201"/>
    </row>
    <row r="4249" spans="1:2" x14ac:dyDescent="0.25">
      <c r="A4249" s="201"/>
      <c r="B4249" s="201"/>
    </row>
    <row r="4250" spans="1:2" x14ac:dyDescent="0.25">
      <c r="A4250" s="201"/>
      <c r="B4250" s="201"/>
    </row>
    <row r="4251" spans="1:2" x14ac:dyDescent="0.25">
      <c r="A4251" s="201"/>
      <c r="B4251" s="201"/>
    </row>
    <row r="4252" spans="1:2" x14ac:dyDescent="0.25">
      <c r="A4252" s="201"/>
      <c r="B4252" s="201"/>
    </row>
    <row r="4253" spans="1:2" x14ac:dyDescent="0.25">
      <c r="A4253" s="201"/>
      <c r="B4253" s="201"/>
    </row>
    <row r="4254" spans="1:2" x14ac:dyDescent="0.25">
      <c r="A4254" s="201"/>
      <c r="B4254" s="201"/>
    </row>
    <row r="4255" spans="1:2" x14ac:dyDescent="0.25">
      <c r="A4255" s="201"/>
      <c r="B4255" s="201"/>
    </row>
    <row r="4256" spans="1:2" x14ac:dyDescent="0.25">
      <c r="A4256" s="201"/>
      <c r="B4256" s="201"/>
    </row>
    <row r="4257" spans="1:2" x14ac:dyDescent="0.25">
      <c r="A4257" s="201"/>
      <c r="B4257" s="201"/>
    </row>
    <row r="4258" spans="1:2" x14ac:dyDescent="0.25">
      <c r="A4258" s="201"/>
      <c r="B4258" s="201"/>
    </row>
    <row r="4259" spans="1:2" x14ac:dyDescent="0.25">
      <c r="A4259" s="201"/>
      <c r="B4259" s="201"/>
    </row>
    <row r="4260" spans="1:2" x14ac:dyDescent="0.25">
      <c r="A4260" s="201"/>
      <c r="B4260" s="201"/>
    </row>
    <row r="4261" spans="1:2" x14ac:dyDescent="0.25">
      <c r="A4261" s="201"/>
      <c r="B4261" s="201"/>
    </row>
    <row r="4262" spans="1:2" x14ac:dyDescent="0.25">
      <c r="A4262" s="201"/>
      <c r="B4262" s="201"/>
    </row>
    <row r="4263" spans="1:2" x14ac:dyDescent="0.25">
      <c r="A4263" s="201"/>
      <c r="B4263" s="201"/>
    </row>
    <row r="4264" spans="1:2" x14ac:dyDescent="0.25">
      <c r="A4264" s="201"/>
      <c r="B4264" s="201"/>
    </row>
    <row r="4265" spans="1:2" x14ac:dyDescent="0.25">
      <c r="A4265" s="201"/>
      <c r="B4265" s="201"/>
    </row>
    <row r="4266" spans="1:2" x14ac:dyDescent="0.25">
      <c r="A4266" s="201"/>
      <c r="B4266" s="201"/>
    </row>
    <row r="4267" spans="1:2" x14ac:dyDescent="0.25">
      <c r="A4267" s="201"/>
      <c r="B4267" s="201"/>
    </row>
    <row r="4268" spans="1:2" x14ac:dyDescent="0.25">
      <c r="A4268" s="201"/>
      <c r="B4268" s="201"/>
    </row>
    <row r="4269" spans="1:2" x14ac:dyDescent="0.25">
      <c r="A4269" s="201"/>
      <c r="B4269" s="201"/>
    </row>
    <row r="4270" spans="1:2" x14ac:dyDescent="0.25">
      <c r="A4270" s="201"/>
      <c r="B4270" s="201"/>
    </row>
    <row r="4271" spans="1:2" x14ac:dyDescent="0.25">
      <c r="A4271" s="201"/>
      <c r="B4271" s="201"/>
    </row>
    <row r="4272" spans="1:2" x14ac:dyDescent="0.25">
      <c r="A4272" s="201"/>
      <c r="B4272" s="201"/>
    </row>
    <row r="4273" spans="1:2" x14ac:dyDescent="0.25">
      <c r="A4273" s="201"/>
      <c r="B4273" s="201"/>
    </row>
    <row r="4274" spans="1:2" x14ac:dyDescent="0.25">
      <c r="A4274" s="201"/>
      <c r="B4274" s="201"/>
    </row>
    <row r="4275" spans="1:2" x14ac:dyDescent="0.25">
      <c r="A4275" s="201"/>
      <c r="B4275" s="201"/>
    </row>
    <row r="4276" spans="1:2" x14ac:dyDescent="0.25">
      <c r="A4276" s="201"/>
      <c r="B4276" s="201"/>
    </row>
    <row r="4277" spans="1:2" x14ac:dyDescent="0.25">
      <c r="A4277" s="201"/>
      <c r="B4277" s="201"/>
    </row>
    <row r="4278" spans="1:2" x14ac:dyDescent="0.25">
      <c r="A4278" s="201"/>
      <c r="B4278" s="201"/>
    </row>
    <row r="4279" spans="1:2" x14ac:dyDescent="0.25">
      <c r="A4279" s="201"/>
      <c r="B4279" s="201"/>
    </row>
    <row r="4280" spans="1:2" x14ac:dyDescent="0.25">
      <c r="A4280" s="201"/>
      <c r="B4280" s="201"/>
    </row>
    <row r="4281" spans="1:2" x14ac:dyDescent="0.25">
      <c r="A4281" s="201"/>
      <c r="B4281" s="201"/>
    </row>
    <row r="4282" spans="1:2" x14ac:dyDescent="0.25">
      <c r="A4282" s="201"/>
      <c r="B4282" s="201"/>
    </row>
    <row r="4283" spans="1:2" x14ac:dyDescent="0.25">
      <c r="A4283" s="201"/>
      <c r="B4283" s="201"/>
    </row>
    <row r="4284" spans="1:2" x14ac:dyDescent="0.25">
      <c r="A4284" s="201"/>
      <c r="B4284" s="201"/>
    </row>
    <row r="4285" spans="1:2" x14ac:dyDescent="0.25">
      <c r="A4285" s="201"/>
      <c r="B4285" s="201"/>
    </row>
    <row r="4286" spans="1:2" x14ac:dyDescent="0.25">
      <c r="A4286" s="201"/>
      <c r="B4286" s="201"/>
    </row>
    <row r="4287" spans="1:2" x14ac:dyDescent="0.25">
      <c r="A4287" s="201"/>
      <c r="B4287" s="201"/>
    </row>
    <row r="4288" spans="1:2" x14ac:dyDescent="0.25">
      <c r="A4288" s="201"/>
      <c r="B4288" s="201"/>
    </row>
    <row r="4289" spans="1:2" x14ac:dyDescent="0.25">
      <c r="A4289" s="201"/>
      <c r="B4289" s="201"/>
    </row>
    <row r="4290" spans="1:2" x14ac:dyDescent="0.25">
      <c r="A4290" s="201"/>
      <c r="B4290" s="201"/>
    </row>
    <row r="4291" spans="1:2" x14ac:dyDescent="0.25">
      <c r="A4291" s="201"/>
      <c r="B4291" s="201"/>
    </row>
    <row r="4292" spans="1:2" x14ac:dyDescent="0.25">
      <c r="A4292" s="201"/>
      <c r="B4292" s="201"/>
    </row>
    <row r="4293" spans="1:2" x14ac:dyDescent="0.25">
      <c r="A4293" s="201"/>
      <c r="B4293" s="201"/>
    </row>
    <row r="4294" spans="1:2" x14ac:dyDescent="0.25">
      <c r="A4294" s="201"/>
      <c r="B4294" s="201"/>
    </row>
    <row r="4295" spans="1:2" x14ac:dyDescent="0.25">
      <c r="A4295" s="201"/>
      <c r="B4295" s="201"/>
    </row>
    <row r="4296" spans="1:2" x14ac:dyDescent="0.25">
      <c r="A4296" s="201"/>
      <c r="B4296" s="201"/>
    </row>
    <row r="4297" spans="1:2" x14ac:dyDescent="0.25">
      <c r="A4297" s="201"/>
      <c r="B4297" s="201"/>
    </row>
    <row r="4298" spans="1:2" x14ac:dyDescent="0.25">
      <c r="A4298" s="201"/>
      <c r="B4298" s="201"/>
    </row>
    <row r="4299" spans="1:2" x14ac:dyDescent="0.25">
      <c r="A4299" s="201"/>
      <c r="B4299" s="201"/>
    </row>
    <row r="4300" spans="1:2" x14ac:dyDescent="0.25">
      <c r="A4300" s="201"/>
      <c r="B4300" s="201"/>
    </row>
    <row r="4301" spans="1:2" x14ac:dyDescent="0.25">
      <c r="A4301" s="201"/>
      <c r="B4301" s="201"/>
    </row>
    <row r="4302" spans="1:2" x14ac:dyDescent="0.25">
      <c r="A4302" s="201"/>
      <c r="B4302" s="201"/>
    </row>
    <row r="4303" spans="1:2" x14ac:dyDescent="0.25">
      <c r="A4303" s="201"/>
      <c r="B4303" s="201"/>
    </row>
    <row r="4304" spans="1:2" x14ac:dyDescent="0.25">
      <c r="A4304" s="201"/>
      <c r="B4304" s="201"/>
    </row>
    <row r="4305" spans="1:2" x14ac:dyDescent="0.25">
      <c r="A4305" s="201"/>
      <c r="B4305" s="201"/>
    </row>
    <row r="4306" spans="1:2" x14ac:dyDescent="0.25">
      <c r="A4306" s="201"/>
      <c r="B4306" s="201"/>
    </row>
    <row r="4307" spans="1:2" x14ac:dyDescent="0.25">
      <c r="A4307" s="201"/>
      <c r="B4307" s="201"/>
    </row>
    <row r="4308" spans="1:2" x14ac:dyDescent="0.25">
      <c r="A4308" s="201"/>
      <c r="B4308" s="201"/>
    </row>
    <row r="4309" spans="1:2" x14ac:dyDescent="0.25">
      <c r="A4309" s="201"/>
      <c r="B4309" s="201"/>
    </row>
    <row r="4310" spans="1:2" x14ac:dyDescent="0.25">
      <c r="A4310" s="201"/>
      <c r="B4310" s="201"/>
    </row>
    <row r="4311" spans="1:2" x14ac:dyDescent="0.25">
      <c r="A4311" s="201"/>
      <c r="B4311" s="201"/>
    </row>
    <row r="4312" spans="1:2" x14ac:dyDescent="0.25">
      <c r="A4312" s="201"/>
      <c r="B4312" s="201"/>
    </row>
    <row r="4313" spans="1:2" x14ac:dyDescent="0.25">
      <c r="A4313" s="201"/>
      <c r="B4313" s="201"/>
    </row>
    <row r="4314" spans="1:2" x14ac:dyDescent="0.25">
      <c r="A4314" s="201"/>
      <c r="B4314" s="201"/>
    </row>
    <row r="4315" spans="1:2" x14ac:dyDescent="0.25">
      <c r="A4315" s="201"/>
      <c r="B4315" s="201"/>
    </row>
    <row r="4316" spans="1:2" x14ac:dyDescent="0.25">
      <c r="A4316" s="201"/>
      <c r="B4316" s="201"/>
    </row>
    <row r="4317" spans="1:2" x14ac:dyDescent="0.25">
      <c r="A4317" s="201"/>
      <c r="B4317" s="201"/>
    </row>
    <row r="4318" spans="1:2" x14ac:dyDescent="0.25">
      <c r="A4318" s="201"/>
      <c r="B4318" s="201"/>
    </row>
    <row r="4319" spans="1:2" x14ac:dyDescent="0.25">
      <c r="A4319" s="201"/>
      <c r="B4319" s="201"/>
    </row>
    <row r="4320" spans="1:2" x14ac:dyDescent="0.25">
      <c r="A4320" s="201"/>
      <c r="B4320" s="201"/>
    </row>
    <row r="4321" spans="1:2" x14ac:dyDescent="0.25">
      <c r="A4321" s="201"/>
      <c r="B4321" s="201"/>
    </row>
    <row r="4322" spans="1:2" x14ac:dyDescent="0.25">
      <c r="A4322" s="201"/>
      <c r="B4322" s="201"/>
    </row>
    <row r="4323" spans="1:2" x14ac:dyDescent="0.25">
      <c r="A4323" s="201"/>
      <c r="B4323" s="201"/>
    </row>
    <row r="4324" spans="1:2" x14ac:dyDescent="0.25">
      <c r="A4324" s="201"/>
      <c r="B4324" s="201"/>
    </row>
    <row r="4325" spans="1:2" x14ac:dyDescent="0.25">
      <c r="A4325" s="201"/>
      <c r="B4325" s="201"/>
    </row>
    <row r="4326" spans="1:2" x14ac:dyDescent="0.25">
      <c r="A4326" s="201"/>
      <c r="B4326" s="201"/>
    </row>
    <row r="4327" spans="1:2" x14ac:dyDescent="0.25">
      <c r="A4327" s="201"/>
      <c r="B4327" s="201"/>
    </row>
    <row r="4328" spans="1:2" x14ac:dyDescent="0.25">
      <c r="A4328" s="201"/>
      <c r="B4328" s="201"/>
    </row>
    <row r="4329" spans="1:2" x14ac:dyDescent="0.25">
      <c r="A4329" s="201"/>
      <c r="B4329" s="201"/>
    </row>
    <row r="4330" spans="1:2" x14ac:dyDescent="0.25">
      <c r="A4330" s="201"/>
      <c r="B4330" s="201"/>
    </row>
    <row r="4331" spans="1:2" x14ac:dyDescent="0.25">
      <c r="A4331" s="201"/>
      <c r="B4331" s="201"/>
    </row>
    <row r="4332" spans="1:2" x14ac:dyDescent="0.25">
      <c r="A4332" s="201"/>
      <c r="B4332" s="201"/>
    </row>
    <row r="4333" spans="1:2" x14ac:dyDescent="0.25">
      <c r="A4333" s="201"/>
      <c r="B4333" s="201"/>
    </row>
    <row r="4334" spans="1:2" x14ac:dyDescent="0.25">
      <c r="A4334" s="201"/>
      <c r="B4334" s="201"/>
    </row>
    <row r="4335" spans="1:2" x14ac:dyDescent="0.25">
      <c r="A4335" s="201"/>
      <c r="B4335" s="201"/>
    </row>
    <row r="4336" spans="1:2" x14ac:dyDescent="0.25">
      <c r="A4336" s="201"/>
      <c r="B4336" s="201"/>
    </row>
    <row r="4337" spans="1:2" x14ac:dyDescent="0.25">
      <c r="A4337" s="201"/>
      <c r="B4337" s="201"/>
    </row>
    <row r="4338" spans="1:2" x14ac:dyDescent="0.25">
      <c r="A4338" s="201"/>
      <c r="B4338" s="201"/>
    </row>
    <row r="4339" spans="1:2" x14ac:dyDescent="0.25">
      <c r="A4339" s="201"/>
      <c r="B4339" s="201"/>
    </row>
    <row r="4340" spans="1:2" x14ac:dyDescent="0.25">
      <c r="A4340" s="201"/>
      <c r="B4340" s="201"/>
    </row>
    <row r="4341" spans="1:2" x14ac:dyDescent="0.25">
      <c r="A4341" s="201"/>
      <c r="B4341" s="201"/>
    </row>
    <row r="4342" spans="1:2" x14ac:dyDescent="0.25">
      <c r="A4342" s="201"/>
      <c r="B4342" s="201"/>
    </row>
    <row r="4343" spans="1:2" x14ac:dyDescent="0.25">
      <c r="A4343" s="201"/>
      <c r="B4343" s="201"/>
    </row>
    <row r="4344" spans="1:2" x14ac:dyDescent="0.25">
      <c r="A4344" s="201"/>
      <c r="B4344" s="201"/>
    </row>
    <row r="4345" spans="1:2" x14ac:dyDescent="0.25">
      <c r="A4345" s="201"/>
      <c r="B4345" s="201"/>
    </row>
    <row r="4346" spans="1:2" x14ac:dyDescent="0.25">
      <c r="A4346" s="201"/>
      <c r="B4346" s="201"/>
    </row>
    <row r="4347" spans="1:2" x14ac:dyDescent="0.25">
      <c r="A4347" s="201"/>
      <c r="B4347" s="201"/>
    </row>
    <row r="4348" spans="1:2" x14ac:dyDescent="0.25">
      <c r="A4348" s="201"/>
      <c r="B4348" s="201"/>
    </row>
    <row r="4349" spans="1:2" x14ac:dyDescent="0.25">
      <c r="A4349" s="201"/>
      <c r="B4349" s="201"/>
    </row>
    <row r="4350" spans="1:2" x14ac:dyDescent="0.25">
      <c r="A4350" s="201"/>
      <c r="B4350" s="201"/>
    </row>
    <row r="4351" spans="1:2" x14ac:dyDescent="0.25">
      <c r="A4351" s="201"/>
      <c r="B4351" s="201"/>
    </row>
    <row r="4352" spans="1:2" x14ac:dyDescent="0.25">
      <c r="A4352" s="201"/>
      <c r="B4352" s="201"/>
    </row>
    <row r="4353" spans="1:2" x14ac:dyDescent="0.25">
      <c r="A4353" s="201"/>
      <c r="B4353" s="201"/>
    </row>
    <row r="4354" spans="1:2" x14ac:dyDescent="0.25">
      <c r="A4354" s="201"/>
      <c r="B4354" s="201"/>
    </row>
    <row r="4355" spans="1:2" x14ac:dyDescent="0.25">
      <c r="A4355" s="201"/>
      <c r="B4355" s="201"/>
    </row>
    <row r="4356" spans="1:2" x14ac:dyDescent="0.25">
      <c r="A4356" s="201"/>
      <c r="B4356" s="201"/>
    </row>
    <row r="4357" spans="1:2" x14ac:dyDescent="0.25">
      <c r="A4357" s="201"/>
      <c r="B4357" s="201"/>
    </row>
    <row r="4358" spans="1:2" x14ac:dyDescent="0.25">
      <c r="A4358" s="201"/>
      <c r="B4358" s="201"/>
    </row>
    <row r="4359" spans="1:2" x14ac:dyDescent="0.25">
      <c r="A4359" s="201"/>
      <c r="B4359" s="201"/>
    </row>
    <row r="4360" spans="1:2" x14ac:dyDescent="0.25">
      <c r="A4360" s="201"/>
      <c r="B4360" s="201"/>
    </row>
    <row r="4361" spans="1:2" x14ac:dyDescent="0.25">
      <c r="A4361" s="201"/>
      <c r="B4361" s="201"/>
    </row>
    <row r="4362" spans="1:2" x14ac:dyDescent="0.25">
      <c r="A4362" s="201"/>
      <c r="B4362" s="201"/>
    </row>
    <row r="4363" spans="1:2" x14ac:dyDescent="0.25">
      <c r="A4363" s="201"/>
      <c r="B4363" s="201"/>
    </row>
    <row r="4364" spans="1:2" x14ac:dyDescent="0.25">
      <c r="A4364" s="201"/>
      <c r="B4364" s="201"/>
    </row>
    <row r="4365" spans="1:2" x14ac:dyDescent="0.25">
      <c r="A4365" s="201"/>
      <c r="B4365" s="201"/>
    </row>
    <row r="4366" spans="1:2" x14ac:dyDescent="0.25">
      <c r="A4366" s="201"/>
      <c r="B4366" s="201"/>
    </row>
    <row r="4367" spans="1:2" x14ac:dyDescent="0.25">
      <c r="A4367" s="201"/>
      <c r="B4367" s="201"/>
    </row>
    <row r="4368" spans="1:2" x14ac:dyDescent="0.25">
      <c r="A4368" s="201"/>
      <c r="B4368" s="201"/>
    </row>
    <row r="4369" spans="1:2" x14ac:dyDescent="0.25">
      <c r="A4369" s="201"/>
      <c r="B4369" s="201"/>
    </row>
    <row r="4370" spans="1:2" x14ac:dyDescent="0.25">
      <c r="A4370" s="201"/>
      <c r="B4370" s="201"/>
    </row>
    <row r="4371" spans="1:2" x14ac:dyDescent="0.25">
      <c r="A4371" s="201"/>
      <c r="B4371" s="201"/>
    </row>
    <row r="4372" spans="1:2" x14ac:dyDescent="0.25">
      <c r="A4372" s="201"/>
      <c r="B4372" s="201"/>
    </row>
    <row r="4373" spans="1:2" x14ac:dyDescent="0.25">
      <c r="A4373" s="201"/>
      <c r="B4373" s="201"/>
    </row>
    <row r="4374" spans="1:2" x14ac:dyDescent="0.25">
      <c r="A4374" s="201"/>
      <c r="B4374" s="201"/>
    </row>
    <row r="4375" spans="1:2" x14ac:dyDescent="0.25">
      <c r="A4375" s="201"/>
      <c r="B4375" s="201"/>
    </row>
    <row r="4376" spans="1:2" x14ac:dyDescent="0.25">
      <c r="A4376" s="201"/>
      <c r="B4376" s="201"/>
    </row>
    <row r="4377" spans="1:2" x14ac:dyDescent="0.25">
      <c r="A4377" s="201"/>
      <c r="B4377" s="201"/>
    </row>
    <row r="4378" spans="1:2" x14ac:dyDescent="0.25">
      <c r="A4378" s="201"/>
      <c r="B4378" s="201"/>
    </row>
    <row r="4379" spans="1:2" x14ac:dyDescent="0.25">
      <c r="A4379" s="201"/>
      <c r="B4379" s="201"/>
    </row>
    <row r="4380" spans="1:2" x14ac:dyDescent="0.25">
      <c r="A4380" s="201"/>
      <c r="B4380" s="201"/>
    </row>
    <row r="4381" spans="1:2" x14ac:dyDescent="0.25">
      <c r="A4381" s="201"/>
      <c r="B4381" s="201"/>
    </row>
    <row r="4382" spans="1:2" x14ac:dyDescent="0.25">
      <c r="A4382" s="201"/>
      <c r="B4382" s="201"/>
    </row>
    <row r="4383" spans="1:2" x14ac:dyDescent="0.25">
      <c r="A4383" s="201"/>
      <c r="B4383" s="201"/>
    </row>
    <row r="4384" spans="1:2" x14ac:dyDescent="0.25">
      <c r="A4384" s="201"/>
      <c r="B4384" s="201"/>
    </row>
    <row r="4385" spans="1:2" x14ac:dyDescent="0.25">
      <c r="A4385" s="201"/>
      <c r="B4385" s="201"/>
    </row>
    <row r="4386" spans="1:2" x14ac:dyDescent="0.25">
      <c r="A4386" s="201"/>
      <c r="B4386" s="201"/>
    </row>
    <row r="4387" spans="1:2" x14ac:dyDescent="0.25">
      <c r="A4387" s="201"/>
      <c r="B4387" s="201"/>
    </row>
    <row r="4388" spans="1:2" x14ac:dyDescent="0.25">
      <c r="A4388" s="201"/>
      <c r="B4388" s="201"/>
    </row>
    <row r="4389" spans="1:2" x14ac:dyDescent="0.25">
      <c r="A4389" s="201"/>
      <c r="B4389" s="201"/>
    </row>
    <row r="4390" spans="1:2" x14ac:dyDescent="0.25">
      <c r="A4390" s="201"/>
      <c r="B4390" s="201"/>
    </row>
    <row r="4391" spans="1:2" x14ac:dyDescent="0.25">
      <c r="A4391" s="201"/>
      <c r="B4391" s="201"/>
    </row>
    <row r="4392" spans="1:2" x14ac:dyDescent="0.25">
      <c r="A4392" s="201"/>
      <c r="B4392" s="201"/>
    </row>
    <row r="4393" spans="1:2" x14ac:dyDescent="0.25">
      <c r="A4393" s="201"/>
      <c r="B4393" s="201"/>
    </row>
    <row r="4394" spans="1:2" x14ac:dyDescent="0.25">
      <c r="A4394" s="201"/>
      <c r="B4394" s="201"/>
    </row>
    <row r="4395" spans="1:2" x14ac:dyDescent="0.25">
      <c r="A4395" s="201"/>
      <c r="B4395" s="201"/>
    </row>
    <row r="4396" spans="1:2" x14ac:dyDescent="0.25">
      <c r="A4396" s="201"/>
      <c r="B4396" s="201"/>
    </row>
    <row r="4397" spans="1:2" x14ac:dyDescent="0.25">
      <c r="A4397" s="201"/>
      <c r="B4397" s="201"/>
    </row>
    <row r="4398" spans="1:2" x14ac:dyDescent="0.25">
      <c r="A4398" s="201"/>
      <c r="B4398" s="201"/>
    </row>
    <row r="4399" spans="1:2" x14ac:dyDescent="0.25">
      <c r="A4399" s="201"/>
      <c r="B4399" s="201"/>
    </row>
    <row r="4400" spans="1:2" x14ac:dyDescent="0.25">
      <c r="A4400" s="201"/>
      <c r="B4400" s="201"/>
    </row>
    <row r="4401" spans="1:2" x14ac:dyDescent="0.25">
      <c r="A4401" s="201"/>
      <c r="B4401" s="201"/>
    </row>
    <row r="4402" spans="1:2" x14ac:dyDescent="0.25">
      <c r="A4402" s="201"/>
      <c r="B4402" s="201"/>
    </row>
    <row r="4403" spans="1:2" x14ac:dyDescent="0.25">
      <c r="A4403" s="201"/>
      <c r="B4403" s="201"/>
    </row>
    <row r="4404" spans="1:2" x14ac:dyDescent="0.25">
      <c r="A4404" s="201"/>
      <c r="B4404" s="201"/>
    </row>
    <row r="4405" spans="1:2" x14ac:dyDescent="0.25">
      <c r="A4405" s="201"/>
      <c r="B4405" s="201"/>
    </row>
    <row r="4406" spans="1:2" x14ac:dyDescent="0.25">
      <c r="A4406" s="201"/>
      <c r="B4406" s="201"/>
    </row>
    <row r="4407" spans="1:2" x14ac:dyDescent="0.25">
      <c r="A4407" s="201"/>
      <c r="B4407" s="201"/>
    </row>
    <row r="4408" spans="1:2" x14ac:dyDescent="0.25">
      <c r="A4408" s="201"/>
      <c r="B4408" s="201"/>
    </row>
    <row r="4409" spans="1:2" x14ac:dyDescent="0.25">
      <c r="A4409" s="201"/>
      <c r="B4409" s="201"/>
    </row>
    <row r="4410" spans="1:2" x14ac:dyDescent="0.25">
      <c r="A4410" s="201"/>
      <c r="B4410" s="201"/>
    </row>
    <row r="4411" spans="1:2" x14ac:dyDescent="0.25">
      <c r="A4411" s="201"/>
      <c r="B4411" s="201"/>
    </row>
    <row r="4412" spans="1:2" x14ac:dyDescent="0.25">
      <c r="A4412" s="201"/>
      <c r="B4412" s="201"/>
    </row>
    <row r="4413" spans="1:2" x14ac:dyDescent="0.25">
      <c r="A4413" s="201"/>
      <c r="B4413" s="201"/>
    </row>
    <row r="4414" spans="1:2" x14ac:dyDescent="0.25">
      <c r="A4414" s="201"/>
      <c r="B4414" s="201"/>
    </row>
    <row r="4415" spans="1:2" x14ac:dyDescent="0.25">
      <c r="A4415" s="201"/>
      <c r="B4415" s="201"/>
    </row>
    <row r="4416" spans="1:2" x14ac:dyDescent="0.25">
      <c r="A4416" s="201"/>
      <c r="B4416" s="201"/>
    </row>
    <row r="4417" spans="1:2" x14ac:dyDescent="0.25">
      <c r="A4417" s="201"/>
      <c r="B4417" s="201"/>
    </row>
    <row r="4418" spans="1:2" x14ac:dyDescent="0.25">
      <c r="A4418" s="201"/>
      <c r="B4418" s="201"/>
    </row>
    <row r="4419" spans="1:2" x14ac:dyDescent="0.25">
      <c r="A4419" s="201"/>
      <c r="B4419" s="201"/>
    </row>
    <row r="4420" spans="1:2" x14ac:dyDescent="0.25">
      <c r="A4420" s="201"/>
      <c r="B4420" s="201"/>
    </row>
    <row r="4421" spans="1:2" x14ac:dyDescent="0.25">
      <c r="A4421" s="201"/>
      <c r="B4421" s="201"/>
    </row>
    <row r="4422" spans="1:2" x14ac:dyDescent="0.25">
      <c r="A4422" s="201"/>
      <c r="B4422" s="201"/>
    </row>
    <row r="4423" spans="1:2" x14ac:dyDescent="0.25">
      <c r="A4423" s="201"/>
      <c r="B4423" s="201"/>
    </row>
    <row r="4424" spans="1:2" x14ac:dyDescent="0.25">
      <c r="A4424" s="201"/>
      <c r="B4424" s="201"/>
    </row>
    <row r="4425" spans="1:2" x14ac:dyDescent="0.25">
      <c r="A4425" s="201"/>
      <c r="B4425" s="201"/>
    </row>
    <row r="4426" spans="1:2" x14ac:dyDescent="0.25">
      <c r="A4426" s="201"/>
      <c r="B4426" s="201"/>
    </row>
    <row r="4427" spans="1:2" x14ac:dyDescent="0.25">
      <c r="A4427" s="201"/>
      <c r="B4427" s="201"/>
    </row>
    <row r="4428" spans="1:2" x14ac:dyDescent="0.25">
      <c r="A4428" s="201"/>
      <c r="B4428" s="201"/>
    </row>
    <row r="4429" spans="1:2" x14ac:dyDescent="0.25">
      <c r="A4429" s="201"/>
      <c r="B4429" s="201"/>
    </row>
    <row r="4430" spans="1:2" x14ac:dyDescent="0.25">
      <c r="A4430" s="201"/>
      <c r="B4430" s="201"/>
    </row>
    <row r="4431" spans="1:2" x14ac:dyDescent="0.25">
      <c r="A4431" s="201"/>
      <c r="B4431" s="201"/>
    </row>
    <row r="4432" spans="1:2" x14ac:dyDescent="0.25">
      <c r="A4432" s="201"/>
      <c r="B4432" s="201"/>
    </row>
    <row r="4433" spans="1:2" x14ac:dyDescent="0.25">
      <c r="A4433" s="201"/>
      <c r="B4433" s="201"/>
    </row>
    <row r="4434" spans="1:2" x14ac:dyDescent="0.25">
      <c r="A4434" s="201"/>
      <c r="B4434" s="201"/>
    </row>
    <row r="4435" spans="1:2" x14ac:dyDescent="0.25">
      <c r="A4435" s="201"/>
      <c r="B4435" s="201"/>
    </row>
    <row r="4436" spans="1:2" x14ac:dyDescent="0.25">
      <c r="A4436" s="201"/>
      <c r="B4436" s="201"/>
    </row>
    <row r="4437" spans="1:2" x14ac:dyDescent="0.25">
      <c r="A4437" s="201"/>
      <c r="B4437" s="201"/>
    </row>
    <row r="4438" spans="1:2" x14ac:dyDescent="0.25">
      <c r="A4438" s="201"/>
      <c r="B4438" s="201"/>
    </row>
    <row r="4439" spans="1:2" x14ac:dyDescent="0.25">
      <c r="A4439" s="201"/>
      <c r="B4439" s="201"/>
    </row>
    <row r="4440" spans="1:2" x14ac:dyDescent="0.25">
      <c r="A4440" s="201"/>
      <c r="B4440" s="201"/>
    </row>
    <row r="4441" spans="1:2" x14ac:dyDescent="0.25">
      <c r="A4441" s="201"/>
      <c r="B4441" s="201"/>
    </row>
    <row r="4442" spans="1:2" x14ac:dyDescent="0.25">
      <c r="A4442" s="201"/>
      <c r="B4442" s="201"/>
    </row>
    <row r="4443" spans="1:2" x14ac:dyDescent="0.25">
      <c r="A4443" s="201"/>
      <c r="B4443" s="201"/>
    </row>
    <row r="4444" spans="1:2" x14ac:dyDescent="0.25">
      <c r="A4444" s="201"/>
      <c r="B4444" s="201"/>
    </row>
    <row r="4445" spans="1:2" x14ac:dyDescent="0.25">
      <c r="A4445" s="201"/>
      <c r="B4445" s="201"/>
    </row>
    <row r="4446" spans="1:2" x14ac:dyDescent="0.25">
      <c r="A4446" s="201"/>
      <c r="B4446" s="201"/>
    </row>
    <row r="4447" spans="1:2" x14ac:dyDescent="0.25">
      <c r="A4447" s="201"/>
      <c r="B4447" s="201"/>
    </row>
    <row r="4448" spans="1:2" x14ac:dyDescent="0.25">
      <c r="A4448" s="201"/>
      <c r="B4448" s="201"/>
    </row>
    <row r="4449" spans="1:2" x14ac:dyDescent="0.25">
      <c r="A4449" s="201"/>
      <c r="B4449" s="201"/>
    </row>
    <row r="4450" spans="1:2" x14ac:dyDescent="0.25">
      <c r="A4450" s="201"/>
      <c r="B4450" s="201"/>
    </row>
    <row r="4451" spans="1:2" x14ac:dyDescent="0.25">
      <c r="A4451" s="201"/>
      <c r="B4451" s="201"/>
    </row>
    <row r="4452" spans="1:2" x14ac:dyDescent="0.25">
      <c r="A4452" s="201"/>
      <c r="B4452" s="201"/>
    </row>
    <row r="4453" spans="1:2" x14ac:dyDescent="0.25">
      <c r="A4453" s="201"/>
      <c r="B4453" s="201"/>
    </row>
    <row r="4454" spans="1:2" x14ac:dyDescent="0.25">
      <c r="A4454" s="201"/>
      <c r="B4454" s="201"/>
    </row>
    <row r="4455" spans="1:2" x14ac:dyDescent="0.25">
      <c r="A4455" s="201"/>
      <c r="B4455" s="201"/>
    </row>
    <row r="4456" spans="1:2" x14ac:dyDescent="0.25">
      <c r="A4456" s="201"/>
      <c r="B4456" s="201"/>
    </row>
    <row r="4457" spans="1:2" x14ac:dyDescent="0.25">
      <c r="A4457" s="201"/>
      <c r="B4457" s="201"/>
    </row>
    <row r="4458" spans="1:2" x14ac:dyDescent="0.25">
      <c r="A4458" s="201"/>
      <c r="B4458" s="201"/>
    </row>
    <row r="4459" spans="1:2" x14ac:dyDescent="0.25">
      <c r="A4459" s="201"/>
      <c r="B4459" s="201"/>
    </row>
    <row r="4460" spans="1:2" x14ac:dyDescent="0.25">
      <c r="A4460" s="201"/>
      <c r="B4460" s="201"/>
    </row>
    <row r="4461" spans="1:2" x14ac:dyDescent="0.25">
      <c r="A4461" s="201"/>
      <c r="B4461" s="201"/>
    </row>
    <row r="4462" spans="1:2" x14ac:dyDescent="0.25">
      <c r="A4462" s="201"/>
      <c r="B4462" s="201"/>
    </row>
    <row r="4463" spans="1:2" x14ac:dyDescent="0.25">
      <c r="A4463" s="201"/>
      <c r="B4463" s="201"/>
    </row>
    <row r="4464" spans="1:2" x14ac:dyDescent="0.25">
      <c r="A4464" s="201"/>
      <c r="B4464" s="201"/>
    </row>
    <row r="4465" spans="1:2" x14ac:dyDescent="0.25">
      <c r="A4465" s="201"/>
      <c r="B4465" s="201"/>
    </row>
    <row r="4466" spans="1:2" x14ac:dyDescent="0.25">
      <c r="A4466" s="201"/>
      <c r="B4466" s="201"/>
    </row>
    <row r="4467" spans="1:2" x14ac:dyDescent="0.25">
      <c r="A4467" s="201"/>
      <c r="B4467" s="201"/>
    </row>
    <row r="4468" spans="1:2" x14ac:dyDescent="0.25">
      <c r="A4468" s="201"/>
      <c r="B4468" s="201"/>
    </row>
    <row r="4469" spans="1:2" x14ac:dyDescent="0.25">
      <c r="A4469" s="201"/>
      <c r="B4469" s="201"/>
    </row>
    <row r="4470" spans="1:2" x14ac:dyDescent="0.25">
      <c r="A4470" s="201"/>
      <c r="B4470" s="201"/>
    </row>
    <row r="4471" spans="1:2" x14ac:dyDescent="0.25">
      <c r="A4471" s="201"/>
      <c r="B4471" s="201"/>
    </row>
    <row r="4472" spans="1:2" x14ac:dyDescent="0.25">
      <c r="A4472" s="201"/>
      <c r="B4472" s="201"/>
    </row>
    <row r="4473" spans="1:2" x14ac:dyDescent="0.25">
      <c r="A4473" s="201"/>
      <c r="B4473" s="201"/>
    </row>
    <row r="4474" spans="1:2" x14ac:dyDescent="0.25">
      <c r="A4474" s="201"/>
      <c r="B4474" s="201"/>
    </row>
    <row r="4475" spans="1:2" x14ac:dyDescent="0.25">
      <c r="A4475" s="201"/>
      <c r="B4475" s="201"/>
    </row>
    <row r="4476" spans="1:2" x14ac:dyDescent="0.25">
      <c r="A4476" s="201"/>
      <c r="B4476" s="201"/>
    </row>
    <row r="4477" spans="1:2" x14ac:dyDescent="0.25">
      <c r="A4477" s="201"/>
      <c r="B4477" s="201"/>
    </row>
    <row r="4478" spans="1:2" x14ac:dyDescent="0.25">
      <c r="A4478" s="201"/>
      <c r="B4478" s="201"/>
    </row>
    <row r="4479" spans="1:2" x14ac:dyDescent="0.25">
      <c r="A4479" s="201"/>
      <c r="B4479" s="201"/>
    </row>
    <row r="4480" spans="1:2" x14ac:dyDescent="0.25">
      <c r="A4480" s="201"/>
      <c r="B4480" s="201"/>
    </row>
    <row r="4481" spans="1:2" x14ac:dyDescent="0.25">
      <c r="A4481" s="201"/>
      <c r="B4481" s="201"/>
    </row>
    <row r="4482" spans="1:2" x14ac:dyDescent="0.25">
      <c r="A4482" s="201"/>
      <c r="B4482" s="201"/>
    </row>
    <row r="4483" spans="1:2" x14ac:dyDescent="0.25">
      <c r="A4483" s="201"/>
      <c r="B4483" s="201"/>
    </row>
    <row r="4484" spans="1:2" x14ac:dyDescent="0.25">
      <c r="A4484" s="201"/>
      <c r="B4484" s="201"/>
    </row>
    <row r="4485" spans="1:2" x14ac:dyDescent="0.25">
      <c r="A4485" s="201"/>
      <c r="B4485" s="201"/>
    </row>
    <row r="4486" spans="1:2" x14ac:dyDescent="0.25">
      <c r="A4486" s="201"/>
      <c r="B4486" s="201"/>
    </row>
    <row r="4487" spans="1:2" x14ac:dyDescent="0.25">
      <c r="A4487" s="201"/>
      <c r="B4487" s="201"/>
    </row>
    <row r="4488" spans="1:2" x14ac:dyDescent="0.25">
      <c r="A4488" s="201"/>
      <c r="B4488" s="201"/>
    </row>
    <row r="4489" spans="1:2" x14ac:dyDescent="0.25">
      <c r="A4489" s="201"/>
      <c r="B4489" s="201"/>
    </row>
    <row r="4490" spans="1:2" x14ac:dyDescent="0.25">
      <c r="A4490" s="201"/>
      <c r="B4490" s="201"/>
    </row>
    <row r="4491" spans="1:2" x14ac:dyDescent="0.25">
      <c r="A4491" s="201"/>
      <c r="B4491" s="201"/>
    </row>
    <row r="4492" spans="1:2" x14ac:dyDescent="0.25">
      <c r="A4492" s="201"/>
      <c r="B4492" s="201"/>
    </row>
    <row r="4493" spans="1:2" x14ac:dyDescent="0.25">
      <c r="A4493" s="201"/>
      <c r="B4493" s="201"/>
    </row>
    <row r="4494" spans="1:2" x14ac:dyDescent="0.25">
      <c r="A4494" s="201"/>
      <c r="B4494" s="201"/>
    </row>
    <row r="4495" spans="1:2" x14ac:dyDescent="0.25">
      <c r="A4495" s="201"/>
      <c r="B4495" s="201"/>
    </row>
    <row r="4496" spans="1:2" x14ac:dyDescent="0.25">
      <c r="A4496" s="201"/>
      <c r="B4496" s="201"/>
    </row>
    <row r="4497" spans="1:2" x14ac:dyDescent="0.25">
      <c r="A4497" s="201"/>
      <c r="B4497" s="201"/>
    </row>
    <row r="4498" spans="1:2" x14ac:dyDescent="0.25">
      <c r="A4498" s="201"/>
      <c r="B4498" s="201"/>
    </row>
    <row r="4499" spans="1:2" x14ac:dyDescent="0.25">
      <c r="A4499" s="201"/>
      <c r="B4499" s="201"/>
    </row>
    <row r="4500" spans="1:2" x14ac:dyDescent="0.25">
      <c r="A4500" s="201"/>
      <c r="B4500" s="201"/>
    </row>
    <row r="4501" spans="1:2" x14ac:dyDescent="0.25">
      <c r="A4501" s="201"/>
      <c r="B4501" s="201"/>
    </row>
    <row r="4502" spans="1:2" x14ac:dyDescent="0.25">
      <c r="A4502" s="201"/>
      <c r="B4502" s="201"/>
    </row>
    <row r="4503" spans="1:2" x14ac:dyDescent="0.25">
      <c r="A4503" s="201"/>
      <c r="B4503" s="201"/>
    </row>
    <row r="4504" spans="1:2" x14ac:dyDescent="0.25">
      <c r="A4504" s="201"/>
      <c r="B4504" s="201"/>
    </row>
    <row r="4505" spans="1:2" x14ac:dyDescent="0.25">
      <c r="A4505" s="201"/>
      <c r="B4505" s="201"/>
    </row>
    <row r="4506" spans="1:2" x14ac:dyDescent="0.25">
      <c r="A4506" s="201"/>
      <c r="B4506" s="201"/>
    </row>
    <row r="4507" spans="1:2" x14ac:dyDescent="0.25">
      <c r="A4507" s="201"/>
      <c r="B4507" s="201"/>
    </row>
    <row r="4508" spans="1:2" x14ac:dyDescent="0.25">
      <c r="A4508" s="201"/>
      <c r="B4508" s="201"/>
    </row>
    <row r="4509" spans="1:2" x14ac:dyDescent="0.25">
      <c r="A4509" s="201"/>
      <c r="B4509" s="201"/>
    </row>
    <row r="4510" spans="1:2" x14ac:dyDescent="0.25">
      <c r="A4510" s="201"/>
      <c r="B4510" s="201"/>
    </row>
    <row r="4511" spans="1:2" x14ac:dyDescent="0.25">
      <c r="A4511" s="201"/>
      <c r="B4511" s="201"/>
    </row>
    <row r="4512" spans="1:2" x14ac:dyDescent="0.25">
      <c r="A4512" s="201"/>
      <c r="B4512" s="201"/>
    </row>
    <row r="4513" spans="1:2" x14ac:dyDescent="0.25">
      <c r="A4513" s="201"/>
      <c r="B4513" s="201"/>
    </row>
    <row r="4514" spans="1:2" x14ac:dyDescent="0.25">
      <c r="A4514" s="201"/>
      <c r="B4514" s="201"/>
    </row>
    <row r="4515" spans="1:2" x14ac:dyDescent="0.25">
      <c r="A4515" s="201"/>
      <c r="B4515" s="201"/>
    </row>
    <row r="4516" spans="1:2" x14ac:dyDescent="0.25">
      <c r="A4516" s="201"/>
      <c r="B4516" s="201"/>
    </row>
    <row r="4517" spans="1:2" x14ac:dyDescent="0.25">
      <c r="A4517" s="201"/>
      <c r="B4517" s="201"/>
    </row>
    <row r="4518" spans="1:2" x14ac:dyDescent="0.25">
      <c r="A4518" s="201"/>
      <c r="B4518" s="201"/>
    </row>
    <row r="4519" spans="1:2" x14ac:dyDescent="0.25">
      <c r="A4519" s="201"/>
      <c r="B4519" s="201"/>
    </row>
    <row r="4520" spans="1:2" x14ac:dyDescent="0.25">
      <c r="A4520" s="201"/>
      <c r="B4520" s="201"/>
    </row>
    <row r="4521" spans="1:2" x14ac:dyDescent="0.25">
      <c r="A4521" s="201"/>
      <c r="B4521" s="201"/>
    </row>
    <row r="4522" spans="1:2" x14ac:dyDescent="0.25">
      <c r="A4522" s="201"/>
      <c r="B4522" s="201"/>
    </row>
    <row r="4523" spans="1:2" x14ac:dyDescent="0.25">
      <c r="A4523" s="201"/>
      <c r="B4523" s="201"/>
    </row>
    <row r="4524" spans="1:2" x14ac:dyDescent="0.25">
      <c r="A4524" s="201"/>
      <c r="B4524" s="201"/>
    </row>
    <row r="4525" spans="1:2" x14ac:dyDescent="0.25">
      <c r="A4525" s="201"/>
      <c r="B4525" s="201"/>
    </row>
    <row r="4526" spans="1:2" x14ac:dyDescent="0.25">
      <c r="A4526" s="201"/>
      <c r="B4526" s="201"/>
    </row>
    <row r="4527" spans="1:2" x14ac:dyDescent="0.25">
      <c r="A4527" s="201"/>
      <c r="B4527" s="201"/>
    </row>
    <row r="4528" spans="1:2" x14ac:dyDescent="0.25">
      <c r="A4528" s="201"/>
      <c r="B4528" s="201"/>
    </row>
    <row r="4529" spans="1:2" x14ac:dyDescent="0.25">
      <c r="A4529" s="201"/>
      <c r="B4529" s="201"/>
    </row>
    <row r="4530" spans="1:2" x14ac:dyDescent="0.25">
      <c r="A4530" s="201"/>
      <c r="B4530" s="201"/>
    </row>
    <row r="4531" spans="1:2" x14ac:dyDescent="0.25">
      <c r="A4531" s="201"/>
      <c r="B4531" s="201"/>
    </row>
    <row r="4532" spans="1:2" x14ac:dyDescent="0.25">
      <c r="A4532" s="201"/>
      <c r="B4532" s="201"/>
    </row>
    <row r="4533" spans="1:2" x14ac:dyDescent="0.25">
      <c r="A4533" s="201"/>
      <c r="B4533" s="201"/>
    </row>
    <row r="4534" spans="1:2" x14ac:dyDescent="0.25">
      <c r="A4534" s="201"/>
      <c r="B4534" s="201"/>
    </row>
    <row r="4535" spans="1:2" x14ac:dyDescent="0.25">
      <c r="A4535" s="201"/>
      <c r="B4535" s="201"/>
    </row>
    <row r="4536" spans="1:2" x14ac:dyDescent="0.25">
      <c r="A4536" s="201"/>
      <c r="B4536" s="201"/>
    </row>
    <row r="4537" spans="1:2" x14ac:dyDescent="0.25">
      <c r="A4537" s="201"/>
      <c r="B4537" s="201"/>
    </row>
    <row r="4538" spans="1:2" x14ac:dyDescent="0.25">
      <c r="A4538" s="201"/>
      <c r="B4538" s="201"/>
    </row>
    <row r="4539" spans="1:2" x14ac:dyDescent="0.25">
      <c r="A4539" s="201"/>
      <c r="B4539" s="201"/>
    </row>
    <row r="4540" spans="1:2" x14ac:dyDescent="0.25">
      <c r="A4540" s="201"/>
      <c r="B4540" s="201"/>
    </row>
    <row r="4541" spans="1:2" x14ac:dyDescent="0.25">
      <c r="A4541" s="201"/>
      <c r="B4541" s="201"/>
    </row>
    <row r="4542" spans="1:2" x14ac:dyDescent="0.25">
      <c r="A4542" s="201"/>
      <c r="B4542" s="201"/>
    </row>
    <row r="4543" spans="1:2" x14ac:dyDescent="0.25">
      <c r="A4543" s="201"/>
      <c r="B4543" s="201"/>
    </row>
    <row r="4544" spans="1:2" x14ac:dyDescent="0.25">
      <c r="A4544" s="201"/>
      <c r="B4544" s="201"/>
    </row>
    <row r="4545" spans="1:2" x14ac:dyDescent="0.25">
      <c r="A4545" s="201"/>
      <c r="B4545" s="201"/>
    </row>
    <row r="4546" spans="1:2" x14ac:dyDescent="0.25">
      <c r="A4546" s="201"/>
      <c r="B4546" s="201"/>
    </row>
    <row r="4547" spans="1:2" x14ac:dyDescent="0.25">
      <c r="A4547" s="201"/>
      <c r="B4547" s="201"/>
    </row>
    <row r="4548" spans="1:2" x14ac:dyDescent="0.25">
      <c r="A4548" s="201"/>
      <c r="B4548" s="201"/>
    </row>
    <row r="4549" spans="1:2" x14ac:dyDescent="0.25">
      <c r="A4549" s="201"/>
      <c r="B4549" s="201"/>
    </row>
    <row r="4550" spans="1:2" x14ac:dyDescent="0.25">
      <c r="A4550" s="201"/>
      <c r="B4550" s="201"/>
    </row>
    <row r="4551" spans="1:2" x14ac:dyDescent="0.25">
      <c r="A4551" s="201"/>
      <c r="B4551" s="201"/>
    </row>
    <row r="4552" spans="1:2" x14ac:dyDescent="0.25">
      <c r="A4552" s="201"/>
      <c r="B4552" s="201"/>
    </row>
    <row r="4553" spans="1:2" x14ac:dyDescent="0.25">
      <c r="A4553" s="201"/>
      <c r="B4553" s="201"/>
    </row>
    <row r="4554" spans="1:2" x14ac:dyDescent="0.25">
      <c r="A4554" s="201"/>
      <c r="B4554" s="201"/>
    </row>
    <row r="4555" spans="1:2" x14ac:dyDescent="0.25">
      <c r="A4555" s="201"/>
      <c r="B4555" s="201"/>
    </row>
    <row r="4556" spans="1:2" x14ac:dyDescent="0.25">
      <c r="A4556" s="201"/>
      <c r="B4556" s="201"/>
    </row>
    <row r="4557" spans="1:2" x14ac:dyDescent="0.25">
      <c r="A4557" s="201"/>
      <c r="B4557" s="201"/>
    </row>
    <row r="4558" spans="1:2" x14ac:dyDescent="0.25">
      <c r="A4558" s="201"/>
      <c r="B4558" s="201"/>
    </row>
    <row r="4559" spans="1:2" x14ac:dyDescent="0.25">
      <c r="A4559" s="201"/>
      <c r="B4559" s="201"/>
    </row>
    <row r="4560" spans="1:2" x14ac:dyDescent="0.25">
      <c r="A4560" s="201"/>
      <c r="B4560" s="201"/>
    </row>
    <row r="4561" spans="1:2" x14ac:dyDescent="0.25">
      <c r="A4561" s="201"/>
      <c r="B4561" s="201"/>
    </row>
    <row r="4562" spans="1:2" x14ac:dyDescent="0.25">
      <c r="A4562" s="201"/>
      <c r="B4562" s="201"/>
    </row>
    <row r="4563" spans="1:2" x14ac:dyDescent="0.25">
      <c r="A4563" s="201"/>
      <c r="B4563" s="201"/>
    </row>
    <row r="4564" spans="1:2" x14ac:dyDescent="0.25">
      <c r="A4564" s="201"/>
      <c r="B4564" s="201"/>
    </row>
    <row r="4565" spans="1:2" x14ac:dyDescent="0.25">
      <c r="A4565" s="201"/>
      <c r="B4565" s="201"/>
    </row>
    <row r="4566" spans="1:2" x14ac:dyDescent="0.25">
      <c r="A4566" s="201"/>
      <c r="B4566" s="201"/>
    </row>
    <row r="4567" spans="1:2" x14ac:dyDescent="0.25">
      <c r="A4567" s="201"/>
      <c r="B4567" s="201"/>
    </row>
    <row r="4568" spans="1:2" x14ac:dyDescent="0.25">
      <c r="A4568" s="201"/>
      <c r="B4568" s="201"/>
    </row>
    <row r="4569" spans="1:2" x14ac:dyDescent="0.25">
      <c r="A4569" s="201"/>
      <c r="B4569" s="201"/>
    </row>
    <row r="4570" spans="1:2" x14ac:dyDescent="0.25">
      <c r="A4570" s="201"/>
      <c r="B4570" s="201"/>
    </row>
    <row r="4571" spans="1:2" x14ac:dyDescent="0.25">
      <c r="A4571" s="201"/>
      <c r="B4571" s="201"/>
    </row>
    <row r="4572" spans="1:2" x14ac:dyDescent="0.25">
      <c r="A4572" s="201"/>
      <c r="B4572" s="201"/>
    </row>
    <row r="4573" spans="1:2" x14ac:dyDescent="0.25">
      <c r="A4573" s="201"/>
      <c r="B4573" s="201"/>
    </row>
    <row r="4574" spans="1:2" x14ac:dyDescent="0.25">
      <c r="A4574" s="201"/>
      <c r="B4574" s="201"/>
    </row>
    <row r="4575" spans="1:2" x14ac:dyDescent="0.25">
      <c r="A4575" s="201"/>
      <c r="B4575" s="201"/>
    </row>
    <row r="4576" spans="1:2" x14ac:dyDescent="0.25">
      <c r="A4576" s="201"/>
      <c r="B4576" s="201"/>
    </row>
    <row r="4577" spans="1:2" x14ac:dyDescent="0.25">
      <c r="A4577" s="201"/>
      <c r="B4577" s="201"/>
    </row>
    <row r="4578" spans="1:2" x14ac:dyDescent="0.25">
      <c r="A4578" s="201"/>
      <c r="B4578" s="201"/>
    </row>
    <row r="4579" spans="1:2" x14ac:dyDescent="0.25">
      <c r="A4579" s="201"/>
      <c r="B4579" s="201"/>
    </row>
    <row r="4580" spans="1:2" x14ac:dyDescent="0.25">
      <c r="A4580" s="201"/>
      <c r="B4580" s="201"/>
    </row>
    <row r="4581" spans="1:2" x14ac:dyDescent="0.25">
      <c r="A4581" s="201"/>
      <c r="B4581" s="201"/>
    </row>
    <row r="4582" spans="1:2" x14ac:dyDescent="0.25">
      <c r="A4582" s="201"/>
      <c r="B4582" s="201"/>
    </row>
    <row r="4583" spans="1:2" x14ac:dyDescent="0.25">
      <c r="A4583" s="201"/>
      <c r="B4583" s="201"/>
    </row>
    <row r="4584" spans="1:2" x14ac:dyDescent="0.25">
      <c r="A4584" s="201"/>
      <c r="B4584" s="201"/>
    </row>
    <row r="4585" spans="1:2" x14ac:dyDescent="0.25">
      <c r="A4585" s="201"/>
      <c r="B4585" s="201"/>
    </row>
    <row r="4586" spans="1:2" x14ac:dyDescent="0.25">
      <c r="A4586" s="201"/>
      <c r="B4586" s="201"/>
    </row>
    <row r="4587" spans="1:2" x14ac:dyDescent="0.25">
      <c r="A4587" s="201"/>
      <c r="B4587" s="201"/>
    </row>
    <row r="4588" spans="1:2" x14ac:dyDescent="0.25">
      <c r="A4588" s="201"/>
      <c r="B4588" s="201"/>
    </row>
    <row r="4589" spans="1:2" x14ac:dyDescent="0.25">
      <c r="A4589" s="201"/>
      <c r="B4589" s="201"/>
    </row>
    <row r="4590" spans="1:2" x14ac:dyDescent="0.25">
      <c r="A4590" s="201"/>
      <c r="B4590" s="201"/>
    </row>
    <row r="4591" spans="1:2" x14ac:dyDescent="0.25">
      <c r="A4591" s="201"/>
      <c r="B4591" s="201"/>
    </row>
    <row r="4592" spans="1:2" x14ac:dyDescent="0.25">
      <c r="A4592" s="201"/>
      <c r="B4592" s="201"/>
    </row>
    <row r="4593" spans="1:2" x14ac:dyDescent="0.25">
      <c r="A4593" s="201"/>
      <c r="B4593" s="201"/>
    </row>
    <row r="4594" spans="1:2" x14ac:dyDescent="0.25">
      <c r="A4594" s="201"/>
      <c r="B4594" s="201"/>
    </row>
    <row r="4595" spans="1:2" x14ac:dyDescent="0.25">
      <c r="A4595" s="201"/>
      <c r="B4595" s="201"/>
    </row>
    <row r="4596" spans="1:2" x14ac:dyDescent="0.25">
      <c r="A4596" s="201"/>
      <c r="B4596" s="201"/>
    </row>
    <row r="4597" spans="1:2" x14ac:dyDescent="0.25">
      <c r="A4597" s="201"/>
      <c r="B4597" s="201"/>
    </row>
    <row r="4598" spans="1:2" x14ac:dyDescent="0.25">
      <c r="A4598" s="201"/>
      <c r="B4598" s="201"/>
    </row>
    <row r="4599" spans="1:2" x14ac:dyDescent="0.25">
      <c r="A4599" s="201"/>
      <c r="B4599" s="201"/>
    </row>
    <row r="4600" spans="1:2" x14ac:dyDescent="0.25">
      <c r="A4600" s="201"/>
      <c r="B4600" s="201"/>
    </row>
    <row r="4601" spans="1:2" x14ac:dyDescent="0.25">
      <c r="A4601" s="201"/>
      <c r="B4601" s="201"/>
    </row>
    <row r="4602" spans="1:2" x14ac:dyDescent="0.25">
      <c r="A4602" s="201"/>
      <c r="B4602" s="201"/>
    </row>
    <row r="4603" spans="1:2" x14ac:dyDescent="0.25">
      <c r="A4603" s="201"/>
      <c r="B4603" s="201"/>
    </row>
    <row r="4604" spans="1:2" x14ac:dyDescent="0.25">
      <c r="A4604" s="201"/>
      <c r="B4604" s="201"/>
    </row>
    <row r="4605" spans="1:2" x14ac:dyDescent="0.25">
      <c r="A4605" s="201"/>
      <c r="B4605" s="201"/>
    </row>
    <row r="4606" spans="1:2" x14ac:dyDescent="0.25">
      <c r="A4606" s="201"/>
      <c r="B4606" s="201"/>
    </row>
    <row r="4607" spans="1:2" x14ac:dyDescent="0.25">
      <c r="A4607" s="201"/>
      <c r="B4607" s="201"/>
    </row>
    <row r="4608" spans="1:2" x14ac:dyDescent="0.25">
      <c r="A4608" s="201"/>
      <c r="B4608" s="201"/>
    </row>
    <row r="4609" spans="1:2" x14ac:dyDescent="0.25">
      <c r="A4609" s="201"/>
      <c r="B4609" s="201"/>
    </row>
    <row r="4610" spans="1:2" x14ac:dyDescent="0.25">
      <c r="A4610" s="201"/>
      <c r="B4610" s="201"/>
    </row>
    <row r="4611" spans="1:2" x14ac:dyDescent="0.25">
      <c r="A4611" s="201"/>
      <c r="B4611" s="201"/>
    </row>
    <row r="4612" spans="1:2" x14ac:dyDescent="0.25">
      <c r="A4612" s="201"/>
      <c r="B4612" s="201"/>
    </row>
    <row r="4613" spans="1:2" x14ac:dyDescent="0.25">
      <c r="A4613" s="201"/>
      <c r="B4613" s="201"/>
    </row>
    <row r="4614" spans="1:2" x14ac:dyDescent="0.25">
      <c r="A4614" s="201"/>
      <c r="B4614" s="201"/>
    </row>
    <row r="4615" spans="1:2" x14ac:dyDescent="0.25">
      <c r="A4615" s="201"/>
      <c r="B4615" s="201"/>
    </row>
    <row r="4616" spans="1:2" x14ac:dyDescent="0.25">
      <c r="A4616" s="201"/>
      <c r="B4616" s="201"/>
    </row>
    <row r="4617" spans="1:2" x14ac:dyDescent="0.25">
      <c r="A4617" s="201"/>
      <c r="B4617" s="201"/>
    </row>
    <row r="4618" spans="1:2" x14ac:dyDescent="0.25">
      <c r="A4618" s="201"/>
      <c r="B4618" s="201"/>
    </row>
    <row r="4619" spans="1:2" x14ac:dyDescent="0.25">
      <c r="A4619" s="201"/>
      <c r="B4619" s="201"/>
    </row>
    <row r="4620" spans="1:2" x14ac:dyDescent="0.25">
      <c r="A4620" s="201"/>
      <c r="B4620" s="201"/>
    </row>
    <row r="4621" spans="1:2" x14ac:dyDescent="0.25">
      <c r="A4621" s="201"/>
      <c r="B4621" s="201"/>
    </row>
    <row r="4622" spans="1:2" x14ac:dyDescent="0.25">
      <c r="A4622" s="201"/>
      <c r="B4622" s="201"/>
    </row>
    <row r="4623" spans="1:2" x14ac:dyDescent="0.25">
      <c r="A4623" s="201"/>
      <c r="B4623" s="201"/>
    </row>
    <row r="4624" spans="1:2" x14ac:dyDescent="0.25">
      <c r="A4624" s="201"/>
      <c r="B4624" s="201"/>
    </row>
    <row r="4625" spans="1:2" x14ac:dyDescent="0.25">
      <c r="A4625" s="201"/>
      <c r="B4625" s="201"/>
    </row>
    <row r="4626" spans="1:2" x14ac:dyDescent="0.25">
      <c r="A4626" s="201"/>
      <c r="B4626" s="201"/>
    </row>
    <row r="4627" spans="1:2" x14ac:dyDescent="0.25">
      <c r="A4627" s="201"/>
      <c r="B4627" s="201"/>
    </row>
    <row r="4628" spans="1:2" x14ac:dyDescent="0.25">
      <c r="A4628" s="201"/>
      <c r="B4628" s="201"/>
    </row>
    <row r="4629" spans="1:2" x14ac:dyDescent="0.25">
      <c r="A4629" s="201"/>
      <c r="B4629" s="201"/>
    </row>
    <row r="4630" spans="1:2" x14ac:dyDescent="0.25">
      <c r="A4630" s="201"/>
      <c r="B4630" s="201"/>
    </row>
    <row r="4631" spans="1:2" x14ac:dyDescent="0.25">
      <c r="A4631" s="201"/>
      <c r="B4631" s="201"/>
    </row>
    <row r="4632" spans="1:2" x14ac:dyDescent="0.25">
      <c r="A4632" s="201"/>
      <c r="B4632" s="201"/>
    </row>
    <row r="4633" spans="1:2" x14ac:dyDescent="0.25">
      <c r="A4633" s="201"/>
      <c r="B4633" s="201"/>
    </row>
    <row r="4634" spans="1:2" x14ac:dyDescent="0.25">
      <c r="A4634" s="201"/>
      <c r="B4634" s="201"/>
    </row>
    <row r="4635" spans="1:2" x14ac:dyDescent="0.25">
      <c r="A4635" s="201"/>
      <c r="B4635" s="201"/>
    </row>
    <row r="4636" spans="1:2" x14ac:dyDescent="0.25">
      <c r="A4636" s="201"/>
      <c r="B4636" s="201"/>
    </row>
    <row r="4637" spans="1:2" x14ac:dyDescent="0.25">
      <c r="A4637" s="201"/>
      <c r="B4637" s="201"/>
    </row>
    <row r="4638" spans="1:2" x14ac:dyDescent="0.25">
      <c r="A4638" s="201"/>
      <c r="B4638" s="201"/>
    </row>
    <row r="4639" spans="1:2" x14ac:dyDescent="0.25">
      <c r="A4639" s="201"/>
      <c r="B4639" s="201"/>
    </row>
    <row r="4640" spans="1:2" x14ac:dyDescent="0.25">
      <c r="A4640" s="201"/>
      <c r="B4640" s="201"/>
    </row>
    <row r="4641" spans="1:2" x14ac:dyDescent="0.25">
      <c r="A4641" s="201"/>
      <c r="B4641" s="201"/>
    </row>
    <row r="4642" spans="1:2" x14ac:dyDescent="0.25">
      <c r="A4642" s="201"/>
      <c r="B4642" s="201"/>
    </row>
    <row r="4643" spans="1:2" x14ac:dyDescent="0.25">
      <c r="A4643" s="201"/>
      <c r="B4643" s="201"/>
    </row>
    <row r="4644" spans="1:2" x14ac:dyDescent="0.25">
      <c r="A4644" s="201"/>
      <c r="B4644" s="201"/>
    </row>
    <row r="4645" spans="1:2" x14ac:dyDescent="0.25">
      <c r="A4645" s="201"/>
      <c r="B4645" s="201"/>
    </row>
    <row r="4646" spans="1:2" x14ac:dyDescent="0.25">
      <c r="A4646" s="201"/>
      <c r="B4646" s="201"/>
    </row>
    <row r="4647" spans="1:2" x14ac:dyDescent="0.25">
      <c r="A4647" s="201"/>
      <c r="B4647" s="201"/>
    </row>
    <row r="4648" spans="1:2" x14ac:dyDescent="0.25">
      <c r="A4648" s="201"/>
      <c r="B4648" s="201"/>
    </row>
    <row r="4649" spans="1:2" x14ac:dyDescent="0.25">
      <c r="A4649" s="201"/>
      <c r="B4649" s="201"/>
    </row>
    <row r="4650" spans="1:2" x14ac:dyDescent="0.25">
      <c r="A4650" s="201"/>
      <c r="B4650" s="201"/>
    </row>
    <row r="4651" spans="1:2" x14ac:dyDescent="0.25">
      <c r="A4651" s="201"/>
      <c r="B4651" s="201"/>
    </row>
    <row r="4652" spans="1:2" x14ac:dyDescent="0.25">
      <c r="A4652" s="201"/>
      <c r="B4652" s="201"/>
    </row>
    <row r="4653" spans="1:2" x14ac:dyDescent="0.25">
      <c r="A4653" s="201"/>
      <c r="B4653" s="201"/>
    </row>
    <row r="4654" spans="1:2" x14ac:dyDescent="0.25">
      <c r="A4654" s="201"/>
      <c r="B4654" s="201"/>
    </row>
    <row r="4655" spans="1:2" x14ac:dyDescent="0.25">
      <c r="A4655" s="201"/>
      <c r="B4655" s="201"/>
    </row>
    <row r="4656" spans="1:2" x14ac:dyDescent="0.25">
      <c r="A4656" s="201"/>
      <c r="B4656" s="201"/>
    </row>
    <row r="4657" spans="1:2" x14ac:dyDescent="0.25">
      <c r="A4657" s="201"/>
      <c r="B4657" s="201"/>
    </row>
    <row r="4658" spans="1:2" x14ac:dyDescent="0.25">
      <c r="A4658" s="201"/>
      <c r="B4658" s="201"/>
    </row>
    <row r="4659" spans="1:2" x14ac:dyDescent="0.25">
      <c r="A4659" s="201"/>
      <c r="B4659" s="201"/>
    </row>
    <row r="4660" spans="1:2" x14ac:dyDescent="0.25">
      <c r="A4660" s="201"/>
      <c r="B4660" s="201"/>
    </row>
    <row r="4661" spans="1:2" x14ac:dyDescent="0.25">
      <c r="A4661" s="201"/>
      <c r="B4661" s="201"/>
    </row>
    <row r="4662" spans="1:2" x14ac:dyDescent="0.25">
      <c r="A4662" s="201"/>
      <c r="B4662" s="201"/>
    </row>
    <row r="4663" spans="1:2" x14ac:dyDescent="0.25">
      <c r="A4663" s="201"/>
      <c r="B4663" s="201"/>
    </row>
    <row r="4664" spans="1:2" x14ac:dyDescent="0.25">
      <c r="A4664" s="201"/>
      <c r="B4664" s="201"/>
    </row>
    <row r="4665" spans="1:2" x14ac:dyDescent="0.25">
      <c r="A4665" s="201"/>
      <c r="B4665" s="201"/>
    </row>
    <row r="4666" spans="1:2" x14ac:dyDescent="0.25">
      <c r="A4666" s="201"/>
      <c r="B4666" s="201"/>
    </row>
    <row r="4667" spans="1:2" x14ac:dyDescent="0.25">
      <c r="A4667" s="201"/>
      <c r="B4667" s="201"/>
    </row>
    <row r="4668" spans="1:2" x14ac:dyDescent="0.25">
      <c r="A4668" s="201"/>
      <c r="B4668" s="201"/>
    </row>
    <row r="4669" spans="1:2" x14ac:dyDescent="0.25">
      <c r="A4669" s="201"/>
      <c r="B4669" s="201"/>
    </row>
    <row r="4670" spans="1:2" x14ac:dyDescent="0.25">
      <c r="A4670" s="201"/>
      <c r="B4670" s="201"/>
    </row>
    <row r="4671" spans="1:2" x14ac:dyDescent="0.25">
      <c r="A4671" s="201"/>
      <c r="B4671" s="201"/>
    </row>
    <row r="4672" spans="1:2" x14ac:dyDescent="0.25">
      <c r="A4672" s="201"/>
      <c r="B4672" s="201"/>
    </row>
    <row r="4673" spans="1:2" x14ac:dyDescent="0.25">
      <c r="A4673" s="201"/>
      <c r="B4673" s="201"/>
    </row>
    <row r="4674" spans="1:2" x14ac:dyDescent="0.25">
      <c r="A4674" s="201"/>
      <c r="B4674" s="201"/>
    </row>
    <row r="4675" spans="1:2" x14ac:dyDescent="0.25">
      <c r="A4675" s="201"/>
      <c r="B4675" s="201"/>
    </row>
    <row r="4676" spans="1:2" x14ac:dyDescent="0.25">
      <c r="A4676" s="201"/>
      <c r="B4676" s="201"/>
    </row>
    <row r="4677" spans="1:2" x14ac:dyDescent="0.25">
      <c r="A4677" s="201"/>
      <c r="B4677" s="201"/>
    </row>
    <row r="4678" spans="1:2" x14ac:dyDescent="0.25">
      <c r="A4678" s="201"/>
      <c r="B4678" s="201"/>
    </row>
    <row r="4679" spans="1:2" x14ac:dyDescent="0.25">
      <c r="A4679" s="201"/>
      <c r="B4679" s="201"/>
    </row>
    <row r="4680" spans="1:2" x14ac:dyDescent="0.25">
      <c r="A4680" s="201"/>
      <c r="B4680" s="201"/>
    </row>
    <row r="4681" spans="1:2" x14ac:dyDescent="0.25">
      <c r="A4681" s="201"/>
      <c r="B4681" s="201"/>
    </row>
    <row r="4682" spans="1:2" x14ac:dyDescent="0.25">
      <c r="A4682" s="201"/>
      <c r="B4682" s="201"/>
    </row>
    <row r="4683" spans="1:2" x14ac:dyDescent="0.25">
      <c r="A4683" s="201"/>
      <c r="B4683" s="201"/>
    </row>
    <row r="4684" spans="1:2" x14ac:dyDescent="0.25">
      <c r="A4684" s="201"/>
      <c r="B4684" s="201"/>
    </row>
    <row r="4685" spans="1:2" x14ac:dyDescent="0.25">
      <c r="A4685" s="201"/>
      <c r="B4685" s="201"/>
    </row>
    <row r="4686" spans="1:2" x14ac:dyDescent="0.25">
      <c r="A4686" s="201"/>
      <c r="B4686" s="201"/>
    </row>
    <row r="4687" spans="1:2" x14ac:dyDescent="0.25">
      <c r="A4687" s="201"/>
      <c r="B4687" s="201"/>
    </row>
    <row r="4688" spans="1:2" x14ac:dyDescent="0.25">
      <c r="A4688" s="201"/>
      <c r="B4688" s="201"/>
    </row>
    <row r="4689" spans="1:2" x14ac:dyDescent="0.25">
      <c r="A4689" s="201"/>
      <c r="B4689" s="201"/>
    </row>
    <row r="4690" spans="1:2" x14ac:dyDescent="0.25">
      <c r="A4690" s="201"/>
      <c r="B4690" s="201"/>
    </row>
    <row r="4691" spans="1:2" x14ac:dyDescent="0.25">
      <c r="A4691" s="201"/>
      <c r="B4691" s="201"/>
    </row>
    <row r="4692" spans="1:2" x14ac:dyDescent="0.25">
      <c r="A4692" s="201"/>
      <c r="B4692" s="201"/>
    </row>
    <row r="4693" spans="1:2" x14ac:dyDescent="0.25">
      <c r="A4693" s="201"/>
      <c r="B4693" s="201"/>
    </row>
    <row r="4694" spans="1:2" x14ac:dyDescent="0.25">
      <c r="A4694" s="201"/>
      <c r="B4694" s="201"/>
    </row>
    <row r="4695" spans="1:2" x14ac:dyDescent="0.25">
      <c r="A4695" s="201"/>
      <c r="B4695" s="201"/>
    </row>
    <row r="4696" spans="1:2" x14ac:dyDescent="0.25">
      <c r="A4696" s="201"/>
      <c r="B4696" s="201"/>
    </row>
    <row r="4697" spans="1:2" x14ac:dyDescent="0.25">
      <c r="A4697" s="201"/>
      <c r="B4697" s="201"/>
    </row>
    <row r="4698" spans="1:2" x14ac:dyDescent="0.25">
      <c r="A4698" s="201"/>
      <c r="B4698" s="201"/>
    </row>
    <row r="4699" spans="1:2" x14ac:dyDescent="0.25">
      <c r="A4699" s="201"/>
      <c r="B4699" s="201"/>
    </row>
    <row r="4700" spans="1:2" x14ac:dyDescent="0.25">
      <c r="A4700" s="201"/>
      <c r="B4700" s="201"/>
    </row>
    <row r="4701" spans="1:2" x14ac:dyDescent="0.25">
      <c r="A4701" s="201"/>
      <c r="B4701" s="201"/>
    </row>
    <row r="4702" spans="1:2" x14ac:dyDescent="0.25">
      <c r="A4702" s="201"/>
      <c r="B4702" s="201"/>
    </row>
    <row r="4703" spans="1:2" x14ac:dyDescent="0.25">
      <c r="A4703" s="201"/>
      <c r="B4703" s="201"/>
    </row>
    <row r="4704" spans="1:2" x14ac:dyDescent="0.25">
      <c r="A4704" s="201"/>
      <c r="B4704" s="201"/>
    </row>
    <row r="4705" spans="1:2" x14ac:dyDescent="0.25">
      <c r="A4705" s="201"/>
      <c r="B4705" s="201"/>
    </row>
    <row r="4706" spans="1:2" x14ac:dyDescent="0.25">
      <c r="A4706" s="201"/>
      <c r="B4706" s="201"/>
    </row>
    <row r="4707" spans="1:2" x14ac:dyDescent="0.25">
      <c r="A4707" s="201"/>
      <c r="B4707" s="201"/>
    </row>
    <row r="4708" spans="1:2" x14ac:dyDescent="0.25">
      <c r="A4708" s="201"/>
      <c r="B4708" s="201"/>
    </row>
    <row r="4709" spans="1:2" x14ac:dyDescent="0.25">
      <c r="A4709" s="201"/>
      <c r="B4709" s="201"/>
    </row>
    <row r="4710" spans="1:2" x14ac:dyDescent="0.25">
      <c r="A4710" s="201"/>
      <c r="B4710" s="201"/>
    </row>
    <row r="4711" spans="1:2" x14ac:dyDescent="0.25">
      <c r="A4711" s="201"/>
      <c r="B4711" s="201"/>
    </row>
    <row r="4712" spans="1:2" x14ac:dyDescent="0.25">
      <c r="A4712" s="201"/>
      <c r="B4712" s="201"/>
    </row>
    <row r="4713" spans="1:2" x14ac:dyDescent="0.25">
      <c r="A4713" s="201"/>
      <c r="B4713" s="201"/>
    </row>
    <row r="4714" spans="1:2" x14ac:dyDescent="0.25">
      <c r="A4714" s="201"/>
      <c r="B4714" s="201"/>
    </row>
    <row r="4715" spans="1:2" x14ac:dyDescent="0.25">
      <c r="A4715" s="201"/>
      <c r="B4715" s="201"/>
    </row>
    <row r="4716" spans="1:2" x14ac:dyDescent="0.25">
      <c r="A4716" s="201"/>
      <c r="B4716" s="201"/>
    </row>
    <row r="4717" spans="1:2" x14ac:dyDescent="0.25">
      <c r="A4717" s="201"/>
      <c r="B4717" s="201"/>
    </row>
    <row r="4718" spans="1:2" x14ac:dyDescent="0.25">
      <c r="A4718" s="201"/>
      <c r="B4718" s="201"/>
    </row>
    <row r="4719" spans="1:2" x14ac:dyDescent="0.25">
      <c r="A4719" s="201"/>
      <c r="B4719" s="201"/>
    </row>
    <row r="4720" spans="1:2" x14ac:dyDescent="0.25">
      <c r="A4720" s="201"/>
      <c r="B4720" s="201"/>
    </row>
    <row r="4721" spans="1:2" x14ac:dyDescent="0.25">
      <c r="A4721" s="201"/>
      <c r="B4721" s="201"/>
    </row>
    <row r="4722" spans="1:2" x14ac:dyDescent="0.25">
      <c r="A4722" s="201"/>
      <c r="B4722" s="201"/>
    </row>
    <row r="4723" spans="1:2" x14ac:dyDescent="0.25">
      <c r="A4723" s="201"/>
      <c r="B4723" s="201"/>
    </row>
    <row r="4724" spans="1:2" x14ac:dyDescent="0.25">
      <c r="A4724" s="201"/>
      <c r="B4724" s="201"/>
    </row>
    <row r="4725" spans="1:2" x14ac:dyDescent="0.25">
      <c r="A4725" s="201"/>
      <c r="B4725" s="201"/>
    </row>
    <row r="4726" spans="1:2" x14ac:dyDescent="0.25">
      <c r="A4726" s="201"/>
      <c r="B4726" s="201"/>
    </row>
    <row r="4727" spans="1:2" x14ac:dyDescent="0.25">
      <c r="A4727" s="201"/>
      <c r="B4727" s="201"/>
    </row>
    <row r="4728" spans="1:2" x14ac:dyDescent="0.25">
      <c r="A4728" s="201"/>
      <c r="B4728" s="201"/>
    </row>
    <row r="4729" spans="1:2" x14ac:dyDescent="0.25">
      <c r="A4729" s="201"/>
      <c r="B4729" s="201"/>
    </row>
    <row r="4730" spans="1:2" x14ac:dyDescent="0.25">
      <c r="A4730" s="201"/>
      <c r="B4730" s="201"/>
    </row>
    <row r="4731" spans="1:2" x14ac:dyDescent="0.25">
      <c r="A4731" s="201"/>
      <c r="B4731" s="201"/>
    </row>
    <row r="4732" spans="1:2" x14ac:dyDescent="0.25">
      <c r="A4732" s="201"/>
      <c r="B4732" s="201"/>
    </row>
    <row r="4733" spans="1:2" x14ac:dyDescent="0.25">
      <c r="A4733" s="201"/>
      <c r="B4733" s="201"/>
    </row>
    <row r="4734" spans="1:2" x14ac:dyDescent="0.25">
      <c r="A4734" s="201"/>
      <c r="B4734" s="201"/>
    </row>
    <row r="4735" spans="1:2" x14ac:dyDescent="0.25">
      <c r="A4735" s="201"/>
      <c r="B4735" s="201"/>
    </row>
    <row r="4736" spans="1:2" x14ac:dyDescent="0.25">
      <c r="A4736" s="201"/>
      <c r="B4736" s="201"/>
    </row>
    <row r="4737" spans="1:2" x14ac:dyDescent="0.25">
      <c r="A4737" s="201"/>
      <c r="B4737" s="201"/>
    </row>
    <row r="4738" spans="1:2" x14ac:dyDescent="0.25">
      <c r="A4738" s="201"/>
      <c r="B4738" s="201"/>
    </row>
    <row r="4739" spans="1:2" x14ac:dyDescent="0.25">
      <c r="A4739" s="201"/>
      <c r="B4739" s="201"/>
    </row>
    <row r="4740" spans="1:2" x14ac:dyDescent="0.25">
      <c r="A4740" s="201"/>
      <c r="B4740" s="201"/>
    </row>
    <row r="4741" spans="1:2" x14ac:dyDescent="0.25">
      <c r="A4741" s="201"/>
      <c r="B4741" s="201"/>
    </row>
    <row r="4742" spans="1:2" x14ac:dyDescent="0.25">
      <c r="A4742" s="201"/>
      <c r="B4742" s="201"/>
    </row>
    <row r="4743" spans="1:2" x14ac:dyDescent="0.25">
      <c r="A4743" s="201"/>
      <c r="B4743" s="201"/>
    </row>
    <row r="4744" spans="1:2" x14ac:dyDescent="0.25">
      <c r="A4744" s="201"/>
      <c r="B4744" s="201"/>
    </row>
    <row r="4745" spans="1:2" x14ac:dyDescent="0.25">
      <c r="A4745" s="201"/>
      <c r="B4745" s="201"/>
    </row>
    <row r="4746" spans="1:2" x14ac:dyDescent="0.25">
      <c r="A4746" s="201"/>
      <c r="B4746" s="201"/>
    </row>
    <row r="4747" spans="1:2" x14ac:dyDescent="0.25">
      <c r="A4747" s="201"/>
      <c r="B4747" s="201"/>
    </row>
    <row r="4748" spans="1:2" x14ac:dyDescent="0.25">
      <c r="A4748" s="201"/>
      <c r="B4748" s="201"/>
    </row>
    <row r="4749" spans="1:2" x14ac:dyDescent="0.25">
      <c r="A4749" s="201"/>
      <c r="B4749" s="201"/>
    </row>
    <row r="4750" spans="1:2" x14ac:dyDescent="0.25">
      <c r="A4750" s="201"/>
      <c r="B4750" s="201"/>
    </row>
    <row r="4751" spans="1:2" x14ac:dyDescent="0.25">
      <c r="A4751" s="201"/>
      <c r="B4751" s="201"/>
    </row>
    <row r="4752" spans="1:2" x14ac:dyDescent="0.25">
      <c r="A4752" s="201"/>
      <c r="B4752" s="201"/>
    </row>
    <row r="4753" spans="1:2" x14ac:dyDescent="0.25">
      <c r="A4753" s="201"/>
      <c r="B4753" s="201"/>
    </row>
    <row r="4754" spans="1:2" x14ac:dyDescent="0.25">
      <c r="A4754" s="201"/>
      <c r="B4754" s="201"/>
    </row>
    <row r="4755" spans="1:2" x14ac:dyDescent="0.25">
      <c r="A4755" s="201"/>
      <c r="B4755" s="201"/>
    </row>
    <row r="4756" spans="1:2" x14ac:dyDescent="0.25">
      <c r="A4756" s="201"/>
      <c r="B4756" s="201"/>
    </row>
    <row r="4757" spans="1:2" x14ac:dyDescent="0.25">
      <c r="A4757" s="201"/>
      <c r="B4757" s="201"/>
    </row>
    <row r="4758" spans="1:2" x14ac:dyDescent="0.25">
      <c r="A4758" s="201"/>
      <c r="B4758" s="201"/>
    </row>
    <row r="4759" spans="1:2" x14ac:dyDescent="0.25">
      <c r="A4759" s="201"/>
      <c r="B4759" s="201"/>
    </row>
    <row r="4760" spans="1:2" x14ac:dyDescent="0.25">
      <c r="A4760" s="201"/>
      <c r="B4760" s="201"/>
    </row>
    <row r="4761" spans="1:2" x14ac:dyDescent="0.25">
      <c r="A4761" s="201"/>
      <c r="B4761" s="201"/>
    </row>
    <row r="4762" spans="1:2" x14ac:dyDescent="0.25">
      <c r="A4762" s="201"/>
      <c r="B4762" s="201"/>
    </row>
    <row r="4763" spans="1:2" x14ac:dyDescent="0.25">
      <c r="A4763" s="201"/>
      <c r="B4763" s="201"/>
    </row>
    <row r="4764" spans="1:2" x14ac:dyDescent="0.25">
      <c r="A4764" s="201"/>
      <c r="B4764" s="201"/>
    </row>
    <row r="4765" spans="1:2" x14ac:dyDescent="0.25">
      <c r="A4765" s="201"/>
      <c r="B4765" s="201"/>
    </row>
    <row r="4766" spans="1:2" x14ac:dyDescent="0.25">
      <c r="A4766" s="201"/>
      <c r="B4766" s="201"/>
    </row>
    <row r="4767" spans="1:2" x14ac:dyDescent="0.25">
      <c r="A4767" s="201"/>
      <c r="B4767" s="201"/>
    </row>
    <row r="4768" spans="1:2" x14ac:dyDescent="0.25">
      <c r="A4768" s="201"/>
      <c r="B4768" s="201"/>
    </row>
    <row r="4769" spans="1:2" x14ac:dyDescent="0.25">
      <c r="A4769" s="201"/>
      <c r="B4769" s="201"/>
    </row>
    <row r="4770" spans="1:2" x14ac:dyDescent="0.25">
      <c r="A4770" s="201"/>
      <c r="B4770" s="201"/>
    </row>
    <row r="4771" spans="1:2" x14ac:dyDescent="0.25">
      <c r="A4771" s="201"/>
      <c r="B4771" s="201"/>
    </row>
    <row r="4772" spans="1:2" x14ac:dyDescent="0.25">
      <c r="A4772" s="201"/>
      <c r="B4772" s="201"/>
    </row>
    <row r="4773" spans="1:2" x14ac:dyDescent="0.25">
      <c r="A4773" s="201"/>
      <c r="B4773" s="201"/>
    </row>
    <row r="4774" spans="1:2" x14ac:dyDescent="0.25">
      <c r="A4774" s="201"/>
      <c r="B4774" s="201"/>
    </row>
    <row r="4775" spans="1:2" x14ac:dyDescent="0.25">
      <c r="A4775" s="201"/>
      <c r="B4775" s="201"/>
    </row>
    <row r="4776" spans="1:2" x14ac:dyDescent="0.25">
      <c r="A4776" s="201"/>
      <c r="B4776" s="201"/>
    </row>
    <row r="4777" spans="1:2" x14ac:dyDescent="0.25">
      <c r="A4777" s="201"/>
      <c r="B4777" s="201"/>
    </row>
    <row r="4778" spans="1:2" x14ac:dyDescent="0.25">
      <c r="A4778" s="201"/>
      <c r="B4778" s="201"/>
    </row>
    <row r="4779" spans="1:2" x14ac:dyDescent="0.25">
      <c r="A4779" s="201"/>
      <c r="B4779" s="201"/>
    </row>
    <row r="4780" spans="1:2" x14ac:dyDescent="0.25">
      <c r="A4780" s="201"/>
      <c r="B4780" s="201"/>
    </row>
    <row r="4781" spans="1:2" x14ac:dyDescent="0.25">
      <c r="A4781" s="201"/>
      <c r="B4781" s="201"/>
    </row>
    <row r="4782" spans="1:2" x14ac:dyDescent="0.25">
      <c r="A4782" s="201"/>
      <c r="B4782" s="201"/>
    </row>
    <row r="4783" spans="1:2" x14ac:dyDescent="0.25">
      <c r="A4783" s="201"/>
      <c r="B4783" s="201"/>
    </row>
    <row r="4784" spans="1:2" x14ac:dyDescent="0.25">
      <c r="A4784" s="201"/>
      <c r="B4784" s="201"/>
    </row>
    <row r="4785" spans="1:2" x14ac:dyDescent="0.25">
      <c r="A4785" s="201"/>
      <c r="B4785" s="201"/>
    </row>
    <row r="4786" spans="1:2" x14ac:dyDescent="0.25">
      <c r="A4786" s="201"/>
      <c r="B4786" s="201"/>
    </row>
    <row r="4787" spans="1:2" x14ac:dyDescent="0.25">
      <c r="A4787" s="201"/>
      <c r="B4787" s="201"/>
    </row>
    <row r="4788" spans="1:2" x14ac:dyDescent="0.25">
      <c r="A4788" s="201"/>
      <c r="B4788" s="201"/>
    </row>
    <row r="4789" spans="1:2" x14ac:dyDescent="0.25">
      <c r="A4789" s="201"/>
      <c r="B4789" s="201"/>
    </row>
    <row r="4790" spans="1:2" x14ac:dyDescent="0.25">
      <c r="A4790" s="201"/>
      <c r="B4790" s="201"/>
    </row>
    <row r="4791" spans="1:2" x14ac:dyDescent="0.25">
      <c r="A4791" s="201"/>
      <c r="B4791" s="201"/>
    </row>
    <row r="4792" spans="1:2" x14ac:dyDescent="0.25">
      <c r="A4792" s="201"/>
      <c r="B4792" s="201"/>
    </row>
    <row r="4793" spans="1:2" x14ac:dyDescent="0.25">
      <c r="A4793" s="201"/>
      <c r="B4793" s="201"/>
    </row>
    <row r="4794" spans="1:2" x14ac:dyDescent="0.25">
      <c r="A4794" s="201"/>
      <c r="B4794" s="201"/>
    </row>
    <row r="4795" spans="1:2" x14ac:dyDescent="0.25">
      <c r="A4795" s="201"/>
      <c r="B4795" s="201"/>
    </row>
    <row r="4796" spans="1:2" x14ac:dyDescent="0.25">
      <c r="A4796" s="201"/>
      <c r="B4796" s="201"/>
    </row>
    <row r="4797" spans="1:2" x14ac:dyDescent="0.25">
      <c r="A4797" s="201"/>
      <c r="B4797" s="201"/>
    </row>
    <row r="4798" spans="1:2" x14ac:dyDescent="0.25">
      <c r="A4798" s="201"/>
      <c r="B4798" s="201"/>
    </row>
    <row r="4799" spans="1:2" x14ac:dyDescent="0.25">
      <c r="A4799" s="201"/>
      <c r="B4799" s="201"/>
    </row>
    <row r="4800" spans="1:2" x14ac:dyDescent="0.25">
      <c r="A4800" s="201"/>
      <c r="B4800" s="201"/>
    </row>
    <row r="4801" spans="1:2" x14ac:dyDescent="0.25">
      <c r="A4801" s="201"/>
      <c r="B4801" s="201"/>
    </row>
    <row r="4802" spans="1:2" x14ac:dyDescent="0.25">
      <c r="A4802" s="201"/>
      <c r="B4802" s="201"/>
    </row>
    <row r="4803" spans="1:2" x14ac:dyDescent="0.25">
      <c r="A4803" s="201"/>
      <c r="B4803" s="201"/>
    </row>
    <row r="4804" spans="1:2" x14ac:dyDescent="0.25">
      <c r="A4804" s="201"/>
      <c r="B4804" s="201"/>
    </row>
    <row r="4805" spans="1:2" x14ac:dyDescent="0.25">
      <c r="A4805" s="201"/>
      <c r="B4805" s="201"/>
    </row>
    <row r="4806" spans="1:2" x14ac:dyDescent="0.25">
      <c r="A4806" s="201"/>
      <c r="B4806" s="201"/>
    </row>
    <row r="4807" spans="1:2" x14ac:dyDescent="0.25">
      <c r="A4807" s="201"/>
      <c r="B4807" s="201"/>
    </row>
    <row r="4808" spans="1:2" x14ac:dyDescent="0.25">
      <c r="A4808" s="201"/>
      <c r="B4808" s="201"/>
    </row>
    <row r="4809" spans="1:2" x14ac:dyDescent="0.25">
      <c r="A4809" s="201"/>
      <c r="B4809" s="201"/>
    </row>
    <row r="4810" spans="1:2" x14ac:dyDescent="0.25">
      <c r="A4810" s="201"/>
      <c r="B4810" s="201"/>
    </row>
    <row r="4811" spans="1:2" x14ac:dyDescent="0.25">
      <c r="A4811" s="201"/>
      <c r="B4811" s="201"/>
    </row>
    <row r="4812" spans="1:2" x14ac:dyDescent="0.25">
      <c r="A4812" s="201"/>
      <c r="B4812" s="201"/>
    </row>
    <row r="4813" spans="1:2" x14ac:dyDescent="0.25">
      <c r="A4813" s="201"/>
      <c r="B4813" s="201"/>
    </row>
    <row r="4814" spans="1:2" x14ac:dyDescent="0.25">
      <c r="A4814" s="201"/>
      <c r="B4814" s="201"/>
    </row>
    <row r="4815" spans="1:2" x14ac:dyDescent="0.25">
      <c r="A4815" s="201"/>
      <c r="B4815" s="201"/>
    </row>
    <row r="4816" spans="1:2" x14ac:dyDescent="0.25">
      <c r="A4816" s="201"/>
      <c r="B4816" s="201"/>
    </row>
    <row r="4817" spans="1:2" x14ac:dyDescent="0.25">
      <c r="A4817" s="201"/>
      <c r="B4817" s="201"/>
    </row>
    <row r="4818" spans="1:2" x14ac:dyDescent="0.25">
      <c r="A4818" s="201"/>
      <c r="B4818" s="201"/>
    </row>
    <row r="4819" spans="1:2" x14ac:dyDescent="0.25">
      <c r="A4819" s="201"/>
      <c r="B4819" s="201"/>
    </row>
    <row r="4820" spans="1:2" x14ac:dyDescent="0.25">
      <c r="A4820" s="201"/>
      <c r="B4820" s="201"/>
    </row>
    <row r="4821" spans="1:2" x14ac:dyDescent="0.25">
      <c r="A4821" s="201"/>
      <c r="B4821" s="201"/>
    </row>
    <row r="4822" spans="1:2" x14ac:dyDescent="0.25">
      <c r="A4822" s="201"/>
      <c r="B4822" s="201"/>
    </row>
    <row r="4823" spans="1:2" x14ac:dyDescent="0.25">
      <c r="A4823" s="201"/>
      <c r="B4823" s="201"/>
    </row>
    <row r="4824" spans="1:2" x14ac:dyDescent="0.25">
      <c r="A4824" s="201"/>
      <c r="B4824" s="201"/>
    </row>
    <row r="4825" spans="1:2" x14ac:dyDescent="0.25">
      <c r="A4825" s="201"/>
      <c r="B4825" s="201"/>
    </row>
    <row r="4826" spans="1:2" x14ac:dyDescent="0.25">
      <c r="A4826" s="201"/>
      <c r="B4826" s="201"/>
    </row>
    <row r="4827" spans="1:2" x14ac:dyDescent="0.25">
      <c r="A4827" s="201"/>
      <c r="B4827" s="201"/>
    </row>
    <row r="4828" spans="1:2" x14ac:dyDescent="0.25">
      <c r="A4828" s="201"/>
      <c r="B4828" s="201"/>
    </row>
    <row r="4829" spans="1:2" x14ac:dyDescent="0.25">
      <c r="A4829" s="201"/>
      <c r="B4829" s="201"/>
    </row>
    <row r="4830" spans="1:2" x14ac:dyDescent="0.25">
      <c r="A4830" s="201"/>
      <c r="B4830" s="201"/>
    </row>
    <row r="4831" spans="1:2" x14ac:dyDescent="0.25">
      <c r="A4831" s="201"/>
      <c r="B4831" s="201"/>
    </row>
    <row r="4832" spans="1:2" x14ac:dyDescent="0.25">
      <c r="A4832" s="201"/>
      <c r="B4832" s="201"/>
    </row>
    <row r="4833" spans="1:2" x14ac:dyDescent="0.25">
      <c r="A4833" s="201"/>
      <c r="B4833" s="201"/>
    </row>
    <row r="4834" spans="1:2" x14ac:dyDescent="0.25">
      <c r="A4834" s="201"/>
      <c r="B4834" s="201"/>
    </row>
    <row r="4835" spans="1:2" x14ac:dyDescent="0.25">
      <c r="A4835" s="201"/>
      <c r="B4835" s="201"/>
    </row>
    <row r="4836" spans="1:2" x14ac:dyDescent="0.25">
      <c r="A4836" s="201"/>
      <c r="B4836" s="201"/>
    </row>
    <row r="4837" spans="1:2" x14ac:dyDescent="0.25">
      <c r="A4837" s="201"/>
      <c r="B4837" s="201"/>
    </row>
    <row r="4838" spans="1:2" x14ac:dyDescent="0.25">
      <c r="A4838" s="201"/>
      <c r="B4838" s="201"/>
    </row>
    <row r="4839" spans="1:2" x14ac:dyDescent="0.25">
      <c r="A4839" s="201"/>
      <c r="B4839" s="201"/>
    </row>
    <row r="4840" spans="1:2" x14ac:dyDescent="0.25">
      <c r="A4840" s="201"/>
      <c r="B4840" s="201"/>
    </row>
    <row r="4841" spans="1:2" x14ac:dyDescent="0.25">
      <c r="A4841" s="201"/>
      <c r="B4841" s="201"/>
    </row>
    <row r="4842" spans="1:2" x14ac:dyDescent="0.25">
      <c r="A4842" s="201"/>
      <c r="B4842" s="201"/>
    </row>
    <row r="4843" spans="1:2" x14ac:dyDescent="0.25">
      <c r="A4843" s="201"/>
      <c r="B4843" s="201"/>
    </row>
    <row r="4844" spans="1:2" x14ac:dyDescent="0.25">
      <c r="A4844" s="201"/>
      <c r="B4844" s="201"/>
    </row>
    <row r="4845" spans="1:2" x14ac:dyDescent="0.25">
      <c r="A4845" s="201"/>
      <c r="B4845" s="201"/>
    </row>
    <row r="4846" spans="1:2" x14ac:dyDescent="0.25">
      <c r="A4846" s="201"/>
      <c r="B4846" s="201"/>
    </row>
    <row r="4847" spans="1:2" x14ac:dyDescent="0.25">
      <c r="A4847" s="201"/>
      <c r="B4847" s="201"/>
    </row>
    <row r="4848" spans="1:2" x14ac:dyDescent="0.25">
      <c r="A4848" s="201"/>
      <c r="B4848" s="201"/>
    </row>
    <row r="4849" spans="1:2" x14ac:dyDescent="0.25">
      <c r="A4849" s="201"/>
      <c r="B4849" s="201"/>
    </row>
    <row r="4850" spans="1:2" x14ac:dyDescent="0.25">
      <c r="A4850" s="201"/>
      <c r="B4850" s="201"/>
    </row>
    <row r="4851" spans="1:2" x14ac:dyDescent="0.25">
      <c r="A4851" s="201"/>
      <c r="B4851" s="201"/>
    </row>
    <row r="4852" spans="1:2" x14ac:dyDescent="0.25">
      <c r="A4852" s="201"/>
      <c r="B4852" s="201"/>
    </row>
    <row r="4853" spans="1:2" x14ac:dyDescent="0.25">
      <c r="A4853" s="201"/>
      <c r="B4853" s="201"/>
    </row>
    <row r="4854" spans="1:2" x14ac:dyDescent="0.25">
      <c r="A4854" s="201"/>
      <c r="B4854" s="201"/>
    </row>
    <row r="4855" spans="1:2" x14ac:dyDescent="0.25">
      <c r="A4855" s="201"/>
      <c r="B4855" s="201"/>
    </row>
    <row r="4856" spans="1:2" x14ac:dyDescent="0.25">
      <c r="A4856" s="201"/>
      <c r="B4856" s="201"/>
    </row>
    <row r="4857" spans="1:2" x14ac:dyDescent="0.25">
      <c r="A4857" s="201"/>
      <c r="B4857" s="201"/>
    </row>
    <row r="4858" spans="1:2" x14ac:dyDescent="0.25">
      <c r="A4858" s="201"/>
      <c r="B4858" s="201"/>
    </row>
    <row r="4859" spans="1:2" x14ac:dyDescent="0.25">
      <c r="A4859" s="201"/>
      <c r="B4859" s="201"/>
    </row>
    <row r="4860" spans="1:2" x14ac:dyDescent="0.25">
      <c r="A4860" s="201"/>
      <c r="B4860" s="201"/>
    </row>
    <row r="4861" spans="1:2" x14ac:dyDescent="0.25">
      <c r="A4861" s="201"/>
      <c r="B4861" s="201"/>
    </row>
    <row r="4862" spans="1:2" x14ac:dyDescent="0.25">
      <c r="A4862" s="201"/>
      <c r="B4862" s="201"/>
    </row>
    <row r="4863" spans="1:2" x14ac:dyDescent="0.25">
      <c r="A4863" s="201"/>
      <c r="B4863" s="201"/>
    </row>
    <row r="4864" spans="1:2" x14ac:dyDescent="0.25">
      <c r="A4864" s="201"/>
      <c r="B4864" s="201"/>
    </row>
    <row r="4865" spans="1:2" x14ac:dyDescent="0.25">
      <c r="A4865" s="201"/>
      <c r="B4865" s="201"/>
    </row>
    <row r="4866" spans="1:2" x14ac:dyDescent="0.25">
      <c r="A4866" s="201"/>
      <c r="B4866" s="201"/>
    </row>
    <row r="4867" spans="1:2" x14ac:dyDescent="0.25">
      <c r="A4867" s="201"/>
      <c r="B4867" s="201"/>
    </row>
    <row r="4868" spans="1:2" x14ac:dyDescent="0.25">
      <c r="A4868" s="201"/>
      <c r="B4868" s="201"/>
    </row>
    <row r="4869" spans="1:2" x14ac:dyDescent="0.25">
      <c r="A4869" s="201"/>
      <c r="B4869" s="201"/>
    </row>
    <row r="4870" spans="1:2" x14ac:dyDescent="0.25">
      <c r="A4870" s="201"/>
      <c r="B4870" s="201"/>
    </row>
    <row r="4871" spans="1:2" x14ac:dyDescent="0.25">
      <c r="A4871" s="201"/>
      <c r="B4871" s="201"/>
    </row>
    <row r="4872" spans="1:2" x14ac:dyDescent="0.25">
      <c r="A4872" s="201"/>
      <c r="B4872" s="201"/>
    </row>
    <row r="4873" spans="1:2" x14ac:dyDescent="0.25">
      <c r="A4873" s="201"/>
      <c r="B4873" s="201"/>
    </row>
    <row r="4874" spans="1:2" x14ac:dyDescent="0.25">
      <c r="A4874" s="201"/>
      <c r="B4874" s="201"/>
    </row>
    <row r="4875" spans="1:2" x14ac:dyDescent="0.25">
      <c r="A4875" s="201"/>
      <c r="B4875" s="201"/>
    </row>
    <row r="4876" spans="1:2" x14ac:dyDescent="0.25">
      <c r="A4876" s="201"/>
      <c r="B4876" s="201"/>
    </row>
    <row r="4877" spans="1:2" x14ac:dyDescent="0.25">
      <c r="A4877" s="201"/>
      <c r="B4877" s="201"/>
    </row>
    <row r="4878" spans="1:2" x14ac:dyDescent="0.25">
      <c r="A4878" s="201"/>
      <c r="B4878" s="201"/>
    </row>
    <row r="4879" spans="1:2" x14ac:dyDescent="0.25">
      <c r="A4879" s="201"/>
      <c r="B4879" s="201"/>
    </row>
    <row r="4880" spans="1:2" x14ac:dyDescent="0.25">
      <c r="A4880" s="201"/>
      <c r="B4880" s="201"/>
    </row>
    <row r="4881" spans="1:2" x14ac:dyDescent="0.25">
      <c r="A4881" s="201"/>
      <c r="B4881" s="201"/>
    </row>
    <row r="4882" spans="1:2" x14ac:dyDescent="0.25">
      <c r="A4882" s="201"/>
      <c r="B4882" s="201"/>
    </row>
    <row r="4883" spans="1:2" x14ac:dyDescent="0.25">
      <c r="A4883" s="201"/>
      <c r="B4883" s="201"/>
    </row>
    <row r="4884" spans="1:2" x14ac:dyDescent="0.25">
      <c r="A4884" s="201"/>
      <c r="B4884" s="201"/>
    </row>
    <row r="4885" spans="1:2" x14ac:dyDescent="0.25">
      <c r="A4885" s="201"/>
      <c r="B4885" s="201"/>
    </row>
    <row r="4886" spans="1:2" x14ac:dyDescent="0.25">
      <c r="A4886" s="201"/>
      <c r="B4886" s="201"/>
    </row>
    <row r="4887" spans="1:2" x14ac:dyDescent="0.25">
      <c r="A4887" s="201"/>
      <c r="B4887" s="201"/>
    </row>
    <row r="4888" spans="1:2" x14ac:dyDescent="0.25">
      <c r="A4888" s="201"/>
      <c r="B4888" s="201"/>
    </row>
    <row r="4889" spans="1:2" x14ac:dyDescent="0.25">
      <c r="A4889" s="201"/>
      <c r="B4889" s="201"/>
    </row>
    <row r="4890" spans="1:2" x14ac:dyDescent="0.25">
      <c r="A4890" s="201"/>
      <c r="B4890" s="201"/>
    </row>
    <row r="4891" spans="1:2" x14ac:dyDescent="0.25">
      <c r="A4891" s="201"/>
      <c r="B4891" s="201"/>
    </row>
    <row r="4892" spans="1:2" x14ac:dyDescent="0.25">
      <c r="A4892" s="201"/>
      <c r="B4892" s="201"/>
    </row>
    <row r="4893" spans="1:2" x14ac:dyDescent="0.25">
      <c r="A4893" s="201"/>
      <c r="B4893" s="201"/>
    </row>
    <row r="4894" spans="1:2" x14ac:dyDescent="0.25">
      <c r="A4894" s="201"/>
      <c r="B4894" s="201"/>
    </row>
    <row r="4895" spans="1:2" x14ac:dyDescent="0.25">
      <c r="A4895" s="201"/>
      <c r="B4895" s="201"/>
    </row>
    <row r="4896" spans="1:2" x14ac:dyDescent="0.25">
      <c r="A4896" s="201"/>
      <c r="B4896" s="201"/>
    </row>
    <row r="4897" spans="1:2" x14ac:dyDescent="0.25">
      <c r="A4897" s="201"/>
      <c r="B4897" s="201"/>
    </row>
    <row r="4898" spans="1:2" x14ac:dyDescent="0.25">
      <c r="A4898" s="201"/>
      <c r="B4898" s="201"/>
    </row>
    <row r="4899" spans="1:2" x14ac:dyDescent="0.25">
      <c r="A4899" s="201"/>
      <c r="B4899" s="201"/>
    </row>
    <row r="4900" spans="1:2" x14ac:dyDescent="0.25">
      <c r="A4900" s="201"/>
      <c r="B4900" s="201"/>
    </row>
    <row r="4901" spans="1:2" x14ac:dyDescent="0.25">
      <c r="A4901" s="201"/>
      <c r="B4901" s="201"/>
    </row>
    <row r="4902" spans="1:2" x14ac:dyDescent="0.25">
      <c r="A4902" s="201"/>
      <c r="B4902" s="201"/>
    </row>
    <row r="4903" spans="1:2" x14ac:dyDescent="0.25">
      <c r="A4903" s="201"/>
      <c r="B4903" s="201"/>
    </row>
    <row r="4904" spans="1:2" x14ac:dyDescent="0.25">
      <c r="A4904" s="201"/>
      <c r="B4904" s="201"/>
    </row>
    <row r="4905" spans="1:2" x14ac:dyDescent="0.25">
      <c r="A4905" s="201"/>
      <c r="B4905" s="201"/>
    </row>
    <row r="4906" spans="1:2" x14ac:dyDescent="0.25">
      <c r="A4906" s="201"/>
      <c r="B4906" s="201"/>
    </row>
    <row r="4907" spans="1:2" x14ac:dyDescent="0.25">
      <c r="A4907" s="201"/>
      <c r="B4907" s="201"/>
    </row>
    <row r="4908" spans="1:2" x14ac:dyDescent="0.25">
      <c r="A4908" s="201"/>
      <c r="B4908" s="201"/>
    </row>
    <row r="4909" spans="1:2" x14ac:dyDescent="0.25">
      <c r="A4909" s="201"/>
      <c r="B4909" s="201"/>
    </row>
    <row r="4910" spans="1:2" x14ac:dyDescent="0.25">
      <c r="A4910" s="201"/>
      <c r="B4910" s="201"/>
    </row>
    <row r="4911" spans="1:2" x14ac:dyDescent="0.25">
      <c r="A4911" s="201"/>
      <c r="B4911" s="201"/>
    </row>
    <row r="4912" spans="1:2" x14ac:dyDescent="0.25">
      <c r="A4912" s="201"/>
      <c r="B4912" s="201"/>
    </row>
    <row r="4913" spans="1:2" x14ac:dyDescent="0.25">
      <c r="A4913" s="201"/>
      <c r="B4913" s="201"/>
    </row>
    <row r="4914" spans="1:2" x14ac:dyDescent="0.25">
      <c r="A4914" s="201"/>
      <c r="B4914" s="201"/>
    </row>
    <row r="4915" spans="1:2" x14ac:dyDescent="0.25">
      <c r="A4915" s="201"/>
      <c r="B4915" s="201"/>
    </row>
    <row r="4916" spans="1:2" x14ac:dyDescent="0.25">
      <c r="A4916" s="201"/>
      <c r="B4916" s="201"/>
    </row>
    <row r="4917" spans="1:2" x14ac:dyDescent="0.25">
      <c r="A4917" s="201"/>
      <c r="B4917" s="201"/>
    </row>
    <row r="4918" spans="1:2" x14ac:dyDescent="0.25">
      <c r="A4918" s="201"/>
      <c r="B4918" s="201"/>
    </row>
    <row r="4919" spans="1:2" x14ac:dyDescent="0.25">
      <c r="A4919" s="201"/>
      <c r="B4919" s="201"/>
    </row>
    <row r="4920" spans="1:2" x14ac:dyDescent="0.25">
      <c r="A4920" s="201"/>
      <c r="B4920" s="201"/>
    </row>
    <row r="4921" spans="1:2" x14ac:dyDescent="0.25">
      <c r="A4921" s="201"/>
      <c r="B4921" s="201"/>
    </row>
    <row r="4922" spans="1:2" x14ac:dyDescent="0.25">
      <c r="A4922" s="201"/>
      <c r="B4922" s="201"/>
    </row>
    <row r="4923" spans="1:2" x14ac:dyDescent="0.25">
      <c r="A4923" s="201"/>
      <c r="B4923" s="201"/>
    </row>
    <row r="4924" spans="1:2" x14ac:dyDescent="0.25">
      <c r="A4924" s="201"/>
      <c r="B4924" s="201"/>
    </row>
    <row r="4925" spans="1:2" x14ac:dyDescent="0.25">
      <c r="A4925" s="201"/>
      <c r="B4925" s="201"/>
    </row>
    <row r="4926" spans="1:2" x14ac:dyDescent="0.25">
      <c r="A4926" s="201"/>
      <c r="B4926" s="201"/>
    </row>
    <row r="4927" spans="1:2" x14ac:dyDescent="0.25">
      <c r="A4927" s="201"/>
      <c r="B4927" s="201"/>
    </row>
    <row r="4928" spans="1:2" x14ac:dyDescent="0.25">
      <c r="A4928" s="201"/>
      <c r="B4928" s="201"/>
    </row>
    <row r="4929" spans="1:2" x14ac:dyDescent="0.25">
      <c r="A4929" s="201"/>
      <c r="B4929" s="201"/>
    </row>
    <row r="4930" spans="1:2" x14ac:dyDescent="0.25">
      <c r="A4930" s="201"/>
      <c r="B4930" s="201"/>
    </row>
    <row r="4931" spans="1:2" x14ac:dyDescent="0.25">
      <c r="A4931" s="201"/>
      <c r="B4931" s="201"/>
    </row>
    <row r="4932" spans="1:2" x14ac:dyDescent="0.25">
      <c r="A4932" s="201"/>
      <c r="B4932" s="201"/>
    </row>
    <row r="4933" spans="1:2" x14ac:dyDescent="0.25">
      <c r="A4933" s="201"/>
      <c r="B4933" s="201"/>
    </row>
    <row r="4934" spans="1:2" x14ac:dyDescent="0.25">
      <c r="A4934" s="201"/>
      <c r="B4934" s="201"/>
    </row>
    <row r="4935" spans="1:2" x14ac:dyDescent="0.25">
      <c r="A4935" s="201"/>
      <c r="B4935" s="201"/>
    </row>
    <row r="4936" spans="1:2" x14ac:dyDescent="0.25">
      <c r="A4936" s="201"/>
      <c r="B4936" s="201"/>
    </row>
    <row r="4937" spans="1:2" x14ac:dyDescent="0.25">
      <c r="A4937" s="201"/>
      <c r="B4937" s="201"/>
    </row>
    <row r="4938" spans="1:2" x14ac:dyDescent="0.25">
      <c r="A4938" s="201"/>
      <c r="B4938" s="201"/>
    </row>
    <row r="4939" spans="1:2" x14ac:dyDescent="0.25">
      <c r="A4939" s="201"/>
      <c r="B4939" s="201"/>
    </row>
    <row r="4940" spans="1:2" x14ac:dyDescent="0.25">
      <c r="A4940" s="201"/>
      <c r="B4940" s="201"/>
    </row>
    <row r="4941" spans="1:2" x14ac:dyDescent="0.25">
      <c r="A4941" s="201"/>
      <c r="B4941" s="201"/>
    </row>
    <row r="4942" spans="1:2" x14ac:dyDescent="0.25">
      <c r="A4942" s="201"/>
      <c r="B4942" s="201"/>
    </row>
    <row r="4943" spans="1:2" x14ac:dyDescent="0.25">
      <c r="A4943" s="201"/>
      <c r="B4943" s="201"/>
    </row>
    <row r="4944" spans="1:2" x14ac:dyDescent="0.25">
      <c r="A4944" s="201"/>
      <c r="B4944" s="201"/>
    </row>
    <row r="4945" spans="1:2" x14ac:dyDescent="0.25">
      <c r="A4945" s="201"/>
      <c r="B4945" s="201"/>
    </row>
    <row r="4946" spans="1:2" x14ac:dyDescent="0.25">
      <c r="A4946" s="201"/>
      <c r="B4946" s="201"/>
    </row>
    <row r="4947" spans="1:2" x14ac:dyDescent="0.25">
      <c r="A4947" s="201"/>
      <c r="B4947" s="201"/>
    </row>
    <row r="4948" spans="1:2" x14ac:dyDescent="0.25">
      <c r="A4948" s="201"/>
      <c r="B4948" s="201"/>
    </row>
    <row r="4949" spans="1:2" x14ac:dyDescent="0.25">
      <c r="A4949" s="201"/>
      <c r="B4949" s="201"/>
    </row>
  </sheetData>
  <mergeCells count="30">
    <mergeCell ref="AA1:AL1"/>
    <mergeCell ref="AA2:AL2"/>
    <mergeCell ref="AA3:AL3"/>
    <mergeCell ref="C1:N1"/>
    <mergeCell ref="C2:N2"/>
    <mergeCell ref="C3:N3"/>
    <mergeCell ref="O1:Z1"/>
    <mergeCell ref="O2:Z2"/>
    <mergeCell ref="O3:Z3"/>
    <mergeCell ref="W8:Z8"/>
    <mergeCell ref="AE6:AH6"/>
    <mergeCell ref="AI6:AL6"/>
    <mergeCell ref="AE8:AH8"/>
    <mergeCell ref="AI8:AL8"/>
    <mergeCell ref="AA5:AL5"/>
    <mergeCell ref="C8:F8"/>
    <mergeCell ref="O8:R8"/>
    <mergeCell ref="AA8:AD8"/>
    <mergeCell ref="C6:F6"/>
    <mergeCell ref="O6:R6"/>
    <mergeCell ref="AA6:AD6"/>
    <mergeCell ref="C5:N5"/>
    <mergeCell ref="G6:J6"/>
    <mergeCell ref="K6:N6"/>
    <mergeCell ref="G8:J8"/>
    <mergeCell ref="K8:N8"/>
    <mergeCell ref="S6:V6"/>
    <mergeCell ref="W6:Z6"/>
    <mergeCell ref="O5:Z5"/>
    <mergeCell ref="S8:V8"/>
  </mergeCells>
  <phoneticPr fontId="42" type="noConversion"/>
  <pageMargins left="0.39370078740157483" right="0.39370078740157483" top="0.78740157480314965" bottom="0.78740157480314965" header="0.62992125984251968" footer="0.39370078740157483"/>
  <pageSetup paperSize="9" scale="60" orientation="landscape" r:id="rId1"/>
  <headerFooter alignWithMargins="0">
    <oddHeader>&amp;C&amp;"Times New Roman CE,Félkövér"
&amp;R&amp;"Times New Roman CE,Félkövér"&amp;11 1. melléklet a 40/2020.(XI.30.) önkormányzati rendelethez&amp;"Times New Roman CE,Dőlt"&amp;10
 1. melléklet
az 5/2020.(II.17.) önkormányzati rendelethez</oddHeader>
  </headerFooter>
  <rowBreaks count="1" manualBreakCount="1">
    <brk id="52" max="37" man="1"/>
  </rowBreaks>
  <colBreaks count="2" manualBreakCount="2">
    <brk id="14" max="65" man="1"/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55"/>
  <sheetViews>
    <sheetView view="pageBreakPreview" topLeftCell="A4" zoomScale="80" zoomScaleNormal="70" zoomScaleSheetLayoutView="80" workbookViewId="0">
      <pane xSplit="2" ySplit="7" topLeftCell="C423" activePane="bottomRight" state="frozen"/>
      <selection activeCell="D13" sqref="D13"/>
      <selection pane="topRight" activeCell="D13" sqref="D13"/>
      <selection pane="bottomLeft" activeCell="D13" sqref="D13"/>
      <selection pane="bottomRight" activeCell="B431" sqref="B431"/>
    </sheetView>
  </sheetViews>
  <sheetFormatPr defaultRowHeight="15.75" x14ac:dyDescent="0.25"/>
  <cols>
    <col min="1" max="1" width="5" style="383" customWidth="1"/>
    <col min="2" max="2" width="40.875" style="383" customWidth="1"/>
    <col min="3" max="3" width="10.125" style="383" customWidth="1"/>
    <col min="4" max="4" width="10.75" style="383" customWidth="1"/>
    <col min="5" max="5" width="13.125" style="383" customWidth="1"/>
    <col min="6" max="6" width="9.625" style="383" bestFit="1" customWidth="1"/>
    <col min="7" max="7" width="11.125" style="383" customWidth="1"/>
    <col min="8" max="8" width="12.25" style="383" customWidth="1"/>
    <col min="9" max="9" width="11.625" style="383" customWidth="1"/>
    <col min="10" max="10" width="9.75" style="383" customWidth="1"/>
    <col min="11" max="11" width="9.875" style="383" customWidth="1"/>
    <col min="12" max="12" width="12" style="383" customWidth="1"/>
    <col min="13" max="13" width="9.875" style="383" customWidth="1"/>
    <col min="14" max="15" width="10.375" style="383" customWidth="1"/>
    <col min="16" max="16" width="16.25" style="383" customWidth="1"/>
    <col min="17" max="17" width="9.875" style="383" bestFit="1" customWidth="1"/>
    <col min="18" max="18" width="9.75" style="383" bestFit="1" customWidth="1"/>
    <col min="19" max="256" width="8.75" style="383"/>
    <col min="257" max="257" width="5" style="383" customWidth="1"/>
    <col min="258" max="258" width="40.875" style="383" customWidth="1"/>
    <col min="259" max="259" width="10.125" style="383" customWidth="1"/>
    <col min="260" max="260" width="10.75" style="383" customWidth="1"/>
    <col min="261" max="261" width="10" style="383" customWidth="1"/>
    <col min="262" max="262" width="9.625" style="383" bestFit="1" customWidth="1"/>
    <col min="263" max="263" width="10.75" style="383" customWidth="1"/>
    <col min="264" max="264" width="12.25" style="383" customWidth="1"/>
    <col min="265" max="265" width="11.625" style="383" customWidth="1"/>
    <col min="266" max="266" width="9.75" style="383" customWidth="1"/>
    <col min="267" max="267" width="9.875" style="383" customWidth="1"/>
    <col min="268" max="268" width="12" style="383" customWidth="1"/>
    <col min="269" max="269" width="9.875" style="383" customWidth="1"/>
    <col min="270" max="271" width="10.375" style="383" customWidth="1"/>
    <col min="272" max="272" width="16.25" style="383" customWidth="1"/>
    <col min="273" max="273" width="9.875" style="383" bestFit="1" customWidth="1"/>
    <col min="274" max="512" width="8.75" style="383"/>
    <col min="513" max="513" width="5" style="383" customWidth="1"/>
    <col min="514" max="514" width="40.875" style="383" customWidth="1"/>
    <col min="515" max="515" width="10.125" style="383" customWidth="1"/>
    <col min="516" max="516" width="10.75" style="383" customWidth="1"/>
    <col min="517" max="517" width="10" style="383" customWidth="1"/>
    <col min="518" max="518" width="9.625" style="383" bestFit="1" customWidth="1"/>
    <col min="519" max="519" width="10.75" style="383" customWidth="1"/>
    <col min="520" max="520" width="12.25" style="383" customWidth="1"/>
    <col min="521" max="521" width="11.625" style="383" customWidth="1"/>
    <col min="522" max="522" width="9.75" style="383" customWidth="1"/>
    <col min="523" max="523" width="9.875" style="383" customWidth="1"/>
    <col min="524" max="524" width="12" style="383" customWidth="1"/>
    <col min="525" max="525" width="9.875" style="383" customWidth="1"/>
    <col min="526" max="527" width="10.375" style="383" customWidth="1"/>
    <col min="528" max="528" width="16.25" style="383" customWidth="1"/>
    <col min="529" max="529" width="9.875" style="383" bestFit="1" customWidth="1"/>
    <col min="530" max="768" width="8.75" style="383"/>
    <col min="769" max="769" width="5" style="383" customWidth="1"/>
    <col min="770" max="770" width="40.875" style="383" customWidth="1"/>
    <col min="771" max="771" width="10.125" style="383" customWidth="1"/>
    <col min="772" max="772" width="10.75" style="383" customWidth="1"/>
    <col min="773" max="773" width="10" style="383" customWidth="1"/>
    <col min="774" max="774" width="9.625" style="383" bestFit="1" customWidth="1"/>
    <col min="775" max="775" width="10.75" style="383" customWidth="1"/>
    <col min="776" max="776" width="12.25" style="383" customWidth="1"/>
    <col min="777" max="777" width="11.625" style="383" customWidth="1"/>
    <col min="778" max="778" width="9.75" style="383" customWidth="1"/>
    <col min="779" max="779" width="9.875" style="383" customWidth="1"/>
    <col min="780" max="780" width="12" style="383" customWidth="1"/>
    <col min="781" max="781" width="9.875" style="383" customWidth="1"/>
    <col min="782" max="783" width="10.375" style="383" customWidth="1"/>
    <col min="784" max="784" width="16.25" style="383" customWidth="1"/>
    <col min="785" max="785" width="9.875" style="383" bestFit="1" customWidth="1"/>
    <col min="786" max="1024" width="8.75" style="383"/>
    <col min="1025" max="1025" width="5" style="383" customWidth="1"/>
    <col min="1026" max="1026" width="40.875" style="383" customWidth="1"/>
    <col min="1027" max="1027" width="10.125" style="383" customWidth="1"/>
    <col min="1028" max="1028" width="10.75" style="383" customWidth="1"/>
    <col min="1029" max="1029" width="10" style="383" customWidth="1"/>
    <col min="1030" max="1030" width="9.625" style="383" bestFit="1" customWidth="1"/>
    <col min="1031" max="1031" width="10.75" style="383" customWidth="1"/>
    <col min="1032" max="1032" width="12.25" style="383" customWidth="1"/>
    <col min="1033" max="1033" width="11.625" style="383" customWidth="1"/>
    <col min="1034" max="1034" width="9.75" style="383" customWidth="1"/>
    <col min="1035" max="1035" width="9.875" style="383" customWidth="1"/>
    <col min="1036" max="1036" width="12" style="383" customWidth="1"/>
    <col min="1037" max="1037" width="9.875" style="383" customWidth="1"/>
    <col min="1038" max="1039" width="10.375" style="383" customWidth="1"/>
    <col min="1040" max="1040" width="16.25" style="383" customWidth="1"/>
    <col min="1041" max="1041" width="9.875" style="383" bestFit="1" customWidth="1"/>
    <col min="1042" max="1280" width="8.75" style="383"/>
    <col min="1281" max="1281" width="5" style="383" customWidth="1"/>
    <col min="1282" max="1282" width="40.875" style="383" customWidth="1"/>
    <col min="1283" max="1283" width="10.125" style="383" customWidth="1"/>
    <col min="1284" max="1284" width="10.75" style="383" customWidth="1"/>
    <col min="1285" max="1285" width="10" style="383" customWidth="1"/>
    <col min="1286" max="1286" width="9.625" style="383" bestFit="1" customWidth="1"/>
    <col min="1287" max="1287" width="10.75" style="383" customWidth="1"/>
    <col min="1288" max="1288" width="12.25" style="383" customWidth="1"/>
    <col min="1289" max="1289" width="11.625" style="383" customWidth="1"/>
    <col min="1290" max="1290" width="9.75" style="383" customWidth="1"/>
    <col min="1291" max="1291" width="9.875" style="383" customWidth="1"/>
    <col min="1292" max="1292" width="12" style="383" customWidth="1"/>
    <col min="1293" max="1293" width="9.875" style="383" customWidth="1"/>
    <col min="1294" max="1295" width="10.375" style="383" customWidth="1"/>
    <col min="1296" max="1296" width="16.25" style="383" customWidth="1"/>
    <col min="1297" max="1297" width="9.875" style="383" bestFit="1" customWidth="1"/>
    <col min="1298" max="1536" width="8.75" style="383"/>
    <col min="1537" max="1537" width="5" style="383" customWidth="1"/>
    <col min="1538" max="1538" width="40.875" style="383" customWidth="1"/>
    <col min="1539" max="1539" width="10.125" style="383" customWidth="1"/>
    <col min="1540" max="1540" width="10.75" style="383" customWidth="1"/>
    <col min="1541" max="1541" width="10" style="383" customWidth="1"/>
    <col min="1542" max="1542" width="9.625" style="383" bestFit="1" customWidth="1"/>
    <col min="1543" max="1543" width="10.75" style="383" customWidth="1"/>
    <col min="1544" max="1544" width="12.25" style="383" customWidth="1"/>
    <col min="1545" max="1545" width="11.625" style="383" customWidth="1"/>
    <col min="1546" max="1546" width="9.75" style="383" customWidth="1"/>
    <col min="1547" max="1547" width="9.875" style="383" customWidth="1"/>
    <col min="1548" max="1548" width="12" style="383" customWidth="1"/>
    <col min="1549" max="1549" width="9.875" style="383" customWidth="1"/>
    <col min="1550" max="1551" width="10.375" style="383" customWidth="1"/>
    <col min="1552" max="1552" width="16.25" style="383" customWidth="1"/>
    <col min="1553" max="1553" width="9.875" style="383" bestFit="1" customWidth="1"/>
    <col min="1554" max="1792" width="8.75" style="383"/>
    <col min="1793" max="1793" width="5" style="383" customWidth="1"/>
    <col min="1794" max="1794" width="40.875" style="383" customWidth="1"/>
    <col min="1795" max="1795" width="10.125" style="383" customWidth="1"/>
    <col min="1796" max="1796" width="10.75" style="383" customWidth="1"/>
    <col min="1797" max="1797" width="10" style="383" customWidth="1"/>
    <col min="1798" max="1798" width="9.625" style="383" bestFit="1" customWidth="1"/>
    <col min="1799" max="1799" width="10.75" style="383" customWidth="1"/>
    <col min="1800" max="1800" width="12.25" style="383" customWidth="1"/>
    <col min="1801" max="1801" width="11.625" style="383" customWidth="1"/>
    <col min="1802" max="1802" width="9.75" style="383" customWidth="1"/>
    <col min="1803" max="1803" width="9.875" style="383" customWidth="1"/>
    <col min="1804" max="1804" width="12" style="383" customWidth="1"/>
    <col min="1805" max="1805" width="9.875" style="383" customWidth="1"/>
    <col min="1806" max="1807" width="10.375" style="383" customWidth="1"/>
    <col min="1808" max="1808" width="16.25" style="383" customWidth="1"/>
    <col min="1809" max="1809" width="9.875" style="383" bestFit="1" customWidth="1"/>
    <col min="1810" max="2048" width="8.75" style="383"/>
    <col min="2049" max="2049" width="5" style="383" customWidth="1"/>
    <col min="2050" max="2050" width="40.875" style="383" customWidth="1"/>
    <col min="2051" max="2051" width="10.125" style="383" customWidth="1"/>
    <col min="2052" max="2052" width="10.75" style="383" customWidth="1"/>
    <col min="2053" max="2053" width="10" style="383" customWidth="1"/>
    <col min="2054" max="2054" width="9.625" style="383" bestFit="1" customWidth="1"/>
    <col min="2055" max="2055" width="10.75" style="383" customWidth="1"/>
    <col min="2056" max="2056" width="12.25" style="383" customWidth="1"/>
    <col min="2057" max="2057" width="11.625" style="383" customWidth="1"/>
    <col min="2058" max="2058" width="9.75" style="383" customWidth="1"/>
    <col min="2059" max="2059" width="9.875" style="383" customWidth="1"/>
    <col min="2060" max="2060" width="12" style="383" customWidth="1"/>
    <col min="2061" max="2061" width="9.875" style="383" customWidth="1"/>
    <col min="2062" max="2063" width="10.375" style="383" customWidth="1"/>
    <col min="2064" max="2064" width="16.25" style="383" customWidth="1"/>
    <col min="2065" max="2065" width="9.875" style="383" bestFit="1" customWidth="1"/>
    <col min="2066" max="2304" width="8.75" style="383"/>
    <col min="2305" max="2305" width="5" style="383" customWidth="1"/>
    <col min="2306" max="2306" width="40.875" style="383" customWidth="1"/>
    <col min="2307" max="2307" width="10.125" style="383" customWidth="1"/>
    <col min="2308" max="2308" width="10.75" style="383" customWidth="1"/>
    <col min="2309" max="2309" width="10" style="383" customWidth="1"/>
    <col min="2310" max="2310" width="9.625" style="383" bestFit="1" customWidth="1"/>
    <col min="2311" max="2311" width="10.75" style="383" customWidth="1"/>
    <col min="2312" max="2312" width="12.25" style="383" customWidth="1"/>
    <col min="2313" max="2313" width="11.625" style="383" customWidth="1"/>
    <col min="2314" max="2314" width="9.75" style="383" customWidth="1"/>
    <col min="2315" max="2315" width="9.875" style="383" customWidth="1"/>
    <col min="2316" max="2316" width="12" style="383" customWidth="1"/>
    <col min="2317" max="2317" width="9.875" style="383" customWidth="1"/>
    <col min="2318" max="2319" width="10.375" style="383" customWidth="1"/>
    <col min="2320" max="2320" width="16.25" style="383" customWidth="1"/>
    <col min="2321" max="2321" width="9.875" style="383" bestFit="1" customWidth="1"/>
    <col min="2322" max="2560" width="8.75" style="383"/>
    <col min="2561" max="2561" width="5" style="383" customWidth="1"/>
    <col min="2562" max="2562" width="40.875" style="383" customWidth="1"/>
    <col min="2563" max="2563" width="10.125" style="383" customWidth="1"/>
    <col min="2564" max="2564" width="10.75" style="383" customWidth="1"/>
    <col min="2565" max="2565" width="10" style="383" customWidth="1"/>
    <col min="2566" max="2566" width="9.625" style="383" bestFit="1" customWidth="1"/>
    <col min="2567" max="2567" width="10.75" style="383" customWidth="1"/>
    <col min="2568" max="2568" width="12.25" style="383" customWidth="1"/>
    <col min="2569" max="2569" width="11.625" style="383" customWidth="1"/>
    <col min="2570" max="2570" width="9.75" style="383" customWidth="1"/>
    <col min="2571" max="2571" width="9.875" style="383" customWidth="1"/>
    <col min="2572" max="2572" width="12" style="383" customWidth="1"/>
    <col min="2573" max="2573" width="9.875" style="383" customWidth="1"/>
    <col min="2574" max="2575" width="10.375" style="383" customWidth="1"/>
    <col min="2576" max="2576" width="16.25" style="383" customWidth="1"/>
    <col min="2577" max="2577" width="9.875" style="383" bestFit="1" customWidth="1"/>
    <col min="2578" max="2816" width="8.75" style="383"/>
    <col min="2817" max="2817" width="5" style="383" customWidth="1"/>
    <col min="2818" max="2818" width="40.875" style="383" customWidth="1"/>
    <col min="2819" max="2819" width="10.125" style="383" customWidth="1"/>
    <col min="2820" max="2820" width="10.75" style="383" customWidth="1"/>
    <col min="2821" max="2821" width="10" style="383" customWidth="1"/>
    <col min="2822" max="2822" width="9.625" style="383" bestFit="1" customWidth="1"/>
    <col min="2823" max="2823" width="10.75" style="383" customWidth="1"/>
    <col min="2824" max="2824" width="12.25" style="383" customWidth="1"/>
    <col min="2825" max="2825" width="11.625" style="383" customWidth="1"/>
    <col min="2826" max="2826" width="9.75" style="383" customWidth="1"/>
    <col min="2827" max="2827" width="9.875" style="383" customWidth="1"/>
    <col min="2828" max="2828" width="12" style="383" customWidth="1"/>
    <col min="2829" max="2829" width="9.875" style="383" customWidth="1"/>
    <col min="2830" max="2831" width="10.375" style="383" customWidth="1"/>
    <col min="2832" max="2832" width="16.25" style="383" customWidth="1"/>
    <col min="2833" max="2833" width="9.875" style="383" bestFit="1" customWidth="1"/>
    <col min="2834" max="3072" width="8.75" style="383"/>
    <col min="3073" max="3073" width="5" style="383" customWidth="1"/>
    <col min="3074" max="3074" width="40.875" style="383" customWidth="1"/>
    <col min="3075" max="3075" width="10.125" style="383" customWidth="1"/>
    <col min="3076" max="3076" width="10.75" style="383" customWidth="1"/>
    <col min="3077" max="3077" width="10" style="383" customWidth="1"/>
    <col min="3078" max="3078" width="9.625" style="383" bestFit="1" customWidth="1"/>
    <col min="3079" max="3079" width="10.75" style="383" customWidth="1"/>
    <col min="3080" max="3080" width="12.25" style="383" customWidth="1"/>
    <col min="3081" max="3081" width="11.625" style="383" customWidth="1"/>
    <col min="3082" max="3082" width="9.75" style="383" customWidth="1"/>
    <col min="3083" max="3083" width="9.875" style="383" customWidth="1"/>
    <col min="3084" max="3084" width="12" style="383" customWidth="1"/>
    <col min="3085" max="3085" width="9.875" style="383" customWidth="1"/>
    <col min="3086" max="3087" width="10.375" style="383" customWidth="1"/>
    <col min="3088" max="3088" width="16.25" style="383" customWidth="1"/>
    <col min="3089" max="3089" width="9.875" style="383" bestFit="1" customWidth="1"/>
    <col min="3090" max="3328" width="8.75" style="383"/>
    <col min="3329" max="3329" width="5" style="383" customWidth="1"/>
    <col min="3330" max="3330" width="40.875" style="383" customWidth="1"/>
    <col min="3331" max="3331" width="10.125" style="383" customWidth="1"/>
    <col min="3332" max="3332" width="10.75" style="383" customWidth="1"/>
    <col min="3333" max="3333" width="10" style="383" customWidth="1"/>
    <col min="3334" max="3334" width="9.625" style="383" bestFit="1" customWidth="1"/>
    <col min="3335" max="3335" width="10.75" style="383" customWidth="1"/>
    <col min="3336" max="3336" width="12.25" style="383" customWidth="1"/>
    <col min="3337" max="3337" width="11.625" style="383" customWidth="1"/>
    <col min="3338" max="3338" width="9.75" style="383" customWidth="1"/>
    <col min="3339" max="3339" width="9.875" style="383" customWidth="1"/>
    <col min="3340" max="3340" width="12" style="383" customWidth="1"/>
    <col min="3341" max="3341" width="9.875" style="383" customWidth="1"/>
    <col min="3342" max="3343" width="10.375" style="383" customWidth="1"/>
    <col min="3344" max="3344" width="16.25" style="383" customWidth="1"/>
    <col min="3345" max="3345" width="9.875" style="383" bestFit="1" customWidth="1"/>
    <col min="3346" max="3584" width="8.75" style="383"/>
    <col min="3585" max="3585" width="5" style="383" customWidth="1"/>
    <col min="3586" max="3586" width="40.875" style="383" customWidth="1"/>
    <col min="3587" max="3587" width="10.125" style="383" customWidth="1"/>
    <col min="3588" max="3588" width="10.75" style="383" customWidth="1"/>
    <col min="3589" max="3589" width="10" style="383" customWidth="1"/>
    <col min="3590" max="3590" width="9.625" style="383" bestFit="1" customWidth="1"/>
    <col min="3591" max="3591" width="10.75" style="383" customWidth="1"/>
    <col min="3592" max="3592" width="12.25" style="383" customWidth="1"/>
    <col min="3593" max="3593" width="11.625" style="383" customWidth="1"/>
    <col min="3594" max="3594" width="9.75" style="383" customWidth="1"/>
    <col min="3595" max="3595" width="9.875" style="383" customWidth="1"/>
    <col min="3596" max="3596" width="12" style="383" customWidth="1"/>
    <col min="3597" max="3597" width="9.875" style="383" customWidth="1"/>
    <col min="3598" max="3599" width="10.375" style="383" customWidth="1"/>
    <col min="3600" max="3600" width="16.25" style="383" customWidth="1"/>
    <col min="3601" max="3601" width="9.875" style="383" bestFit="1" customWidth="1"/>
    <col min="3602" max="3840" width="8.75" style="383"/>
    <col min="3841" max="3841" width="5" style="383" customWidth="1"/>
    <col min="3842" max="3842" width="40.875" style="383" customWidth="1"/>
    <col min="3843" max="3843" width="10.125" style="383" customWidth="1"/>
    <col min="3844" max="3844" width="10.75" style="383" customWidth="1"/>
    <col min="3845" max="3845" width="10" style="383" customWidth="1"/>
    <col min="3846" max="3846" width="9.625" style="383" bestFit="1" customWidth="1"/>
    <col min="3847" max="3847" width="10.75" style="383" customWidth="1"/>
    <col min="3848" max="3848" width="12.25" style="383" customWidth="1"/>
    <col min="3849" max="3849" width="11.625" style="383" customWidth="1"/>
    <col min="3850" max="3850" width="9.75" style="383" customWidth="1"/>
    <col min="3851" max="3851" width="9.875" style="383" customWidth="1"/>
    <col min="3852" max="3852" width="12" style="383" customWidth="1"/>
    <col min="3853" max="3853" width="9.875" style="383" customWidth="1"/>
    <col min="3854" max="3855" width="10.375" style="383" customWidth="1"/>
    <col min="3856" max="3856" width="16.25" style="383" customWidth="1"/>
    <col min="3857" max="3857" width="9.875" style="383" bestFit="1" customWidth="1"/>
    <col min="3858" max="4096" width="8.75" style="383"/>
    <col min="4097" max="4097" width="5" style="383" customWidth="1"/>
    <col min="4098" max="4098" width="40.875" style="383" customWidth="1"/>
    <col min="4099" max="4099" width="10.125" style="383" customWidth="1"/>
    <col min="4100" max="4100" width="10.75" style="383" customWidth="1"/>
    <col min="4101" max="4101" width="10" style="383" customWidth="1"/>
    <col min="4102" max="4102" width="9.625" style="383" bestFit="1" customWidth="1"/>
    <col min="4103" max="4103" width="10.75" style="383" customWidth="1"/>
    <col min="4104" max="4104" width="12.25" style="383" customWidth="1"/>
    <col min="4105" max="4105" width="11.625" style="383" customWidth="1"/>
    <col min="4106" max="4106" width="9.75" style="383" customWidth="1"/>
    <col min="4107" max="4107" width="9.875" style="383" customWidth="1"/>
    <col min="4108" max="4108" width="12" style="383" customWidth="1"/>
    <col min="4109" max="4109" width="9.875" style="383" customWidth="1"/>
    <col min="4110" max="4111" width="10.375" style="383" customWidth="1"/>
    <col min="4112" max="4112" width="16.25" style="383" customWidth="1"/>
    <col min="4113" max="4113" width="9.875" style="383" bestFit="1" customWidth="1"/>
    <col min="4114" max="4352" width="8.75" style="383"/>
    <col min="4353" max="4353" width="5" style="383" customWidth="1"/>
    <col min="4354" max="4354" width="40.875" style="383" customWidth="1"/>
    <col min="4355" max="4355" width="10.125" style="383" customWidth="1"/>
    <col min="4356" max="4356" width="10.75" style="383" customWidth="1"/>
    <col min="4357" max="4357" width="10" style="383" customWidth="1"/>
    <col min="4358" max="4358" width="9.625" style="383" bestFit="1" customWidth="1"/>
    <col min="4359" max="4359" width="10.75" style="383" customWidth="1"/>
    <col min="4360" max="4360" width="12.25" style="383" customWidth="1"/>
    <col min="4361" max="4361" width="11.625" style="383" customWidth="1"/>
    <col min="4362" max="4362" width="9.75" style="383" customWidth="1"/>
    <col min="4363" max="4363" width="9.875" style="383" customWidth="1"/>
    <col min="4364" max="4364" width="12" style="383" customWidth="1"/>
    <col min="4365" max="4365" width="9.875" style="383" customWidth="1"/>
    <col min="4366" max="4367" width="10.375" style="383" customWidth="1"/>
    <col min="4368" max="4368" width="16.25" style="383" customWidth="1"/>
    <col min="4369" max="4369" width="9.875" style="383" bestFit="1" customWidth="1"/>
    <col min="4370" max="4608" width="8.75" style="383"/>
    <col min="4609" max="4609" width="5" style="383" customWidth="1"/>
    <col min="4610" max="4610" width="40.875" style="383" customWidth="1"/>
    <col min="4611" max="4611" width="10.125" style="383" customWidth="1"/>
    <col min="4612" max="4612" width="10.75" style="383" customWidth="1"/>
    <col min="4613" max="4613" width="10" style="383" customWidth="1"/>
    <col min="4614" max="4614" width="9.625" style="383" bestFit="1" customWidth="1"/>
    <col min="4615" max="4615" width="10.75" style="383" customWidth="1"/>
    <col min="4616" max="4616" width="12.25" style="383" customWidth="1"/>
    <col min="4617" max="4617" width="11.625" style="383" customWidth="1"/>
    <col min="4618" max="4618" width="9.75" style="383" customWidth="1"/>
    <col min="4619" max="4619" width="9.875" style="383" customWidth="1"/>
    <col min="4620" max="4620" width="12" style="383" customWidth="1"/>
    <col min="4621" max="4621" width="9.875" style="383" customWidth="1"/>
    <col min="4622" max="4623" width="10.375" style="383" customWidth="1"/>
    <col min="4624" max="4624" width="16.25" style="383" customWidth="1"/>
    <col min="4625" max="4625" width="9.875" style="383" bestFit="1" customWidth="1"/>
    <col min="4626" max="4864" width="8.75" style="383"/>
    <col min="4865" max="4865" width="5" style="383" customWidth="1"/>
    <col min="4866" max="4866" width="40.875" style="383" customWidth="1"/>
    <col min="4867" max="4867" width="10.125" style="383" customWidth="1"/>
    <col min="4868" max="4868" width="10.75" style="383" customWidth="1"/>
    <col min="4869" max="4869" width="10" style="383" customWidth="1"/>
    <col min="4870" max="4870" width="9.625" style="383" bestFit="1" customWidth="1"/>
    <col min="4871" max="4871" width="10.75" style="383" customWidth="1"/>
    <col min="4872" max="4872" width="12.25" style="383" customWidth="1"/>
    <col min="4873" max="4873" width="11.625" style="383" customWidth="1"/>
    <col min="4874" max="4874" width="9.75" style="383" customWidth="1"/>
    <col min="4875" max="4875" width="9.875" style="383" customWidth="1"/>
    <col min="4876" max="4876" width="12" style="383" customWidth="1"/>
    <col min="4877" max="4877" width="9.875" style="383" customWidth="1"/>
    <col min="4878" max="4879" width="10.375" style="383" customWidth="1"/>
    <col min="4880" max="4880" width="16.25" style="383" customWidth="1"/>
    <col min="4881" max="4881" width="9.875" style="383" bestFit="1" customWidth="1"/>
    <col min="4882" max="5120" width="8.75" style="383"/>
    <col min="5121" max="5121" width="5" style="383" customWidth="1"/>
    <col min="5122" max="5122" width="40.875" style="383" customWidth="1"/>
    <col min="5123" max="5123" width="10.125" style="383" customWidth="1"/>
    <col min="5124" max="5124" width="10.75" style="383" customWidth="1"/>
    <col min="5125" max="5125" width="10" style="383" customWidth="1"/>
    <col min="5126" max="5126" width="9.625" style="383" bestFit="1" customWidth="1"/>
    <col min="5127" max="5127" width="10.75" style="383" customWidth="1"/>
    <col min="5128" max="5128" width="12.25" style="383" customWidth="1"/>
    <col min="5129" max="5129" width="11.625" style="383" customWidth="1"/>
    <col min="5130" max="5130" width="9.75" style="383" customWidth="1"/>
    <col min="5131" max="5131" width="9.875" style="383" customWidth="1"/>
    <col min="5132" max="5132" width="12" style="383" customWidth="1"/>
    <col min="5133" max="5133" width="9.875" style="383" customWidth="1"/>
    <col min="5134" max="5135" width="10.375" style="383" customWidth="1"/>
    <col min="5136" max="5136" width="16.25" style="383" customWidth="1"/>
    <col min="5137" max="5137" width="9.875" style="383" bestFit="1" customWidth="1"/>
    <col min="5138" max="5376" width="8.75" style="383"/>
    <col min="5377" max="5377" width="5" style="383" customWidth="1"/>
    <col min="5378" max="5378" width="40.875" style="383" customWidth="1"/>
    <col min="5379" max="5379" width="10.125" style="383" customWidth="1"/>
    <col min="5380" max="5380" width="10.75" style="383" customWidth="1"/>
    <col min="5381" max="5381" width="10" style="383" customWidth="1"/>
    <col min="5382" max="5382" width="9.625" style="383" bestFit="1" customWidth="1"/>
    <col min="5383" max="5383" width="10.75" style="383" customWidth="1"/>
    <col min="5384" max="5384" width="12.25" style="383" customWidth="1"/>
    <col min="5385" max="5385" width="11.625" style="383" customWidth="1"/>
    <col min="5386" max="5386" width="9.75" style="383" customWidth="1"/>
    <col min="5387" max="5387" width="9.875" style="383" customWidth="1"/>
    <col min="5388" max="5388" width="12" style="383" customWidth="1"/>
    <col min="5389" max="5389" width="9.875" style="383" customWidth="1"/>
    <col min="5390" max="5391" width="10.375" style="383" customWidth="1"/>
    <col min="5392" max="5392" width="16.25" style="383" customWidth="1"/>
    <col min="5393" max="5393" width="9.875" style="383" bestFit="1" customWidth="1"/>
    <col min="5394" max="5632" width="8.75" style="383"/>
    <col min="5633" max="5633" width="5" style="383" customWidth="1"/>
    <col min="5634" max="5634" width="40.875" style="383" customWidth="1"/>
    <col min="5635" max="5635" width="10.125" style="383" customWidth="1"/>
    <col min="5636" max="5636" width="10.75" style="383" customWidth="1"/>
    <col min="5637" max="5637" width="10" style="383" customWidth="1"/>
    <col min="5638" max="5638" width="9.625" style="383" bestFit="1" customWidth="1"/>
    <col min="5639" max="5639" width="10.75" style="383" customWidth="1"/>
    <col min="5640" max="5640" width="12.25" style="383" customWidth="1"/>
    <col min="5641" max="5641" width="11.625" style="383" customWidth="1"/>
    <col min="5642" max="5642" width="9.75" style="383" customWidth="1"/>
    <col min="5643" max="5643" width="9.875" style="383" customWidth="1"/>
    <col min="5644" max="5644" width="12" style="383" customWidth="1"/>
    <col min="5645" max="5645" width="9.875" style="383" customWidth="1"/>
    <col min="5646" max="5647" width="10.375" style="383" customWidth="1"/>
    <col min="5648" max="5648" width="16.25" style="383" customWidth="1"/>
    <col min="5649" max="5649" width="9.875" style="383" bestFit="1" customWidth="1"/>
    <col min="5650" max="5888" width="8.75" style="383"/>
    <col min="5889" max="5889" width="5" style="383" customWidth="1"/>
    <col min="5890" max="5890" width="40.875" style="383" customWidth="1"/>
    <col min="5891" max="5891" width="10.125" style="383" customWidth="1"/>
    <col min="5892" max="5892" width="10.75" style="383" customWidth="1"/>
    <col min="5893" max="5893" width="10" style="383" customWidth="1"/>
    <col min="5894" max="5894" width="9.625" style="383" bestFit="1" customWidth="1"/>
    <col min="5895" max="5895" width="10.75" style="383" customWidth="1"/>
    <col min="5896" max="5896" width="12.25" style="383" customWidth="1"/>
    <col min="5897" max="5897" width="11.625" style="383" customWidth="1"/>
    <col min="5898" max="5898" width="9.75" style="383" customWidth="1"/>
    <col min="5899" max="5899" width="9.875" style="383" customWidth="1"/>
    <col min="5900" max="5900" width="12" style="383" customWidth="1"/>
    <col min="5901" max="5901" width="9.875" style="383" customWidth="1"/>
    <col min="5902" max="5903" width="10.375" style="383" customWidth="1"/>
    <col min="5904" max="5904" width="16.25" style="383" customWidth="1"/>
    <col min="5905" max="5905" width="9.875" style="383" bestFit="1" customWidth="1"/>
    <col min="5906" max="6144" width="8.75" style="383"/>
    <col min="6145" max="6145" width="5" style="383" customWidth="1"/>
    <col min="6146" max="6146" width="40.875" style="383" customWidth="1"/>
    <col min="6147" max="6147" width="10.125" style="383" customWidth="1"/>
    <col min="6148" max="6148" width="10.75" style="383" customWidth="1"/>
    <col min="6149" max="6149" width="10" style="383" customWidth="1"/>
    <col min="6150" max="6150" width="9.625" style="383" bestFit="1" customWidth="1"/>
    <col min="6151" max="6151" width="10.75" style="383" customWidth="1"/>
    <col min="6152" max="6152" width="12.25" style="383" customWidth="1"/>
    <col min="6153" max="6153" width="11.625" style="383" customWidth="1"/>
    <col min="6154" max="6154" width="9.75" style="383" customWidth="1"/>
    <col min="6155" max="6155" width="9.875" style="383" customWidth="1"/>
    <col min="6156" max="6156" width="12" style="383" customWidth="1"/>
    <col min="6157" max="6157" width="9.875" style="383" customWidth="1"/>
    <col min="6158" max="6159" width="10.375" style="383" customWidth="1"/>
    <col min="6160" max="6160" width="16.25" style="383" customWidth="1"/>
    <col min="6161" max="6161" width="9.875" style="383" bestFit="1" customWidth="1"/>
    <col min="6162" max="6400" width="8.75" style="383"/>
    <col min="6401" max="6401" width="5" style="383" customWidth="1"/>
    <col min="6402" max="6402" width="40.875" style="383" customWidth="1"/>
    <col min="6403" max="6403" width="10.125" style="383" customWidth="1"/>
    <col min="6404" max="6404" width="10.75" style="383" customWidth="1"/>
    <col min="6405" max="6405" width="10" style="383" customWidth="1"/>
    <col min="6406" max="6406" width="9.625" style="383" bestFit="1" customWidth="1"/>
    <col min="6407" max="6407" width="10.75" style="383" customWidth="1"/>
    <col min="6408" max="6408" width="12.25" style="383" customWidth="1"/>
    <col min="6409" max="6409" width="11.625" style="383" customWidth="1"/>
    <col min="6410" max="6410" width="9.75" style="383" customWidth="1"/>
    <col min="6411" max="6411" width="9.875" style="383" customWidth="1"/>
    <col min="6412" max="6412" width="12" style="383" customWidth="1"/>
    <col min="6413" max="6413" width="9.875" style="383" customWidth="1"/>
    <col min="6414" max="6415" width="10.375" style="383" customWidth="1"/>
    <col min="6416" max="6416" width="16.25" style="383" customWidth="1"/>
    <col min="6417" max="6417" width="9.875" style="383" bestFit="1" customWidth="1"/>
    <col min="6418" max="6656" width="8.75" style="383"/>
    <col min="6657" max="6657" width="5" style="383" customWidth="1"/>
    <col min="6658" max="6658" width="40.875" style="383" customWidth="1"/>
    <col min="6659" max="6659" width="10.125" style="383" customWidth="1"/>
    <col min="6660" max="6660" width="10.75" style="383" customWidth="1"/>
    <col min="6661" max="6661" width="10" style="383" customWidth="1"/>
    <col min="6662" max="6662" width="9.625" style="383" bestFit="1" customWidth="1"/>
    <col min="6663" max="6663" width="10.75" style="383" customWidth="1"/>
    <col min="6664" max="6664" width="12.25" style="383" customWidth="1"/>
    <col min="6665" max="6665" width="11.625" style="383" customWidth="1"/>
    <col min="6666" max="6666" width="9.75" style="383" customWidth="1"/>
    <col min="6667" max="6667" width="9.875" style="383" customWidth="1"/>
    <col min="6668" max="6668" width="12" style="383" customWidth="1"/>
    <col min="6669" max="6669" width="9.875" style="383" customWidth="1"/>
    <col min="6670" max="6671" width="10.375" style="383" customWidth="1"/>
    <col min="6672" max="6672" width="16.25" style="383" customWidth="1"/>
    <col min="6673" max="6673" width="9.875" style="383" bestFit="1" customWidth="1"/>
    <col min="6674" max="6912" width="8.75" style="383"/>
    <col min="6913" max="6913" width="5" style="383" customWidth="1"/>
    <col min="6914" max="6914" width="40.875" style="383" customWidth="1"/>
    <col min="6915" max="6915" width="10.125" style="383" customWidth="1"/>
    <col min="6916" max="6916" width="10.75" style="383" customWidth="1"/>
    <col min="6917" max="6917" width="10" style="383" customWidth="1"/>
    <col min="6918" max="6918" width="9.625" style="383" bestFit="1" customWidth="1"/>
    <col min="6919" max="6919" width="10.75" style="383" customWidth="1"/>
    <col min="6920" max="6920" width="12.25" style="383" customWidth="1"/>
    <col min="6921" max="6921" width="11.625" style="383" customWidth="1"/>
    <col min="6922" max="6922" width="9.75" style="383" customWidth="1"/>
    <col min="6923" max="6923" width="9.875" style="383" customWidth="1"/>
    <col min="6924" max="6924" width="12" style="383" customWidth="1"/>
    <col min="6925" max="6925" width="9.875" style="383" customWidth="1"/>
    <col min="6926" max="6927" width="10.375" style="383" customWidth="1"/>
    <col min="6928" max="6928" width="16.25" style="383" customWidth="1"/>
    <col min="6929" max="6929" width="9.875" style="383" bestFit="1" customWidth="1"/>
    <col min="6930" max="7168" width="8.75" style="383"/>
    <col min="7169" max="7169" width="5" style="383" customWidth="1"/>
    <col min="7170" max="7170" width="40.875" style="383" customWidth="1"/>
    <col min="7171" max="7171" width="10.125" style="383" customWidth="1"/>
    <col min="7172" max="7172" width="10.75" style="383" customWidth="1"/>
    <col min="7173" max="7173" width="10" style="383" customWidth="1"/>
    <col min="7174" max="7174" width="9.625" style="383" bestFit="1" customWidth="1"/>
    <col min="7175" max="7175" width="10.75" style="383" customWidth="1"/>
    <col min="7176" max="7176" width="12.25" style="383" customWidth="1"/>
    <col min="7177" max="7177" width="11.625" style="383" customWidth="1"/>
    <col min="7178" max="7178" width="9.75" style="383" customWidth="1"/>
    <col min="7179" max="7179" width="9.875" style="383" customWidth="1"/>
    <col min="7180" max="7180" width="12" style="383" customWidth="1"/>
    <col min="7181" max="7181" width="9.875" style="383" customWidth="1"/>
    <col min="7182" max="7183" width="10.375" style="383" customWidth="1"/>
    <col min="7184" max="7184" width="16.25" style="383" customWidth="1"/>
    <col min="7185" max="7185" width="9.875" style="383" bestFit="1" customWidth="1"/>
    <col min="7186" max="7424" width="8.75" style="383"/>
    <col min="7425" max="7425" width="5" style="383" customWidth="1"/>
    <col min="7426" max="7426" width="40.875" style="383" customWidth="1"/>
    <col min="7427" max="7427" width="10.125" style="383" customWidth="1"/>
    <col min="7428" max="7428" width="10.75" style="383" customWidth="1"/>
    <col min="7429" max="7429" width="10" style="383" customWidth="1"/>
    <col min="7430" max="7430" width="9.625" style="383" bestFit="1" customWidth="1"/>
    <col min="7431" max="7431" width="10.75" style="383" customWidth="1"/>
    <col min="7432" max="7432" width="12.25" style="383" customWidth="1"/>
    <col min="7433" max="7433" width="11.625" style="383" customWidth="1"/>
    <col min="7434" max="7434" width="9.75" style="383" customWidth="1"/>
    <col min="7435" max="7435" width="9.875" style="383" customWidth="1"/>
    <col min="7436" max="7436" width="12" style="383" customWidth="1"/>
    <col min="7437" max="7437" width="9.875" style="383" customWidth="1"/>
    <col min="7438" max="7439" width="10.375" style="383" customWidth="1"/>
    <col min="7440" max="7440" width="16.25" style="383" customWidth="1"/>
    <col min="7441" max="7441" width="9.875" style="383" bestFit="1" customWidth="1"/>
    <col min="7442" max="7680" width="8.75" style="383"/>
    <col min="7681" max="7681" width="5" style="383" customWidth="1"/>
    <col min="7682" max="7682" width="40.875" style="383" customWidth="1"/>
    <col min="7683" max="7683" width="10.125" style="383" customWidth="1"/>
    <col min="7684" max="7684" width="10.75" style="383" customWidth="1"/>
    <col min="7685" max="7685" width="10" style="383" customWidth="1"/>
    <col min="7686" max="7686" width="9.625" style="383" bestFit="1" customWidth="1"/>
    <col min="7687" max="7687" width="10.75" style="383" customWidth="1"/>
    <col min="7688" max="7688" width="12.25" style="383" customWidth="1"/>
    <col min="7689" max="7689" width="11.625" style="383" customWidth="1"/>
    <col min="7690" max="7690" width="9.75" style="383" customWidth="1"/>
    <col min="7691" max="7691" width="9.875" style="383" customWidth="1"/>
    <col min="7692" max="7692" width="12" style="383" customWidth="1"/>
    <col min="7693" max="7693" width="9.875" style="383" customWidth="1"/>
    <col min="7694" max="7695" width="10.375" style="383" customWidth="1"/>
    <col min="7696" max="7696" width="16.25" style="383" customWidth="1"/>
    <col min="7697" max="7697" width="9.875" style="383" bestFit="1" customWidth="1"/>
    <col min="7698" max="7936" width="8.75" style="383"/>
    <col min="7937" max="7937" width="5" style="383" customWidth="1"/>
    <col min="7938" max="7938" width="40.875" style="383" customWidth="1"/>
    <col min="7939" max="7939" width="10.125" style="383" customWidth="1"/>
    <col min="7940" max="7940" width="10.75" style="383" customWidth="1"/>
    <col min="7941" max="7941" width="10" style="383" customWidth="1"/>
    <col min="7942" max="7942" width="9.625" style="383" bestFit="1" customWidth="1"/>
    <col min="7943" max="7943" width="10.75" style="383" customWidth="1"/>
    <col min="7944" max="7944" width="12.25" style="383" customWidth="1"/>
    <col min="7945" max="7945" width="11.625" style="383" customWidth="1"/>
    <col min="7946" max="7946" width="9.75" style="383" customWidth="1"/>
    <col min="7947" max="7947" width="9.875" style="383" customWidth="1"/>
    <col min="7948" max="7948" width="12" style="383" customWidth="1"/>
    <col min="7949" max="7949" width="9.875" style="383" customWidth="1"/>
    <col min="7950" max="7951" width="10.375" style="383" customWidth="1"/>
    <col min="7952" max="7952" width="16.25" style="383" customWidth="1"/>
    <col min="7953" max="7953" width="9.875" style="383" bestFit="1" customWidth="1"/>
    <col min="7954" max="8192" width="8.75" style="383"/>
    <col min="8193" max="8193" width="5" style="383" customWidth="1"/>
    <col min="8194" max="8194" width="40.875" style="383" customWidth="1"/>
    <col min="8195" max="8195" width="10.125" style="383" customWidth="1"/>
    <col min="8196" max="8196" width="10.75" style="383" customWidth="1"/>
    <col min="8197" max="8197" width="10" style="383" customWidth="1"/>
    <col min="8198" max="8198" width="9.625" style="383" bestFit="1" customWidth="1"/>
    <col min="8199" max="8199" width="10.75" style="383" customWidth="1"/>
    <col min="8200" max="8200" width="12.25" style="383" customWidth="1"/>
    <col min="8201" max="8201" width="11.625" style="383" customWidth="1"/>
    <col min="8202" max="8202" width="9.75" style="383" customWidth="1"/>
    <col min="8203" max="8203" width="9.875" style="383" customWidth="1"/>
    <col min="8204" max="8204" width="12" style="383" customWidth="1"/>
    <col min="8205" max="8205" width="9.875" style="383" customWidth="1"/>
    <col min="8206" max="8207" width="10.375" style="383" customWidth="1"/>
    <col min="8208" max="8208" width="16.25" style="383" customWidth="1"/>
    <col min="8209" max="8209" width="9.875" style="383" bestFit="1" customWidth="1"/>
    <col min="8210" max="8448" width="8.75" style="383"/>
    <col min="8449" max="8449" width="5" style="383" customWidth="1"/>
    <col min="8450" max="8450" width="40.875" style="383" customWidth="1"/>
    <col min="8451" max="8451" width="10.125" style="383" customWidth="1"/>
    <col min="8452" max="8452" width="10.75" style="383" customWidth="1"/>
    <col min="8453" max="8453" width="10" style="383" customWidth="1"/>
    <col min="8454" max="8454" width="9.625" style="383" bestFit="1" customWidth="1"/>
    <col min="8455" max="8455" width="10.75" style="383" customWidth="1"/>
    <col min="8456" max="8456" width="12.25" style="383" customWidth="1"/>
    <col min="8457" max="8457" width="11.625" style="383" customWidth="1"/>
    <col min="8458" max="8458" width="9.75" style="383" customWidth="1"/>
    <col min="8459" max="8459" width="9.875" style="383" customWidth="1"/>
    <col min="8460" max="8460" width="12" style="383" customWidth="1"/>
    <col min="8461" max="8461" width="9.875" style="383" customWidth="1"/>
    <col min="8462" max="8463" width="10.375" style="383" customWidth="1"/>
    <col min="8464" max="8464" width="16.25" style="383" customWidth="1"/>
    <col min="8465" max="8465" width="9.875" style="383" bestFit="1" customWidth="1"/>
    <col min="8466" max="8704" width="8.75" style="383"/>
    <col min="8705" max="8705" width="5" style="383" customWidth="1"/>
    <col min="8706" max="8706" width="40.875" style="383" customWidth="1"/>
    <col min="8707" max="8707" width="10.125" style="383" customWidth="1"/>
    <col min="8708" max="8708" width="10.75" style="383" customWidth="1"/>
    <col min="8709" max="8709" width="10" style="383" customWidth="1"/>
    <col min="8710" max="8710" width="9.625" style="383" bestFit="1" customWidth="1"/>
    <col min="8711" max="8711" width="10.75" style="383" customWidth="1"/>
    <col min="8712" max="8712" width="12.25" style="383" customWidth="1"/>
    <col min="8713" max="8713" width="11.625" style="383" customWidth="1"/>
    <col min="8714" max="8714" width="9.75" style="383" customWidth="1"/>
    <col min="8715" max="8715" width="9.875" style="383" customWidth="1"/>
    <col min="8716" max="8716" width="12" style="383" customWidth="1"/>
    <col min="8717" max="8717" width="9.875" style="383" customWidth="1"/>
    <col min="8718" max="8719" width="10.375" style="383" customWidth="1"/>
    <col min="8720" max="8720" width="16.25" style="383" customWidth="1"/>
    <col min="8721" max="8721" width="9.875" style="383" bestFit="1" customWidth="1"/>
    <col min="8722" max="8960" width="8.75" style="383"/>
    <col min="8961" max="8961" width="5" style="383" customWidth="1"/>
    <col min="8962" max="8962" width="40.875" style="383" customWidth="1"/>
    <col min="8963" max="8963" width="10.125" style="383" customWidth="1"/>
    <col min="8964" max="8964" width="10.75" style="383" customWidth="1"/>
    <col min="8965" max="8965" width="10" style="383" customWidth="1"/>
    <col min="8966" max="8966" width="9.625" style="383" bestFit="1" customWidth="1"/>
    <col min="8967" max="8967" width="10.75" style="383" customWidth="1"/>
    <col min="8968" max="8968" width="12.25" style="383" customWidth="1"/>
    <col min="8969" max="8969" width="11.625" style="383" customWidth="1"/>
    <col min="8970" max="8970" width="9.75" style="383" customWidth="1"/>
    <col min="8971" max="8971" width="9.875" style="383" customWidth="1"/>
    <col min="8972" max="8972" width="12" style="383" customWidth="1"/>
    <col min="8973" max="8973" width="9.875" style="383" customWidth="1"/>
    <col min="8974" max="8975" width="10.375" style="383" customWidth="1"/>
    <col min="8976" max="8976" width="16.25" style="383" customWidth="1"/>
    <col min="8977" max="8977" width="9.875" style="383" bestFit="1" customWidth="1"/>
    <col min="8978" max="9216" width="8.75" style="383"/>
    <col min="9217" max="9217" width="5" style="383" customWidth="1"/>
    <col min="9218" max="9218" width="40.875" style="383" customWidth="1"/>
    <col min="9219" max="9219" width="10.125" style="383" customWidth="1"/>
    <col min="9220" max="9220" width="10.75" style="383" customWidth="1"/>
    <col min="9221" max="9221" width="10" style="383" customWidth="1"/>
    <col min="9222" max="9222" width="9.625" style="383" bestFit="1" customWidth="1"/>
    <col min="9223" max="9223" width="10.75" style="383" customWidth="1"/>
    <col min="9224" max="9224" width="12.25" style="383" customWidth="1"/>
    <col min="9225" max="9225" width="11.625" style="383" customWidth="1"/>
    <col min="9226" max="9226" width="9.75" style="383" customWidth="1"/>
    <col min="9227" max="9227" width="9.875" style="383" customWidth="1"/>
    <col min="9228" max="9228" width="12" style="383" customWidth="1"/>
    <col min="9229" max="9229" width="9.875" style="383" customWidth="1"/>
    <col min="9230" max="9231" width="10.375" style="383" customWidth="1"/>
    <col min="9232" max="9232" width="16.25" style="383" customWidth="1"/>
    <col min="9233" max="9233" width="9.875" style="383" bestFit="1" customWidth="1"/>
    <col min="9234" max="9472" width="8.75" style="383"/>
    <col min="9473" max="9473" width="5" style="383" customWidth="1"/>
    <col min="9474" max="9474" width="40.875" style="383" customWidth="1"/>
    <col min="9475" max="9475" width="10.125" style="383" customWidth="1"/>
    <col min="9476" max="9476" width="10.75" style="383" customWidth="1"/>
    <col min="9477" max="9477" width="10" style="383" customWidth="1"/>
    <col min="9478" max="9478" width="9.625" style="383" bestFit="1" customWidth="1"/>
    <col min="9479" max="9479" width="10.75" style="383" customWidth="1"/>
    <col min="9480" max="9480" width="12.25" style="383" customWidth="1"/>
    <col min="9481" max="9481" width="11.625" style="383" customWidth="1"/>
    <col min="9482" max="9482" width="9.75" style="383" customWidth="1"/>
    <col min="9483" max="9483" width="9.875" style="383" customWidth="1"/>
    <col min="9484" max="9484" width="12" style="383" customWidth="1"/>
    <col min="9485" max="9485" width="9.875" style="383" customWidth="1"/>
    <col min="9486" max="9487" width="10.375" style="383" customWidth="1"/>
    <col min="9488" max="9488" width="16.25" style="383" customWidth="1"/>
    <col min="9489" max="9489" width="9.875" style="383" bestFit="1" customWidth="1"/>
    <col min="9490" max="9728" width="8.75" style="383"/>
    <col min="9729" max="9729" width="5" style="383" customWidth="1"/>
    <col min="9730" max="9730" width="40.875" style="383" customWidth="1"/>
    <col min="9731" max="9731" width="10.125" style="383" customWidth="1"/>
    <col min="9732" max="9732" width="10.75" style="383" customWidth="1"/>
    <col min="9733" max="9733" width="10" style="383" customWidth="1"/>
    <col min="9734" max="9734" width="9.625" style="383" bestFit="1" customWidth="1"/>
    <col min="9735" max="9735" width="10.75" style="383" customWidth="1"/>
    <col min="9736" max="9736" width="12.25" style="383" customWidth="1"/>
    <col min="9737" max="9737" width="11.625" style="383" customWidth="1"/>
    <col min="9738" max="9738" width="9.75" style="383" customWidth="1"/>
    <col min="9739" max="9739" width="9.875" style="383" customWidth="1"/>
    <col min="9740" max="9740" width="12" style="383" customWidth="1"/>
    <col min="9741" max="9741" width="9.875" style="383" customWidth="1"/>
    <col min="9742" max="9743" width="10.375" style="383" customWidth="1"/>
    <col min="9744" max="9744" width="16.25" style="383" customWidth="1"/>
    <col min="9745" max="9745" width="9.875" style="383" bestFit="1" customWidth="1"/>
    <col min="9746" max="9984" width="8.75" style="383"/>
    <col min="9985" max="9985" width="5" style="383" customWidth="1"/>
    <col min="9986" max="9986" width="40.875" style="383" customWidth="1"/>
    <col min="9987" max="9987" width="10.125" style="383" customWidth="1"/>
    <col min="9988" max="9988" width="10.75" style="383" customWidth="1"/>
    <col min="9989" max="9989" width="10" style="383" customWidth="1"/>
    <col min="9990" max="9990" width="9.625" style="383" bestFit="1" customWidth="1"/>
    <col min="9991" max="9991" width="10.75" style="383" customWidth="1"/>
    <col min="9992" max="9992" width="12.25" style="383" customWidth="1"/>
    <col min="9993" max="9993" width="11.625" style="383" customWidth="1"/>
    <col min="9994" max="9994" width="9.75" style="383" customWidth="1"/>
    <col min="9995" max="9995" width="9.875" style="383" customWidth="1"/>
    <col min="9996" max="9996" width="12" style="383" customWidth="1"/>
    <col min="9997" max="9997" width="9.875" style="383" customWidth="1"/>
    <col min="9998" max="9999" width="10.375" style="383" customWidth="1"/>
    <col min="10000" max="10000" width="16.25" style="383" customWidth="1"/>
    <col min="10001" max="10001" width="9.875" style="383" bestFit="1" customWidth="1"/>
    <col min="10002" max="10240" width="8.75" style="383"/>
    <col min="10241" max="10241" width="5" style="383" customWidth="1"/>
    <col min="10242" max="10242" width="40.875" style="383" customWidth="1"/>
    <col min="10243" max="10243" width="10.125" style="383" customWidth="1"/>
    <col min="10244" max="10244" width="10.75" style="383" customWidth="1"/>
    <col min="10245" max="10245" width="10" style="383" customWidth="1"/>
    <col min="10246" max="10246" width="9.625" style="383" bestFit="1" customWidth="1"/>
    <col min="10247" max="10247" width="10.75" style="383" customWidth="1"/>
    <col min="10248" max="10248" width="12.25" style="383" customWidth="1"/>
    <col min="10249" max="10249" width="11.625" style="383" customWidth="1"/>
    <col min="10250" max="10250" width="9.75" style="383" customWidth="1"/>
    <col min="10251" max="10251" width="9.875" style="383" customWidth="1"/>
    <col min="10252" max="10252" width="12" style="383" customWidth="1"/>
    <col min="10253" max="10253" width="9.875" style="383" customWidth="1"/>
    <col min="10254" max="10255" width="10.375" style="383" customWidth="1"/>
    <col min="10256" max="10256" width="16.25" style="383" customWidth="1"/>
    <col min="10257" max="10257" width="9.875" style="383" bestFit="1" customWidth="1"/>
    <col min="10258" max="10496" width="8.75" style="383"/>
    <col min="10497" max="10497" width="5" style="383" customWidth="1"/>
    <col min="10498" max="10498" width="40.875" style="383" customWidth="1"/>
    <col min="10499" max="10499" width="10.125" style="383" customWidth="1"/>
    <col min="10500" max="10500" width="10.75" style="383" customWidth="1"/>
    <col min="10501" max="10501" width="10" style="383" customWidth="1"/>
    <col min="10502" max="10502" width="9.625" style="383" bestFit="1" customWidth="1"/>
    <col min="10503" max="10503" width="10.75" style="383" customWidth="1"/>
    <col min="10504" max="10504" width="12.25" style="383" customWidth="1"/>
    <col min="10505" max="10505" width="11.625" style="383" customWidth="1"/>
    <col min="10506" max="10506" width="9.75" style="383" customWidth="1"/>
    <col min="10507" max="10507" width="9.875" style="383" customWidth="1"/>
    <col min="10508" max="10508" width="12" style="383" customWidth="1"/>
    <col min="10509" max="10509" width="9.875" style="383" customWidth="1"/>
    <col min="10510" max="10511" width="10.375" style="383" customWidth="1"/>
    <col min="10512" max="10512" width="16.25" style="383" customWidth="1"/>
    <col min="10513" max="10513" width="9.875" style="383" bestFit="1" customWidth="1"/>
    <col min="10514" max="10752" width="8.75" style="383"/>
    <col min="10753" max="10753" width="5" style="383" customWidth="1"/>
    <col min="10754" max="10754" width="40.875" style="383" customWidth="1"/>
    <col min="10755" max="10755" width="10.125" style="383" customWidth="1"/>
    <col min="10756" max="10756" width="10.75" style="383" customWidth="1"/>
    <col min="10757" max="10757" width="10" style="383" customWidth="1"/>
    <col min="10758" max="10758" width="9.625" style="383" bestFit="1" customWidth="1"/>
    <col min="10759" max="10759" width="10.75" style="383" customWidth="1"/>
    <col min="10760" max="10760" width="12.25" style="383" customWidth="1"/>
    <col min="10761" max="10761" width="11.625" style="383" customWidth="1"/>
    <col min="10762" max="10762" width="9.75" style="383" customWidth="1"/>
    <col min="10763" max="10763" width="9.875" style="383" customWidth="1"/>
    <col min="10764" max="10764" width="12" style="383" customWidth="1"/>
    <col min="10765" max="10765" width="9.875" style="383" customWidth="1"/>
    <col min="10766" max="10767" width="10.375" style="383" customWidth="1"/>
    <col min="10768" max="10768" width="16.25" style="383" customWidth="1"/>
    <col min="10769" max="10769" width="9.875" style="383" bestFit="1" customWidth="1"/>
    <col min="10770" max="11008" width="8.75" style="383"/>
    <col min="11009" max="11009" width="5" style="383" customWidth="1"/>
    <col min="11010" max="11010" width="40.875" style="383" customWidth="1"/>
    <col min="11011" max="11011" width="10.125" style="383" customWidth="1"/>
    <col min="11012" max="11012" width="10.75" style="383" customWidth="1"/>
    <col min="11013" max="11013" width="10" style="383" customWidth="1"/>
    <col min="11014" max="11014" width="9.625" style="383" bestFit="1" customWidth="1"/>
    <col min="11015" max="11015" width="10.75" style="383" customWidth="1"/>
    <col min="11016" max="11016" width="12.25" style="383" customWidth="1"/>
    <col min="11017" max="11017" width="11.625" style="383" customWidth="1"/>
    <col min="11018" max="11018" width="9.75" style="383" customWidth="1"/>
    <col min="11019" max="11019" width="9.875" style="383" customWidth="1"/>
    <col min="11020" max="11020" width="12" style="383" customWidth="1"/>
    <col min="11021" max="11021" width="9.875" style="383" customWidth="1"/>
    <col min="11022" max="11023" width="10.375" style="383" customWidth="1"/>
    <col min="11024" max="11024" width="16.25" style="383" customWidth="1"/>
    <col min="11025" max="11025" width="9.875" style="383" bestFit="1" customWidth="1"/>
    <col min="11026" max="11264" width="8.75" style="383"/>
    <col min="11265" max="11265" width="5" style="383" customWidth="1"/>
    <col min="11266" max="11266" width="40.875" style="383" customWidth="1"/>
    <col min="11267" max="11267" width="10.125" style="383" customWidth="1"/>
    <col min="11268" max="11268" width="10.75" style="383" customWidth="1"/>
    <col min="11269" max="11269" width="10" style="383" customWidth="1"/>
    <col min="11270" max="11270" width="9.625" style="383" bestFit="1" customWidth="1"/>
    <col min="11271" max="11271" width="10.75" style="383" customWidth="1"/>
    <col min="11272" max="11272" width="12.25" style="383" customWidth="1"/>
    <col min="11273" max="11273" width="11.625" style="383" customWidth="1"/>
    <col min="11274" max="11274" width="9.75" style="383" customWidth="1"/>
    <col min="11275" max="11275" width="9.875" style="383" customWidth="1"/>
    <col min="11276" max="11276" width="12" style="383" customWidth="1"/>
    <col min="11277" max="11277" width="9.875" style="383" customWidth="1"/>
    <col min="11278" max="11279" width="10.375" style="383" customWidth="1"/>
    <col min="11280" max="11280" width="16.25" style="383" customWidth="1"/>
    <col min="11281" max="11281" width="9.875" style="383" bestFit="1" customWidth="1"/>
    <col min="11282" max="11520" width="8.75" style="383"/>
    <col min="11521" max="11521" width="5" style="383" customWidth="1"/>
    <col min="11522" max="11522" width="40.875" style="383" customWidth="1"/>
    <col min="11523" max="11523" width="10.125" style="383" customWidth="1"/>
    <col min="11524" max="11524" width="10.75" style="383" customWidth="1"/>
    <col min="11525" max="11525" width="10" style="383" customWidth="1"/>
    <col min="11526" max="11526" width="9.625" style="383" bestFit="1" customWidth="1"/>
    <col min="11527" max="11527" width="10.75" style="383" customWidth="1"/>
    <col min="11528" max="11528" width="12.25" style="383" customWidth="1"/>
    <col min="11529" max="11529" width="11.625" style="383" customWidth="1"/>
    <col min="11530" max="11530" width="9.75" style="383" customWidth="1"/>
    <col min="11531" max="11531" width="9.875" style="383" customWidth="1"/>
    <col min="11532" max="11532" width="12" style="383" customWidth="1"/>
    <col min="11533" max="11533" width="9.875" style="383" customWidth="1"/>
    <col min="11534" max="11535" width="10.375" style="383" customWidth="1"/>
    <col min="11536" max="11536" width="16.25" style="383" customWidth="1"/>
    <col min="11537" max="11537" width="9.875" style="383" bestFit="1" customWidth="1"/>
    <col min="11538" max="11776" width="8.75" style="383"/>
    <col min="11777" max="11777" width="5" style="383" customWidth="1"/>
    <col min="11778" max="11778" width="40.875" style="383" customWidth="1"/>
    <col min="11779" max="11779" width="10.125" style="383" customWidth="1"/>
    <col min="11780" max="11780" width="10.75" style="383" customWidth="1"/>
    <col min="11781" max="11781" width="10" style="383" customWidth="1"/>
    <col min="11782" max="11782" width="9.625" style="383" bestFit="1" customWidth="1"/>
    <col min="11783" max="11783" width="10.75" style="383" customWidth="1"/>
    <col min="11784" max="11784" width="12.25" style="383" customWidth="1"/>
    <col min="11785" max="11785" width="11.625" style="383" customWidth="1"/>
    <col min="11786" max="11786" width="9.75" style="383" customWidth="1"/>
    <col min="11787" max="11787" width="9.875" style="383" customWidth="1"/>
    <col min="11788" max="11788" width="12" style="383" customWidth="1"/>
    <col min="11789" max="11789" width="9.875" style="383" customWidth="1"/>
    <col min="11790" max="11791" width="10.375" style="383" customWidth="1"/>
    <col min="11792" max="11792" width="16.25" style="383" customWidth="1"/>
    <col min="11793" max="11793" width="9.875" style="383" bestFit="1" customWidth="1"/>
    <col min="11794" max="12032" width="8.75" style="383"/>
    <col min="12033" max="12033" width="5" style="383" customWidth="1"/>
    <col min="12034" max="12034" width="40.875" style="383" customWidth="1"/>
    <col min="12035" max="12035" width="10.125" style="383" customWidth="1"/>
    <col min="12036" max="12036" width="10.75" style="383" customWidth="1"/>
    <col min="12037" max="12037" width="10" style="383" customWidth="1"/>
    <col min="12038" max="12038" width="9.625" style="383" bestFit="1" customWidth="1"/>
    <col min="12039" max="12039" width="10.75" style="383" customWidth="1"/>
    <col min="12040" max="12040" width="12.25" style="383" customWidth="1"/>
    <col min="12041" max="12041" width="11.625" style="383" customWidth="1"/>
    <col min="12042" max="12042" width="9.75" style="383" customWidth="1"/>
    <col min="12043" max="12043" width="9.875" style="383" customWidth="1"/>
    <col min="12044" max="12044" width="12" style="383" customWidth="1"/>
    <col min="12045" max="12045" width="9.875" style="383" customWidth="1"/>
    <col min="12046" max="12047" width="10.375" style="383" customWidth="1"/>
    <col min="12048" max="12048" width="16.25" style="383" customWidth="1"/>
    <col min="12049" max="12049" width="9.875" style="383" bestFit="1" customWidth="1"/>
    <col min="12050" max="12288" width="8.75" style="383"/>
    <col min="12289" max="12289" width="5" style="383" customWidth="1"/>
    <col min="12290" max="12290" width="40.875" style="383" customWidth="1"/>
    <col min="12291" max="12291" width="10.125" style="383" customWidth="1"/>
    <col min="12292" max="12292" width="10.75" style="383" customWidth="1"/>
    <col min="12293" max="12293" width="10" style="383" customWidth="1"/>
    <col min="12294" max="12294" width="9.625" style="383" bestFit="1" customWidth="1"/>
    <col min="12295" max="12295" width="10.75" style="383" customWidth="1"/>
    <col min="12296" max="12296" width="12.25" style="383" customWidth="1"/>
    <col min="12297" max="12297" width="11.625" style="383" customWidth="1"/>
    <col min="12298" max="12298" width="9.75" style="383" customWidth="1"/>
    <col min="12299" max="12299" width="9.875" style="383" customWidth="1"/>
    <col min="12300" max="12300" width="12" style="383" customWidth="1"/>
    <col min="12301" max="12301" width="9.875" style="383" customWidth="1"/>
    <col min="12302" max="12303" width="10.375" style="383" customWidth="1"/>
    <col min="12304" max="12304" width="16.25" style="383" customWidth="1"/>
    <col min="12305" max="12305" width="9.875" style="383" bestFit="1" customWidth="1"/>
    <col min="12306" max="12544" width="8.75" style="383"/>
    <col min="12545" max="12545" width="5" style="383" customWidth="1"/>
    <col min="12546" max="12546" width="40.875" style="383" customWidth="1"/>
    <col min="12547" max="12547" width="10.125" style="383" customWidth="1"/>
    <col min="12548" max="12548" width="10.75" style="383" customWidth="1"/>
    <col min="12549" max="12549" width="10" style="383" customWidth="1"/>
    <col min="12550" max="12550" width="9.625" style="383" bestFit="1" customWidth="1"/>
    <col min="12551" max="12551" width="10.75" style="383" customWidth="1"/>
    <col min="12552" max="12552" width="12.25" style="383" customWidth="1"/>
    <col min="12553" max="12553" width="11.625" style="383" customWidth="1"/>
    <col min="12554" max="12554" width="9.75" style="383" customWidth="1"/>
    <col min="12555" max="12555" width="9.875" style="383" customWidth="1"/>
    <col min="12556" max="12556" width="12" style="383" customWidth="1"/>
    <col min="12557" max="12557" width="9.875" style="383" customWidth="1"/>
    <col min="12558" max="12559" width="10.375" style="383" customWidth="1"/>
    <col min="12560" max="12560" width="16.25" style="383" customWidth="1"/>
    <col min="12561" max="12561" width="9.875" style="383" bestFit="1" customWidth="1"/>
    <col min="12562" max="12800" width="8.75" style="383"/>
    <col min="12801" max="12801" width="5" style="383" customWidth="1"/>
    <col min="12802" max="12802" width="40.875" style="383" customWidth="1"/>
    <col min="12803" max="12803" width="10.125" style="383" customWidth="1"/>
    <col min="12804" max="12804" width="10.75" style="383" customWidth="1"/>
    <col min="12805" max="12805" width="10" style="383" customWidth="1"/>
    <col min="12806" max="12806" width="9.625" style="383" bestFit="1" customWidth="1"/>
    <col min="12807" max="12807" width="10.75" style="383" customWidth="1"/>
    <col min="12808" max="12808" width="12.25" style="383" customWidth="1"/>
    <col min="12809" max="12809" width="11.625" style="383" customWidth="1"/>
    <col min="12810" max="12810" width="9.75" style="383" customWidth="1"/>
    <col min="12811" max="12811" width="9.875" style="383" customWidth="1"/>
    <col min="12812" max="12812" width="12" style="383" customWidth="1"/>
    <col min="12813" max="12813" width="9.875" style="383" customWidth="1"/>
    <col min="12814" max="12815" width="10.375" style="383" customWidth="1"/>
    <col min="12816" max="12816" width="16.25" style="383" customWidth="1"/>
    <col min="12817" max="12817" width="9.875" style="383" bestFit="1" customWidth="1"/>
    <col min="12818" max="13056" width="8.75" style="383"/>
    <col min="13057" max="13057" width="5" style="383" customWidth="1"/>
    <col min="13058" max="13058" width="40.875" style="383" customWidth="1"/>
    <col min="13059" max="13059" width="10.125" style="383" customWidth="1"/>
    <col min="13060" max="13060" width="10.75" style="383" customWidth="1"/>
    <col min="13061" max="13061" width="10" style="383" customWidth="1"/>
    <col min="13062" max="13062" width="9.625" style="383" bestFit="1" customWidth="1"/>
    <col min="13063" max="13063" width="10.75" style="383" customWidth="1"/>
    <col min="13064" max="13064" width="12.25" style="383" customWidth="1"/>
    <col min="13065" max="13065" width="11.625" style="383" customWidth="1"/>
    <col min="13066" max="13066" width="9.75" style="383" customWidth="1"/>
    <col min="13067" max="13067" width="9.875" style="383" customWidth="1"/>
    <col min="13068" max="13068" width="12" style="383" customWidth="1"/>
    <col min="13069" max="13069" width="9.875" style="383" customWidth="1"/>
    <col min="13070" max="13071" width="10.375" style="383" customWidth="1"/>
    <col min="13072" max="13072" width="16.25" style="383" customWidth="1"/>
    <col min="13073" max="13073" width="9.875" style="383" bestFit="1" customWidth="1"/>
    <col min="13074" max="13312" width="8.75" style="383"/>
    <col min="13313" max="13313" width="5" style="383" customWidth="1"/>
    <col min="13314" max="13314" width="40.875" style="383" customWidth="1"/>
    <col min="13315" max="13315" width="10.125" style="383" customWidth="1"/>
    <col min="13316" max="13316" width="10.75" style="383" customWidth="1"/>
    <col min="13317" max="13317" width="10" style="383" customWidth="1"/>
    <col min="13318" max="13318" width="9.625" style="383" bestFit="1" customWidth="1"/>
    <col min="13319" max="13319" width="10.75" style="383" customWidth="1"/>
    <col min="13320" max="13320" width="12.25" style="383" customWidth="1"/>
    <col min="13321" max="13321" width="11.625" style="383" customWidth="1"/>
    <col min="13322" max="13322" width="9.75" style="383" customWidth="1"/>
    <col min="13323" max="13323" width="9.875" style="383" customWidth="1"/>
    <col min="13324" max="13324" width="12" style="383" customWidth="1"/>
    <col min="13325" max="13325" width="9.875" style="383" customWidth="1"/>
    <col min="13326" max="13327" width="10.375" style="383" customWidth="1"/>
    <col min="13328" max="13328" width="16.25" style="383" customWidth="1"/>
    <col min="13329" max="13329" width="9.875" style="383" bestFit="1" customWidth="1"/>
    <col min="13330" max="13568" width="8.75" style="383"/>
    <col min="13569" max="13569" width="5" style="383" customWidth="1"/>
    <col min="13570" max="13570" width="40.875" style="383" customWidth="1"/>
    <col min="13571" max="13571" width="10.125" style="383" customWidth="1"/>
    <col min="13572" max="13572" width="10.75" style="383" customWidth="1"/>
    <col min="13573" max="13573" width="10" style="383" customWidth="1"/>
    <col min="13574" max="13574" width="9.625" style="383" bestFit="1" customWidth="1"/>
    <col min="13575" max="13575" width="10.75" style="383" customWidth="1"/>
    <col min="13576" max="13576" width="12.25" style="383" customWidth="1"/>
    <col min="13577" max="13577" width="11.625" style="383" customWidth="1"/>
    <col min="13578" max="13578" width="9.75" style="383" customWidth="1"/>
    <col min="13579" max="13579" width="9.875" style="383" customWidth="1"/>
    <col min="13580" max="13580" width="12" style="383" customWidth="1"/>
    <col min="13581" max="13581" width="9.875" style="383" customWidth="1"/>
    <col min="13582" max="13583" width="10.375" style="383" customWidth="1"/>
    <col min="13584" max="13584" width="16.25" style="383" customWidth="1"/>
    <col min="13585" max="13585" width="9.875" style="383" bestFit="1" customWidth="1"/>
    <col min="13586" max="13824" width="8.75" style="383"/>
    <col min="13825" max="13825" width="5" style="383" customWidth="1"/>
    <col min="13826" max="13826" width="40.875" style="383" customWidth="1"/>
    <col min="13827" max="13827" width="10.125" style="383" customWidth="1"/>
    <col min="13828" max="13828" width="10.75" style="383" customWidth="1"/>
    <col min="13829" max="13829" width="10" style="383" customWidth="1"/>
    <col min="13830" max="13830" width="9.625" style="383" bestFit="1" customWidth="1"/>
    <col min="13831" max="13831" width="10.75" style="383" customWidth="1"/>
    <col min="13832" max="13832" width="12.25" style="383" customWidth="1"/>
    <col min="13833" max="13833" width="11.625" style="383" customWidth="1"/>
    <col min="13834" max="13834" width="9.75" style="383" customWidth="1"/>
    <col min="13835" max="13835" width="9.875" style="383" customWidth="1"/>
    <col min="13836" max="13836" width="12" style="383" customWidth="1"/>
    <col min="13837" max="13837" width="9.875" style="383" customWidth="1"/>
    <col min="13838" max="13839" width="10.375" style="383" customWidth="1"/>
    <col min="13840" max="13840" width="16.25" style="383" customWidth="1"/>
    <col min="13841" max="13841" width="9.875" style="383" bestFit="1" customWidth="1"/>
    <col min="13842" max="14080" width="8.75" style="383"/>
    <col min="14081" max="14081" width="5" style="383" customWidth="1"/>
    <col min="14082" max="14082" width="40.875" style="383" customWidth="1"/>
    <col min="14083" max="14083" width="10.125" style="383" customWidth="1"/>
    <col min="14084" max="14084" width="10.75" style="383" customWidth="1"/>
    <col min="14085" max="14085" width="10" style="383" customWidth="1"/>
    <col min="14086" max="14086" width="9.625" style="383" bestFit="1" customWidth="1"/>
    <col min="14087" max="14087" width="10.75" style="383" customWidth="1"/>
    <col min="14088" max="14088" width="12.25" style="383" customWidth="1"/>
    <col min="14089" max="14089" width="11.625" style="383" customWidth="1"/>
    <col min="14090" max="14090" width="9.75" style="383" customWidth="1"/>
    <col min="14091" max="14091" width="9.875" style="383" customWidth="1"/>
    <col min="14092" max="14092" width="12" style="383" customWidth="1"/>
    <col min="14093" max="14093" width="9.875" style="383" customWidth="1"/>
    <col min="14094" max="14095" width="10.375" style="383" customWidth="1"/>
    <col min="14096" max="14096" width="16.25" style="383" customWidth="1"/>
    <col min="14097" max="14097" width="9.875" style="383" bestFit="1" customWidth="1"/>
    <col min="14098" max="14336" width="8.75" style="383"/>
    <col min="14337" max="14337" width="5" style="383" customWidth="1"/>
    <col min="14338" max="14338" width="40.875" style="383" customWidth="1"/>
    <col min="14339" max="14339" width="10.125" style="383" customWidth="1"/>
    <col min="14340" max="14340" width="10.75" style="383" customWidth="1"/>
    <col min="14341" max="14341" width="10" style="383" customWidth="1"/>
    <col min="14342" max="14342" width="9.625" style="383" bestFit="1" customWidth="1"/>
    <col min="14343" max="14343" width="10.75" style="383" customWidth="1"/>
    <col min="14344" max="14344" width="12.25" style="383" customWidth="1"/>
    <col min="14345" max="14345" width="11.625" style="383" customWidth="1"/>
    <col min="14346" max="14346" width="9.75" style="383" customWidth="1"/>
    <col min="14347" max="14347" width="9.875" style="383" customWidth="1"/>
    <col min="14348" max="14348" width="12" style="383" customWidth="1"/>
    <col min="14349" max="14349" width="9.875" style="383" customWidth="1"/>
    <col min="14350" max="14351" width="10.375" style="383" customWidth="1"/>
    <col min="14352" max="14352" width="16.25" style="383" customWidth="1"/>
    <col min="14353" max="14353" width="9.875" style="383" bestFit="1" customWidth="1"/>
    <col min="14354" max="14592" width="8.75" style="383"/>
    <col min="14593" max="14593" width="5" style="383" customWidth="1"/>
    <col min="14594" max="14594" width="40.875" style="383" customWidth="1"/>
    <col min="14595" max="14595" width="10.125" style="383" customWidth="1"/>
    <col min="14596" max="14596" width="10.75" style="383" customWidth="1"/>
    <col min="14597" max="14597" width="10" style="383" customWidth="1"/>
    <col min="14598" max="14598" width="9.625" style="383" bestFit="1" customWidth="1"/>
    <col min="14599" max="14599" width="10.75" style="383" customWidth="1"/>
    <col min="14600" max="14600" width="12.25" style="383" customWidth="1"/>
    <col min="14601" max="14601" width="11.625" style="383" customWidth="1"/>
    <col min="14602" max="14602" width="9.75" style="383" customWidth="1"/>
    <col min="14603" max="14603" width="9.875" style="383" customWidth="1"/>
    <col min="14604" max="14604" width="12" style="383" customWidth="1"/>
    <col min="14605" max="14605" width="9.875" style="383" customWidth="1"/>
    <col min="14606" max="14607" width="10.375" style="383" customWidth="1"/>
    <col min="14608" max="14608" width="16.25" style="383" customWidth="1"/>
    <col min="14609" max="14609" width="9.875" style="383" bestFit="1" customWidth="1"/>
    <col min="14610" max="14848" width="8.75" style="383"/>
    <col min="14849" max="14849" width="5" style="383" customWidth="1"/>
    <col min="14850" max="14850" width="40.875" style="383" customWidth="1"/>
    <col min="14851" max="14851" width="10.125" style="383" customWidth="1"/>
    <col min="14852" max="14852" width="10.75" style="383" customWidth="1"/>
    <col min="14853" max="14853" width="10" style="383" customWidth="1"/>
    <col min="14854" max="14854" width="9.625" style="383" bestFit="1" customWidth="1"/>
    <col min="14855" max="14855" width="10.75" style="383" customWidth="1"/>
    <col min="14856" max="14856" width="12.25" style="383" customWidth="1"/>
    <col min="14857" max="14857" width="11.625" style="383" customWidth="1"/>
    <col min="14858" max="14858" width="9.75" style="383" customWidth="1"/>
    <col min="14859" max="14859" width="9.875" style="383" customWidth="1"/>
    <col min="14860" max="14860" width="12" style="383" customWidth="1"/>
    <col min="14861" max="14861" width="9.875" style="383" customWidth="1"/>
    <col min="14862" max="14863" width="10.375" style="383" customWidth="1"/>
    <col min="14864" max="14864" width="16.25" style="383" customWidth="1"/>
    <col min="14865" max="14865" width="9.875" style="383" bestFit="1" customWidth="1"/>
    <col min="14866" max="15104" width="8.75" style="383"/>
    <col min="15105" max="15105" width="5" style="383" customWidth="1"/>
    <col min="15106" max="15106" width="40.875" style="383" customWidth="1"/>
    <col min="15107" max="15107" width="10.125" style="383" customWidth="1"/>
    <col min="15108" max="15108" width="10.75" style="383" customWidth="1"/>
    <col min="15109" max="15109" width="10" style="383" customWidth="1"/>
    <col min="15110" max="15110" width="9.625" style="383" bestFit="1" customWidth="1"/>
    <col min="15111" max="15111" width="10.75" style="383" customWidth="1"/>
    <col min="15112" max="15112" width="12.25" style="383" customWidth="1"/>
    <col min="15113" max="15113" width="11.625" style="383" customWidth="1"/>
    <col min="15114" max="15114" width="9.75" style="383" customWidth="1"/>
    <col min="15115" max="15115" width="9.875" style="383" customWidth="1"/>
    <col min="15116" max="15116" width="12" style="383" customWidth="1"/>
    <col min="15117" max="15117" width="9.875" style="383" customWidth="1"/>
    <col min="15118" max="15119" width="10.375" style="383" customWidth="1"/>
    <col min="15120" max="15120" width="16.25" style="383" customWidth="1"/>
    <col min="15121" max="15121" width="9.875" style="383" bestFit="1" customWidth="1"/>
    <col min="15122" max="15360" width="8.75" style="383"/>
    <col min="15361" max="15361" width="5" style="383" customWidth="1"/>
    <col min="15362" max="15362" width="40.875" style="383" customWidth="1"/>
    <col min="15363" max="15363" width="10.125" style="383" customWidth="1"/>
    <col min="15364" max="15364" width="10.75" style="383" customWidth="1"/>
    <col min="15365" max="15365" width="10" style="383" customWidth="1"/>
    <col min="15366" max="15366" width="9.625" style="383" bestFit="1" customWidth="1"/>
    <col min="15367" max="15367" width="10.75" style="383" customWidth="1"/>
    <col min="15368" max="15368" width="12.25" style="383" customWidth="1"/>
    <col min="15369" max="15369" width="11.625" style="383" customWidth="1"/>
    <col min="15370" max="15370" width="9.75" style="383" customWidth="1"/>
    <col min="15371" max="15371" width="9.875" style="383" customWidth="1"/>
    <col min="15372" max="15372" width="12" style="383" customWidth="1"/>
    <col min="15373" max="15373" width="9.875" style="383" customWidth="1"/>
    <col min="15374" max="15375" width="10.375" style="383" customWidth="1"/>
    <col min="15376" max="15376" width="16.25" style="383" customWidth="1"/>
    <col min="15377" max="15377" width="9.875" style="383" bestFit="1" customWidth="1"/>
    <col min="15378" max="15616" width="8.75" style="383"/>
    <col min="15617" max="15617" width="5" style="383" customWidth="1"/>
    <col min="15618" max="15618" width="40.875" style="383" customWidth="1"/>
    <col min="15619" max="15619" width="10.125" style="383" customWidth="1"/>
    <col min="15620" max="15620" width="10.75" style="383" customWidth="1"/>
    <col min="15621" max="15621" width="10" style="383" customWidth="1"/>
    <col min="15622" max="15622" width="9.625" style="383" bestFit="1" customWidth="1"/>
    <col min="15623" max="15623" width="10.75" style="383" customWidth="1"/>
    <col min="15624" max="15624" width="12.25" style="383" customWidth="1"/>
    <col min="15625" max="15625" width="11.625" style="383" customWidth="1"/>
    <col min="15626" max="15626" width="9.75" style="383" customWidth="1"/>
    <col min="15627" max="15627" width="9.875" style="383" customWidth="1"/>
    <col min="15628" max="15628" width="12" style="383" customWidth="1"/>
    <col min="15629" max="15629" width="9.875" style="383" customWidth="1"/>
    <col min="15630" max="15631" width="10.375" style="383" customWidth="1"/>
    <col min="15632" max="15632" width="16.25" style="383" customWidth="1"/>
    <col min="15633" max="15633" width="9.875" style="383" bestFit="1" customWidth="1"/>
    <col min="15634" max="15872" width="8.75" style="383"/>
    <col min="15873" max="15873" width="5" style="383" customWidth="1"/>
    <col min="15874" max="15874" width="40.875" style="383" customWidth="1"/>
    <col min="15875" max="15875" width="10.125" style="383" customWidth="1"/>
    <col min="15876" max="15876" width="10.75" style="383" customWidth="1"/>
    <col min="15877" max="15877" width="10" style="383" customWidth="1"/>
    <col min="15878" max="15878" width="9.625" style="383" bestFit="1" customWidth="1"/>
    <col min="15879" max="15879" width="10.75" style="383" customWidth="1"/>
    <col min="15880" max="15880" width="12.25" style="383" customWidth="1"/>
    <col min="15881" max="15881" width="11.625" style="383" customWidth="1"/>
    <col min="15882" max="15882" width="9.75" style="383" customWidth="1"/>
    <col min="15883" max="15883" width="9.875" style="383" customWidth="1"/>
    <col min="15884" max="15884" width="12" style="383" customWidth="1"/>
    <col min="15885" max="15885" width="9.875" style="383" customWidth="1"/>
    <col min="15886" max="15887" width="10.375" style="383" customWidth="1"/>
    <col min="15888" max="15888" width="16.25" style="383" customWidth="1"/>
    <col min="15889" max="15889" width="9.875" style="383" bestFit="1" customWidth="1"/>
    <col min="15890" max="16128" width="8.75" style="383"/>
    <col min="16129" max="16129" width="5" style="383" customWidth="1"/>
    <col min="16130" max="16130" width="40.875" style="383" customWidth="1"/>
    <col min="16131" max="16131" width="10.125" style="383" customWidth="1"/>
    <col min="16132" max="16132" width="10.75" style="383" customWidth="1"/>
    <col min="16133" max="16133" width="10" style="383" customWidth="1"/>
    <col min="16134" max="16134" width="9.625" style="383" bestFit="1" customWidth="1"/>
    <col min="16135" max="16135" width="10.75" style="383" customWidth="1"/>
    <col min="16136" max="16136" width="12.25" style="383" customWidth="1"/>
    <col min="16137" max="16137" width="11.625" style="383" customWidth="1"/>
    <col min="16138" max="16138" width="9.75" style="383" customWidth="1"/>
    <col min="16139" max="16139" width="9.875" style="383" customWidth="1"/>
    <col min="16140" max="16140" width="12" style="383" customWidth="1"/>
    <col min="16141" max="16141" width="9.875" style="383" customWidth="1"/>
    <col min="16142" max="16143" width="10.375" style="383" customWidth="1"/>
    <col min="16144" max="16144" width="16.25" style="383" customWidth="1"/>
    <col min="16145" max="16145" width="9.875" style="383" bestFit="1" customWidth="1"/>
    <col min="16146" max="16384" width="8.75" style="383"/>
  </cols>
  <sheetData>
    <row r="1" spans="1:17" x14ac:dyDescent="0.25">
      <c r="A1" s="1017" t="s">
        <v>778</v>
      </c>
      <c r="B1" s="1017"/>
      <c r="C1" s="1017"/>
      <c r="D1" s="1017"/>
      <c r="E1" s="1017"/>
      <c r="F1" s="1017"/>
      <c r="G1" s="1017"/>
      <c r="H1" s="1017"/>
      <c r="I1" s="1017"/>
      <c r="J1" s="1017"/>
      <c r="K1" s="1017"/>
      <c r="L1" s="1017"/>
      <c r="M1" s="1017"/>
      <c r="N1" s="1017"/>
      <c r="O1" s="1017"/>
      <c r="P1" s="1017"/>
    </row>
    <row r="2" spans="1:17" x14ac:dyDescent="0.25">
      <c r="A2" s="970"/>
      <c r="B2" s="970"/>
      <c r="C2" s="970"/>
      <c r="D2" s="970"/>
      <c r="E2" s="970"/>
      <c r="F2" s="970"/>
      <c r="G2" s="970"/>
      <c r="H2" s="970"/>
      <c r="I2" s="970"/>
      <c r="J2" s="970"/>
      <c r="K2" s="970"/>
      <c r="L2" s="970"/>
      <c r="M2" s="970"/>
      <c r="N2" s="970"/>
      <c r="O2" s="970"/>
      <c r="P2" s="970"/>
    </row>
    <row r="3" spans="1:17" ht="16.5" thickBot="1" x14ac:dyDescent="0.3"/>
    <row r="4" spans="1:17" s="441" customFormat="1" ht="77.25" thickBot="1" x14ac:dyDescent="0.3">
      <c r="A4" s="440"/>
      <c r="B4" s="343" t="s">
        <v>136</v>
      </c>
      <c r="C4" s="343" t="s">
        <v>31</v>
      </c>
      <c r="D4" s="343" t="s">
        <v>32</v>
      </c>
      <c r="E4" s="343" t="s">
        <v>33</v>
      </c>
      <c r="F4" s="344" t="s">
        <v>438</v>
      </c>
      <c r="G4" s="344" t="s">
        <v>264</v>
      </c>
      <c r="H4" s="343" t="s">
        <v>343</v>
      </c>
      <c r="I4" s="345" t="s">
        <v>52</v>
      </c>
      <c r="J4" s="345" t="s">
        <v>60</v>
      </c>
      <c r="K4" s="344" t="s">
        <v>265</v>
      </c>
      <c r="L4" s="343" t="s">
        <v>344</v>
      </c>
      <c r="M4" s="345" t="s">
        <v>74</v>
      </c>
      <c r="N4" s="344" t="s">
        <v>70</v>
      </c>
      <c r="O4" s="343" t="s">
        <v>48</v>
      </c>
      <c r="P4" s="343" t="s">
        <v>255</v>
      </c>
    </row>
    <row r="5" spans="1:17" s="441" customFormat="1" ht="16.5" thickBot="1" x14ac:dyDescent="0.3">
      <c r="A5" s="440"/>
      <c r="B5" s="343"/>
      <c r="C5" s="343" t="s">
        <v>154</v>
      </c>
      <c r="D5" s="343" t="s">
        <v>155</v>
      </c>
      <c r="E5" s="343" t="s">
        <v>156</v>
      </c>
      <c r="F5" s="344" t="s">
        <v>157</v>
      </c>
      <c r="G5" s="344" t="s">
        <v>256</v>
      </c>
      <c r="H5" s="343" t="s">
        <v>269</v>
      </c>
      <c r="I5" s="345" t="s">
        <v>158</v>
      </c>
      <c r="J5" s="345" t="s">
        <v>159</v>
      </c>
      <c r="K5" s="344" t="s">
        <v>160</v>
      </c>
      <c r="L5" s="343" t="s">
        <v>270</v>
      </c>
      <c r="M5" s="346"/>
      <c r="N5" s="344"/>
      <c r="O5" s="343" t="s">
        <v>267</v>
      </c>
      <c r="P5" s="343" t="s">
        <v>268</v>
      </c>
    </row>
    <row r="6" spans="1:17" s="351" customFormat="1" ht="16.5" thickBot="1" x14ac:dyDescent="0.3">
      <c r="A6" s="347"/>
      <c r="B6" s="347" t="s">
        <v>137</v>
      </c>
      <c r="C6" s="347" t="s">
        <v>138</v>
      </c>
      <c r="D6" s="347" t="s">
        <v>139</v>
      </c>
      <c r="E6" s="347" t="s">
        <v>140</v>
      </c>
      <c r="F6" s="348" t="s">
        <v>141</v>
      </c>
      <c r="G6" s="348" t="s">
        <v>142</v>
      </c>
      <c r="H6" s="347" t="s">
        <v>34</v>
      </c>
      <c r="I6" s="349" t="s">
        <v>35</v>
      </c>
      <c r="J6" s="347" t="s">
        <v>36</v>
      </c>
      <c r="K6" s="348" t="s">
        <v>37</v>
      </c>
      <c r="L6" s="347" t="s">
        <v>38</v>
      </c>
      <c r="M6" s="350" t="s">
        <v>39</v>
      </c>
      <c r="N6" s="348" t="s">
        <v>40</v>
      </c>
      <c r="O6" s="347" t="s">
        <v>262</v>
      </c>
      <c r="P6" s="347" t="s">
        <v>273</v>
      </c>
    </row>
    <row r="7" spans="1:17" s="358" customFormat="1" x14ac:dyDescent="0.25">
      <c r="A7" s="352"/>
      <c r="B7" s="353"/>
      <c r="C7" s="354"/>
      <c r="D7" s="354"/>
      <c r="E7" s="354"/>
      <c r="F7" s="354"/>
      <c r="G7" s="355"/>
      <c r="H7" s="356"/>
      <c r="I7" s="354"/>
      <c r="J7" s="354"/>
      <c r="K7" s="355"/>
      <c r="L7" s="356"/>
      <c r="M7" s="354"/>
      <c r="N7" s="355"/>
      <c r="O7" s="357"/>
      <c r="P7" s="356"/>
    </row>
    <row r="8" spans="1:17" s="365" customFormat="1" x14ac:dyDescent="0.25">
      <c r="A8" s="359"/>
      <c r="B8" s="360" t="s">
        <v>345</v>
      </c>
      <c r="C8" s="361">
        <v>407003</v>
      </c>
      <c r="D8" s="361">
        <v>87915</v>
      </c>
      <c r="E8" s="361">
        <v>8619686</v>
      </c>
      <c r="F8" s="362">
        <v>200146</v>
      </c>
      <c r="G8" s="363">
        <v>12230899</v>
      </c>
      <c r="H8" s="364">
        <f>SUM(C8:G8)</f>
        <v>21545649</v>
      </c>
      <c r="I8" s="361">
        <v>25445709</v>
      </c>
      <c r="J8" s="361">
        <v>489648</v>
      </c>
      <c r="K8" s="363">
        <v>2165619</v>
      </c>
      <c r="L8" s="364">
        <f>SUM(I8:K8)</f>
        <v>28100976</v>
      </c>
      <c r="M8" s="361">
        <v>400000</v>
      </c>
      <c r="N8" s="363">
        <v>3236816</v>
      </c>
      <c r="O8" s="364">
        <f>SUM(M8:N8)</f>
        <v>3636816</v>
      </c>
      <c r="P8" s="364">
        <f>SUM(O8+L8+H8)</f>
        <v>53283441</v>
      </c>
    </row>
    <row r="9" spans="1:17" s="365" customFormat="1" x14ac:dyDescent="0.25">
      <c r="A9" s="359"/>
      <c r="B9" s="368" t="s">
        <v>831</v>
      </c>
      <c r="C9" s="361">
        <v>420221</v>
      </c>
      <c r="D9" s="361">
        <v>87636</v>
      </c>
      <c r="E9" s="361">
        <v>9409751</v>
      </c>
      <c r="F9" s="362">
        <v>200146</v>
      </c>
      <c r="G9" s="363">
        <v>13611900</v>
      </c>
      <c r="H9" s="364">
        <f>SUM(C9:G9)</f>
        <v>23729654</v>
      </c>
      <c r="I9" s="361">
        <v>24520552</v>
      </c>
      <c r="J9" s="361">
        <v>317706</v>
      </c>
      <c r="K9" s="363">
        <v>2163093</v>
      </c>
      <c r="L9" s="364">
        <f>SUM(I9:K9)</f>
        <v>27001351</v>
      </c>
      <c r="M9" s="361">
        <v>400000</v>
      </c>
      <c r="N9" s="363">
        <v>736816</v>
      </c>
      <c r="O9" s="364">
        <f>SUM(M9:N9)</f>
        <v>1136816</v>
      </c>
      <c r="P9" s="364">
        <f>SUM(O9+L9+H9)</f>
        <v>51867821</v>
      </c>
    </row>
    <row r="10" spans="1:17" s="365" customFormat="1" x14ac:dyDescent="0.25">
      <c r="A10" s="359"/>
      <c r="B10" s="368" t="s">
        <v>990</v>
      </c>
      <c r="C10" s="361">
        <v>398249</v>
      </c>
      <c r="D10" s="361">
        <v>98069</v>
      </c>
      <c r="E10" s="361">
        <v>8961959</v>
      </c>
      <c r="F10" s="362">
        <v>220370</v>
      </c>
      <c r="G10" s="363">
        <v>11719550</v>
      </c>
      <c r="H10" s="364">
        <f>SUM(C10:G10)</f>
        <v>21398197</v>
      </c>
      <c r="I10" s="361">
        <v>23745405</v>
      </c>
      <c r="J10" s="361">
        <v>340659</v>
      </c>
      <c r="K10" s="363">
        <v>1436954</v>
      </c>
      <c r="L10" s="364">
        <f>SUM(I10:K10)</f>
        <v>25523018</v>
      </c>
      <c r="M10" s="361">
        <v>272459</v>
      </c>
      <c r="N10" s="363">
        <v>2811406</v>
      </c>
      <c r="O10" s="364">
        <f>SUM(M10:N10)</f>
        <v>3083865</v>
      </c>
      <c r="P10" s="364">
        <f>SUM(O10+L10+H10)</f>
        <v>50005080</v>
      </c>
    </row>
    <row r="11" spans="1:17" x14ac:dyDescent="0.25">
      <c r="A11" s="352" t="s">
        <v>450</v>
      </c>
      <c r="B11" s="367" t="s">
        <v>451</v>
      </c>
      <c r="C11" s="410"/>
      <c r="D11" s="410"/>
      <c r="E11" s="410"/>
      <c r="F11" s="410"/>
      <c r="G11" s="437"/>
      <c r="H11" s="356"/>
      <c r="I11" s="410"/>
      <c r="J11" s="410"/>
      <c r="K11" s="437"/>
      <c r="L11" s="366"/>
      <c r="M11" s="410"/>
      <c r="N11" s="437"/>
      <c r="O11" s="445"/>
      <c r="P11" s="356"/>
    </row>
    <row r="12" spans="1:17" x14ac:dyDescent="0.25">
      <c r="A12" s="352"/>
      <c r="B12" s="367" t="s">
        <v>77</v>
      </c>
      <c r="C12" s="410"/>
      <c r="D12" s="410"/>
      <c r="E12" s="410"/>
      <c r="F12" s="410"/>
      <c r="G12" s="437"/>
      <c r="H12" s="356"/>
      <c r="I12" s="410"/>
      <c r="J12" s="410"/>
      <c r="K12" s="437"/>
      <c r="L12" s="366"/>
      <c r="M12" s="410"/>
      <c r="N12" s="437"/>
      <c r="O12" s="445"/>
      <c r="P12" s="356"/>
    </row>
    <row r="13" spans="1:17" x14ac:dyDescent="0.25">
      <c r="A13" s="352"/>
      <c r="B13" s="368" t="s">
        <v>78</v>
      </c>
      <c r="C13" s="410"/>
      <c r="D13" s="410"/>
      <c r="E13" s="410"/>
      <c r="F13" s="410"/>
      <c r="G13" s="437"/>
      <c r="H13" s="356"/>
      <c r="I13" s="410"/>
      <c r="J13" s="410"/>
      <c r="K13" s="437"/>
      <c r="L13" s="366"/>
      <c r="M13" s="410"/>
      <c r="N13" s="437"/>
      <c r="O13" s="445"/>
      <c r="P13" s="356"/>
    </row>
    <row r="14" spans="1:17" x14ac:dyDescent="0.25">
      <c r="A14" s="352"/>
      <c r="B14" s="377" t="s">
        <v>1159</v>
      </c>
      <c r="C14" s="410"/>
      <c r="D14" s="410"/>
      <c r="E14" s="410"/>
      <c r="F14" s="410"/>
      <c r="G14" s="437"/>
      <c r="H14" s="356"/>
      <c r="I14" s="410"/>
      <c r="J14" s="410"/>
      <c r="K14" s="437"/>
      <c r="L14" s="366"/>
      <c r="M14" s="410"/>
      <c r="N14" s="437"/>
      <c r="O14" s="445"/>
      <c r="P14" s="356"/>
    </row>
    <row r="15" spans="1:17" ht="31.5" x14ac:dyDescent="0.25">
      <c r="A15" s="352"/>
      <c r="B15" s="409" t="s">
        <v>864</v>
      </c>
      <c r="C15" s="410"/>
      <c r="D15" s="410"/>
      <c r="E15" s="410"/>
      <c r="F15" s="410"/>
      <c r="G15" s="410">
        <v>190989</v>
      </c>
      <c r="H15" s="356">
        <f t="shared" ref="H15" si="0">SUM(C15:G15)</f>
        <v>190989</v>
      </c>
      <c r="I15" s="410"/>
      <c r="J15" s="410"/>
      <c r="K15" s="437"/>
      <c r="L15" s="366">
        <f t="shared" ref="L15" si="1">SUM(I15:K15)</f>
        <v>0</v>
      </c>
      <c r="M15" s="410"/>
      <c r="N15" s="437"/>
      <c r="O15" s="445"/>
      <c r="P15" s="356">
        <f t="shared" ref="P15" si="2">O15+L15+H15</f>
        <v>190989</v>
      </c>
      <c r="Q15" s="383" t="s">
        <v>658</v>
      </c>
    </row>
    <row r="16" spans="1:17" x14ac:dyDescent="0.25">
      <c r="A16" s="352"/>
      <c r="B16" s="409" t="s">
        <v>1168</v>
      </c>
      <c r="C16" s="410"/>
      <c r="D16" s="410"/>
      <c r="E16" s="410">
        <v>14099</v>
      </c>
      <c r="F16" s="410"/>
      <c r="G16" s="410"/>
      <c r="H16" s="356">
        <f t="shared" ref="H16" si="3">SUM(C16:G16)</f>
        <v>14099</v>
      </c>
      <c r="I16" s="410"/>
      <c r="J16" s="410"/>
      <c r="K16" s="437"/>
      <c r="L16" s="366">
        <f t="shared" ref="L16" si="4">SUM(I16:K16)</f>
        <v>0</v>
      </c>
      <c r="M16" s="410"/>
      <c r="N16" s="437"/>
      <c r="O16" s="445"/>
      <c r="P16" s="356">
        <f t="shared" ref="P16" si="5">O16+L16+H16</f>
        <v>14099</v>
      </c>
      <c r="Q16" s="383" t="s">
        <v>658</v>
      </c>
    </row>
    <row r="17" spans="1:17" ht="31.5" x14ac:dyDescent="0.25">
      <c r="A17" s="352"/>
      <c r="B17" s="377" t="s">
        <v>565</v>
      </c>
      <c r="C17" s="410"/>
      <c r="D17" s="410"/>
      <c r="E17" s="410"/>
      <c r="F17" s="410"/>
      <c r="G17" s="410"/>
      <c r="H17" s="356">
        <f>SUM(C17:G17)</f>
        <v>0</v>
      </c>
      <c r="I17" s="410"/>
      <c r="J17" s="410"/>
      <c r="K17" s="437"/>
      <c r="L17" s="366">
        <f t="shared" ref="L17" si="6">SUM(I17:K17)</f>
        <v>0</v>
      </c>
      <c r="M17" s="410"/>
      <c r="N17" s="437"/>
      <c r="O17" s="445"/>
      <c r="P17" s="356">
        <f t="shared" ref="P17" si="7">O17+L17+H17</f>
        <v>0</v>
      </c>
    </row>
    <row r="18" spans="1:17" ht="31.5" x14ac:dyDescent="0.25">
      <c r="A18" s="352"/>
      <c r="B18" s="442" t="s">
        <v>857</v>
      </c>
      <c r="C18" s="410"/>
      <c r="D18" s="410"/>
      <c r="E18" s="410">
        <v>-80</v>
      </c>
      <c r="F18" s="410"/>
      <c r="G18" s="410"/>
      <c r="H18" s="356">
        <f>SUM(C18:G18)</f>
        <v>-80</v>
      </c>
      <c r="I18" s="410"/>
      <c r="J18" s="410"/>
      <c r="K18" s="437"/>
      <c r="L18" s="366">
        <f t="shared" ref="L18:L19" si="8">SUM(I18:K18)</f>
        <v>0</v>
      </c>
      <c r="M18" s="410"/>
      <c r="N18" s="437"/>
      <c r="O18" s="445"/>
      <c r="P18" s="356">
        <f t="shared" ref="P18:P19" si="9">O18+L18+H18</f>
        <v>-80</v>
      </c>
      <c r="Q18" s="383" t="s">
        <v>658</v>
      </c>
    </row>
    <row r="19" spans="1:17" x14ac:dyDescent="0.25">
      <c r="A19" s="352"/>
      <c r="B19" s="377" t="s">
        <v>671</v>
      </c>
      <c r="C19" s="410"/>
      <c r="D19" s="410"/>
      <c r="E19" s="410"/>
      <c r="F19" s="410"/>
      <c r="G19" s="410"/>
      <c r="H19" s="356">
        <f t="shared" ref="H19" si="10">SUM(C19:G19)</f>
        <v>0</v>
      </c>
      <c r="I19" s="410"/>
      <c r="J19" s="410"/>
      <c r="K19" s="437"/>
      <c r="L19" s="366">
        <f t="shared" si="8"/>
        <v>0</v>
      </c>
      <c r="M19" s="410"/>
      <c r="N19" s="437"/>
      <c r="O19" s="445"/>
      <c r="P19" s="356">
        <f t="shared" si="9"/>
        <v>0</v>
      </c>
    </row>
    <row r="20" spans="1:17" x14ac:dyDescent="0.25">
      <c r="A20" s="352"/>
      <c r="B20" s="442" t="s">
        <v>1064</v>
      </c>
      <c r="C20" s="410">
        <v>-23</v>
      </c>
      <c r="D20" s="410"/>
      <c r="E20" s="410">
        <v>23</v>
      </c>
      <c r="F20" s="410"/>
      <c r="G20" s="410"/>
      <c r="H20" s="356">
        <f t="shared" ref="H20" si="11">SUM(C20:G20)</f>
        <v>0</v>
      </c>
      <c r="I20" s="410"/>
      <c r="J20" s="410"/>
      <c r="K20" s="437"/>
      <c r="L20" s="366">
        <f t="shared" ref="L20" si="12">SUM(I20:K20)</f>
        <v>0</v>
      </c>
      <c r="M20" s="410"/>
      <c r="N20" s="437"/>
      <c r="O20" s="445"/>
      <c r="P20" s="356">
        <f t="shared" ref="P20" si="13">O20+L20+H20</f>
        <v>0</v>
      </c>
      <c r="Q20" s="383" t="s">
        <v>655</v>
      </c>
    </row>
    <row r="21" spans="1:17" ht="31.5" x14ac:dyDescent="0.25">
      <c r="A21" s="352"/>
      <c r="B21" s="442" t="s">
        <v>1090</v>
      </c>
      <c r="C21" s="410"/>
      <c r="D21" s="410"/>
      <c r="E21" s="410">
        <v>-50000</v>
      </c>
      <c r="F21" s="410"/>
      <c r="G21" s="410"/>
      <c r="H21" s="356">
        <f t="shared" ref="H21:H22" si="14">SUM(C21:G21)</f>
        <v>-50000</v>
      </c>
      <c r="I21" s="410"/>
      <c r="J21" s="410"/>
      <c r="K21" s="437"/>
      <c r="L21" s="366">
        <f t="shared" ref="L21:L23" si="15">SUM(I21:K21)</f>
        <v>0</v>
      </c>
      <c r="M21" s="410"/>
      <c r="N21" s="437"/>
      <c r="O21" s="445"/>
      <c r="P21" s="356">
        <f t="shared" ref="P21:P23" si="16">O21+L21+H21</f>
        <v>-50000</v>
      </c>
      <c r="Q21" s="383" t="s">
        <v>655</v>
      </c>
    </row>
    <row r="22" spans="1:17" ht="31.5" x14ac:dyDescent="0.25">
      <c r="A22" s="352"/>
      <c r="B22" s="442" t="s">
        <v>1090</v>
      </c>
      <c r="C22" s="410"/>
      <c r="D22" s="410"/>
      <c r="E22" s="410">
        <v>50000</v>
      </c>
      <c r="F22" s="410"/>
      <c r="G22" s="410"/>
      <c r="H22" s="356">
        <f t="shared" si="14"/>
        <v>50000</v>
      </c>
      <c r="I22" s="410"/>
      <c r="J22" s="410"/>
      <c r="K22" s="437"/>
      <c r="L22" s="366">
        <f t="shared" si="15"/>
        <v>0</v>
      </c>
      <c r="M22" s="410"/>
      <c r="N22" s="437"/>
      <c r="O22" s="445"/>
      <c r="P22" s="356">
        <f t="shared" si="16"/>
        <v>50000</v>
      </c>
      <c r="Q22" s="383" t="s">
        <v>654</v>
      </c>
    </row>
    <row r="23" spans="1:17" ht="18" customHeight="1" x14ac:dyDescent="0.25">
      <c r="A23" s="352"/>
      <c r="B23" s="442" t="s">
        <v>1243</v>
      </c>
      <c r="C23" s="410"/>
      <c r="D23" s="410"/>
      <c r="E23" s="410">
        <v>3</v>
      </c>
      <c r="F23" s="410"/>
      <c r="G23" s="410"/>
      <c r="H23" s="356">
        <f>SUM(C23:G23)</f>
        <v>3</v>
      </c>
      <c r="I23" s="410"/>
      <c r="J23" s="410"/>
      <c r="K23" s="437"/>
      <c r="L23" s="366">
        <f t="shared" si="15"/>
        <v>0</v>
      </c>
      <c r="M23" s="410"/>
      <c r="N23" s="437"/>
      <c r="O23" s="445"/>
      <c r="P23" s="356">
        <f t="shared" si="16"/>
        <v>3</v>
      </c>
      <c r="Q23" s="383" t="s">
        <v>655</v>
      </c>
    </row>
    <row r="24" spans="1:17" x14ac:dyDescent="0.25">
      <c r="A24" s="352"/>
      <c r="B24" s="368" t="s">
        <v>457</v>
      </c>
      <c r="C24" s="410"/>
      <c r="D24" s="410"/>
      <c r="E24" s="410"/>
      <c r="F24" s="410"/>
      <c r="G24" s="437"/>
      <c r="H24" s="356"/>
      <c r="I24" s="410"/>
      <c r="J24" s="410"/>
      <c r="K24" s="437"/>
      <c r="L24" s="366"/>
      <c r="M24" s="410"/>
      <c r="N24" s="437"/>
      <c r="O24" s="445"/>
      <c r="P24" s="356"/>
    </row>
    <row r="25" spans="1:17" x14ac:dyDescent="0.25">
      <c r="A25" s="352"/>
      <c r="B25" s="442"/>
      <c r="C25" s="410"/>
      <c r="D25" s="410"/>
      <c r="E25" s="410"/>
      <c r="F25" s="410"/>
      <c r="G25" s="437"/>
      <c r="H25" s="356"/>
      <c r="I25" s="410"/>
      <c r="J25" s="410"/>
      <c r="K25" s="437"/>
      <c r="L25" s="366"/>
      <c r="M25" s="410"/>
      <c r="N25" s="437"/>
      <c r="O25" s="445"/>
      <c r="P25" s="356"/>
    </row>
    <row r="26" spans="1:17" ht="31.5" x14ac:dyDescent="0.25">
      <c r="A26" s="352"/>
      <c r="B26" s="367" t="s">
        <v>79</v>
      </c>
      <c r="C26" s="410"/>
      <c r="D26" s="410"/>
      <c r="E26" s="410"/>
      <c r="F26" s="410"/>
      <c r="G26" s="437"/>
      <c r="H26" s="356"/>
      <c r="I26" s="410"/>
      <c r="J26" s="410"/>
      <c r="K26" s="437"/>
      <c r="L26" s="366"/>
      <c r="M26" s="410"/>
      <c r="N26" s="437"/>
      <c r="O26" s="445"/>
      <c r="P26" s="356"/>
    </row>
    <row r="27" spans="1:17" x14ac:dyDescent="0.25">
      <c r="A27" s="352"/>
      <c r="B27" s="368" t="s">
        <v>80</v>
      </c>
      <c r="C27" s="410"/>
      <c r="D27" s="410"/>
      <c r="E27" s="410"/>
      <c r="F27" s="410"/>
      <c r="G27" s="437"/>
      <c r="H27" s="356"/>
      <c r="I27" s="410"/>
      <c r="J27" s="410"/>
      <c r="K27" s="437"/>
      <c r="L27" s="366"/>
      <c r="M27" s="410"/>
      <c r="N27" s="437"/>
      <c r="O27" s="445"/>
      <c r="P27" s="356"/>
    </row>
    <row r="28" spans="1:17" x14ac:dyDescent="0.25">
      <c r="A28" s="352"/>
      <c r="B28" s="377" t="s">
        <v>1159</v>
      </c>
      <c r="C28" s="410"/>
      <c r="D28" s="410"/>
      <c r="E28" s="410"/>
      <c r="F28" s="410"/>
      <c r="G28" s="437"/>
      <c r="H28" s="356"/>
      <c r="I28" s="410"/>
      <c r="J28" s="410"/>
      <c r="K28" s="437"/>
      <c r="L28" s="366"/>
      <c r="M28" s="410"/>
      <c r="N28" s="437"/>
      <c r="O28" s="445"/>
      <c r="P28" s="356"/>
    </row>
    <row r="29" spans="1:17" x14ac:dyDescent="0.25">
      <c r="A29" s="352"/>
      <c r="B29" s="442" t="s">
        <v>1074</v>
      </c>
      <c r="C29" s="410"/>
      <c r="D29" s="410"/>
      <c r="E29" s="410"/>
      <c r="F29" s="410"/>
      <c r="G29" s="410">
        <v>1293</v>
      </c>
      <c r="H29" s="356">
        <f t="shared" ref="H29" si="17">SUM(C29:G29)</f>
        <v>1293</v>
      </c>
      <c r="I29" s="410"/>
      <c r="J29" s="410"/>
      <c r="K29" s="437"/>
      <c r="L29" s="366">
        <f t="shared" ref="L29" si="18">SUM(I29:K29)</f>
        <v>0</v>
      </c>
      <c r="M29" s="410"/>
      <c r="N29" s="437"/>
      <c r="O29" s="445"/>
      <c r="P29" s="356">
        <f t="shared" ref="P29" si="19">O29+L29+H29</f>
        <v>1293</v>
      </c>
      <c r="Q29" s="383" t="s">
        <v>655</v>
      </c>
    </row>
    <row r="30" spans="1:17" ht="31.5" x14ac:dyDescent="0.25">
      <c r="A30" s="352"/>
      <c r="B30" s="377" t="s">
        <v>565</v>
      </c>
      <c r="C30" s="410"/>
      <c r="D30" s="410"/>
      <c r="E30" s="410"/>
      <c r="F30" s="410"/>
      <c r="G30" s="437"/>
      <c r="H30" s="356"/>
      <c r="I30" s="410"/>
      <c r="J30" s="410"/>
      <c r="K30" s="437"/>
      <c r="L30" s="366"/>
      <c r="M30" s="410"/>
      <c r="N30" s="437"/>
      <c r="O30" s="445"/>
      <c r="P30" s="356"/>
    </row>
    <row r="31" spans="1:17" ht="47.25" x14ac:dyDescent="0.25">
      <c r="A31" s="352"/>
      <c r="B31" s="442" t="s">
        <v>1004</v>
      </c>
      <c r="C31" s="410"/>
      <c r="D31" s="410"/>
      <c r="E31" s="410">
        <v>3953</v>
      </c>
      <c r="F31" s="410"/>
      <c r="G31" s="410">
        <f>7439</f>
        <v>7439</v>
      </c>
      <c r="H31" s="356">
        <f>SUM(C31:G31)</f>
        <v>11392</v>
      </c>
      <c r="I31" s="410"/>
      <c r="J31" s="410"/>
      <c r="K31" s="437"/>
      <c r="L31" s="366">
        <f t="shared" ref="L31:L32" si="20">SUM(I31:K31)</f>
        <v>0</v>
      </c>
      <c r="M31" s="410"/>
      <c r="N31" s="437"/>
      <c r="O31" s="445"/>
      <c r="P31" s="356">
        <f t="shared" ref="P31:P32" si="21">O31+L31+H31</f>
        <v>11392</v>
      </c>
      <c r="Q31" s="383" t="s">
        <v>655</v>
      </c>
    </row>
    <row r="32" spans="1:17" ht="78.75" x14ac:dyDescent="0.25">
      <c r="A32" s="352"/>
      <c r="B32" s="442" t="s">
        <v>1015</v>
      </c>
      <c r="C32" s="410"/>
      <c r="D32" s="410"/>
      <c r="E32" s="410"/>
      <c r="F32" s="410"/>
      <c r="G32" s="437">
        <v>12000</v>
      </c>
      <c r="H32" s="356">
        <f t="shared" ref="H32" si="22">SUM(C32:G32)</f>
        <v>12000</v>
      </c>
      <c r="I32" s="410"/>
      <c r="J32" s="410"/>
      <c r="K32" s="437"/>
      <c r="L32" s="366">
        <f t="shared" si="20"/>
        <v>0</v>
      </c>
      <c r="M32" s="410"/>
      <c r="N32" s="437"/>
      <c r="O32" s="445"/>
      <c r="P32" s="356">
        <f t="shared" si="21"/>
        <v>12000</v>
      </c>
      <c r="Q32" s="383" t="s">
        <v>655</v>
      </c>
    </row>
    <row r="33" spans="1:17" ht="31.5" x14ac:dyDescent="0.25">
      <c r="A33" s="352"/>
      <c r="B33" s="442" t="s">
        <v>872</v>
      </c>
      <c r="C33" s="410"/>
      <c r="D33" s="410"/>
      <c r="E33" s="410"/>
      <c r="F33" s="410"/>
      <c r="G33" s="437"/>
      <c r="H33" s="356">
        <f t="shared" ref="H33" si="23">SUM(C33:G33)</f>
        <v>0</v>
      </c>
      <c r="I33" s="410"/>
      <c r="J33" s="410"/>
      <c r="K33" s="437">
        <v>233</v>
      </c>
      <c r="L33" s="366">
        <f t="shared" ref="L33" si="24">SUM(I33:K33)</f>
        <v>233</v>
      </c>
      <c r="M33" s="410"/>
      <c r="N33" s="437"/>
      <c r="O33" s="445"/>
      <c r="P33" s="356">
        <f t="shared" ref="P33:P40" si="25">O33+L33+H33</f>
        <v>233</v>
      </c>
      <c r="Q33" s="383" t="s">
        <v>655</v>
      </c>
    </row>
    <row r="34" spans="1:17" x14ac:dyDescent="0.25">
      <c r="A34" s="352"/>
      <c r="B34" s="442" t="s">
        <v>1044</v>
      </c>
      <c r="C34" s="410"/>
      <c r="D34" s="410"/>
      <c r="E34" s="410"/>
      <c r="F34" s="410"/>
      <c r="G34" s="437">
        <v>110470</v>
      </c>
      <c r="H34" s="356">
        <f t="shared" ref="H34" si="26">SUM(C34:G34)</f>
        <v>110470</v>
      </c>
      <c r="I34" s="410"/>
      <c r="J34" s="410"/>
      <c r="K34" s="410"/>
      <c r="L34" s="366">
        <f t="shared" ref="L34" si="27">SUM(I34:K34)</f>
        <v>0</v>
      </c>
      <c r="M34" s="410"/>
      <c r="N34" s="437"/>
      <c r="O34" s="445"/>
      <c r="P34" s="356">
        <f t="shared" ref="P34" si="28">O34+L34+H34</f>
        <v>110470</v>
      </c>
      <c r="Q34" s="383" t="s">
        <v>658</v>
      </c>
    </row>
    <row r="35" spans="1:17" x14ac:dyDescent="0.25">
      <c r="A35" s="352"/>
      <c r="B35" s="377" t="s">
        <v>671</v>
      </c>
      <c r="C35" s="410"/>
      <c r="D35" s="410"/>
      <c r="E35" s="410"/>
      <c r="F35" s="410"/>
      <c r="G35" s="437"/>
      <c r="H35" s="356"/>
      <c r="I35" s="410"/>
      <c r="J35" s="410"/>
      <c r="K35" s="437"/>
      <c r="L35" s="366"/>
      <c r="M35" s="410"/>
      <c r="N35" s="437"/>
      <c r="O35" s="445"/>
      <c r="P35" s="356">
        <f t="shared" si="25"/>
        <v>0</v>
      </c>
    </row>
    <row r="36" spans="1:17" ht="47.25" x14ac:dyDescent="0.25">
      <c r="A36" s="352"/>
      <c r="B36" s="442" t="s">
        <v>1004</v>
      </c>
      <c r="C36" s="410">
        <v>-413</v>
      </c>
      <c r="D36" s="410">
        <v>-96</v>
      </c>
      <c r="E36" s="410">
        <v>-6929</v>
      </c>
      <c r="F36" s="410"/>
      <c r="G36" s="410">
        <v>7438</v>
      </c>
      <c r="H36" s="356">
        <f t="shared" ref="H36:H40" si="29">SUM(C36:G36)</f>
        <v>0</v>
      </c>
      <c r="I36" s="410"/>
      <c r="J36" s="410"/>
      <c r="K36" s="437"/>
      <c r="L36" s="366">
        <f t="shared" ref="L36:L40" si="30">SUM(I36:K36)</f>
        <v>0</v>
      </c>
      <c r="M36" s="410"/>
      <c r="N36" s="437"/>
      <c r="O36" s="445"/>
      <c r="P36" s="356">
        <f t="shared" si="25"/>
        <v>0</v>
      </c>
      <c r="Q36" s="383" t="s">
        <v>655</v>
      </c>
    </row>
    <row r="37" spans="1:17" x14ac:dyDescent="0.25">
      <c r="A37" s="352"/>
      <c r="B37" s="442" t="s">
        <v>1065</v>
      </c>
      <c r="C37" s="410"/>
      <c r="D37" s="410"/>
      <c r="E37" s="410"/>
      <c r="F37" s="410"/>
      <c r="G37" s="410">
        <v>-57</v>
      </c>
      <c r="H37" s="356">
        <f t="shared" si="29"/>
        <v>-57</v>
      </c>
      <c r="I37" s="410"/>
      <c r="J37" s="410"/>
      <c r="K37" s="437">
        <v>57</v>
      </c>
      <c r="L37" s="366">
        <f t="shared" si="30"/>
        <v>57</v>
      </c>
      <c r="M37" s="410"/>
      <c r="N37" s="437"/>
      <c r="O37" s="445"/>
      <c r="P37" s="356">
        <f t="shared" si="25"/>
        <v>0</v>
      </c>
      <c r="Q37" s="383" t="s">
        <v>655</v>
      </c>
    </row>
    <row r="38" spans="1:17" x14ac:dyDescent="0.25">
      <c r="A38" s="352"/>
      <c r="B38" s="442" t="s">
        <v>1066</v>
      </c>
      <c r="C38" s="410"/>
      <c r="D38" s="410">
        <v>-259</v>
      </c>
      <c r="E38" s="410">
        <v>259</v>
      </c>
      <c r="F38" s="410"/>
      <c r="G38" s="410"/>
      <c r="H38" s="356">
        <f t="shared" si="29"/>
        <v>0</v>
      </c>
      <c r="I38" s="410"/>
      <c r="J38" s="410"/>
      <c r="K38" s="437"/>
      <c r="L38" s="366">
        <f t="shared" si="30"/>
        <v>0</v>
      </c>
      <c r="M38" s="410"/>
      <c r="N38" s="437"/>
      <c r="O38" s="445"/>
      <c r="P38" s="356">
        <f t="shared" si="25"/>
        <v>0</v>
      </c>
      <c r="Q38" s="383" t="s">
        <v>655</v>
      </c>
    </row>
    <row r="39" spans="1:17" ht="31.5" x14ac:dyDescent="0.25">
      <c r="A39" s="352"/>
      <c r="B39" s="442" t="s">
        <v>1067</v>
      </c>
      <c r="C39" s="410">
        <v>14</v>
      </c>
      <c r="D39" s="410">
        <v>-14</v>
      </c>
      <c r="E39" s="410"/>
      <c r="F39" s="410"/>
      <c r="G39" s="410"/>
      <c r="H39" s="356">
        <f t="shared" ref="H39" si="31">SUM(C39:G39)</f>
        <v>0</v>
      </c>
      <c r="I39" s="410"/>
      <c r="J39" s="410"/>
      <c r="K39" s="437"/>
      <c r="L39" s="366">
        <f t="shared" ref="L39" si="32">SUM(I39:K39)</f>
        <v>0</v>
      </c>
      <c r="M39" s="410"/>
      <c r="N39" s="437"/>
      <c r="O39" s="445"/>
      <c r="P39" s="356">
        <f t="shared" ref="P39" si="33">O39+L39+H39</f>
        <v>0</v>
      </c>
      <c r="Q39" s="383" t="s">
        <v>655</v>
      </c>
    </row>
    <row r="40" spans="1:17" x14ac:dyDescent="0.25">
      <c r="A40" s="352"/>
      <c r="B40" s="442" t="s">
        <v>1074</v>
      </c>
      <c r="C40" s="410"/>
      <c r="D40" s="410"/>
      <c r="E40" s="410"/>
      <c r="F40" s="410"/>
      <c r="G40" s="410">
        <v>-327</v>
      </c>
      <c r="H40" s="356">
        <f t="shared" si="29"/>
        <v>-327</v>
      </c>
      <c r="I40" s="410">
        <v>327</v>
      </c>
      <c r="J40" s="410"/>
      <c r="K40" s="437"/>
      <c r="L40" s="366">
        <f t="shared" si="30"/>
        <v>327</v>
      </c>
      <c r="M40" s="410"/>
      <c r="N40" s="437"/>
      <c r="O40" s="445"/>
      <c r="P40" s="356">
        <f t="shared" si="25"/>
        <v>0</v>
      </c>
      <c r="Q40" s="383" t="s">
        <v>655</v>
      </c>
    </row>
    <row r="41" spans="1:17" x14ac:dyDescent="0.25">
      <c r="A41" s="352"/>
      <c r="B41" s="442" t="s">
        <v>1119</v>
      </c>
      <c r="C41" s="410"/>
      <c r="D41" s="410"/>
      <c r="E41" s="410"/>
      <c r="F41" s="410"/>
      <c r="G41" s="451">
        <v>10000</v>
      </c>
      <c r="H41" s="356">
        <f t="shared" ref="H41:H50" si="34">SUM(C41:G41)</f>
        <v>10000</v>
      </c>
      <c r="I41" s="410"/>
      <c r="J41" s="410"/>
      <c r="K41" s="437"/>
      <c r="L41" s="366">
        <f t="shared" ref="L41:L50" si="35">SUM(I41:K41)</f>
        <v>0</v>
      </c>
      <c r="M41" s="410"/>
      <c r="N41" s="437"/>
      <c r="O41" s="445"/>
      <c r="P41" s="356">
        <f t="shared" ref="P41:P50" si="36">O41+L41+H41</f>
        <v>10000</v>
      </c>
      <c r="Q41" s="383" t="s">
        <v>655</v>
      </c>
    </row>
    <row r="42" spans="1:17" x14ac:dyDescent="0.25">
      <c r="A42" s="352"/>
      <c r="B42" s="442" t="s">
        <v>1130</v>
      </c>
      <c r="C42" s="410"/>
      <c r="D42" s="410"/>
      <c r="E42" s="410"/>
      <c r="F42" s="410"/>
      <c r="G42" s="892">
        <v>2000</v>
      </c>
      <c r="H42" s="356">
        <f t="shared" si="34"/>
        <v>2000</v>
      </c>
      <c r="I42" s="410"/>
      <c r="J42" s="410"/>
      <c r="K42" s="437"/>
      <c r="L42" s="366">
        <f t="shared" si="35"/>
        <v>0</v>
      </c>
      <c r="M42" s="410"/>
      <c r="N42" s="437"/>
      <c r="O42" s="445"/>
      <c r="P42" s="356">
        <f t="shared" si="36"/>
        <v>2000</v>
      </c>
      <c r="Q42" s="383" t="s">
        <v>655</v>
      </c>
    </row>
    <row r="43" spans="1:17" x14ac:dyDescent="0.25">
      <c r="A43" s="352"/>
      <c r="B43" s="442" t="s">
        <v>1131</v>
      </c>
      <c r="C43" s="410"/>
      <c r="D43" s="410"/>
      <c r="E43" s="410"/>
      <c r="F43" s="410"/>
      <c r="G43" s="892">
        <v>2000</v>
      </c>
      <c r="H43" s="356">
        <f t="shared" si="34"/>
        <v>2000</v>
      </c>
      <c r="I43" s="410"/>
      <c r="J43" s="410"/>
      <c r="K43" s="437"/>
      <c r="L43" s="366">
        <f t="shared" si="35"/>
        <v>0</v>
      </c>
      <c r="M43" s="410"/>
      <c r="N43" s="437"/>
      <c r="O43" s="445"/>
      <c r="P43" s="356">
        <f t="shared" si="36"/>
        <v>2000</v>
      </c>
      <c r="Q43" s="383" t="s">
        <v>655</v>
      </c>
    </row>
    <row r="44" spans="1:17" ht="31.5" x14ac:dyDescent="0.25">
      <c r="A44" s="352"/>
      <c r="B44" s="442" t="s">
        <v>1137</v>
      </c>
      <c r="C44" s="410"/>
      <c r="D44" s="410"/>
      <c r="E44" s="410"/>
      <c r="F44" s="410"/>
      <c r="G44" s="892">
        <v>2000</v>
      </c>
      <c r="H44" s="356">
        <f t="shared" si="34"/>
        <v>2000</v>
      </c>
      <c r="I44" s="410"/>
      <c r="J44" s="410"/>
      <c r="K44" s="437"/>
      <c r="L44" s="366">
        <f t="shared" si="35"/>
        <v>0</v>
      </c>
      <c r="M44" s="410"/>
      <c r="N44" s="437"/>
      <c r="O44" s="445"/>
      <c r="P44" s="356">
        <f t="shared" si="36"/>
        <v>2000</v>
      </c>
      <c r="Q44" s="383" t="s">
        <v>655</v>
      </c>
    </row>
    <row r="45" spans="1:17" x14ac:dyDescent="0.25">
      <c r="A45" s="352"/>
      <c r="B45" s="442" t="s">
        <v>1132</v>
      </c>
      <c r="C45" s="410"/>
      <c r="D45" s="410"/>
      <c r="E45" s="410"/>
      <c r="F45" s="410"/>
      <c r="G45" s="892">
        <v>2500</v>
      </c>
      <c r="H45" s="356">
        <f t="shared" si="34"/>
        <v>2500</v>
      </c>
      <c r="I45" s="410"/>
      <c r="J45" s="410"/>
      <c r="K45" s="437"/>
      <c r="L45" s="366">
        <f t="shared" si="35"/>
        <v>0</v>
      </c>
      <c r="M45" s="410"/>
      <c r="N45" s="437"/>
      <c r="O45" s="445"/>
      <c r="P45" s="356">
        <f t="shared" si="36"/>
        <v>2500</v>
      </c>
      <c r="Q45" s="383" t="s">
        <v>655</v>
      </c>
    </row>
    <row r="46" spans="1:17" x14ac:dyDescent="0.25">
      <c r="A46" s="352"/>
      <c r="B46" s="442" t="s">
        <v>1133</v>
      </c>
      <c r="C46" s="410"/>
      <c r="D46" s="410"/>
      <c r="E46" s="410"/>
      <c r="F46" s="410"/>
      <c r="G46" s="892">
        <v>2000</v>
      </c>
      <c r="H46" s="356">
        <f t="shared" si="34"/>
        <v>2000</v>
      </c>
      <c r="I46" s="410"/>
      <c r="J46" s="410"/>
      <c r="K46" s="437"/>
      <c r="L46" s="366">
        <f t="shared" si="35"/>
        <v>0</v>
      </c>
      <c r="M46" s="410"/>
      <c r="N46" s="437"/>
      <c r="O46" s="445"/>
      <c r="P46" s="356">
        <f t="shared" si="36"/>
        <v>2000</v>
      </c>
      <c r="Q46" s="383" t="s">
        <v>655</v>
      </c>
    </row>
    <row r="47" spans="1:17" x14ac:dyDescent="0.25">
      <c r="A47" s="352"/>
      <c r="B47" s="442" t="s">
        <v>1134</v>
      </c>
      <c r="C47" s="410"/>
      <c r="D47" s="410"/>
      <c r="E47" s="410"/>
      <c r="F47" s="410"/>
      <c r="G47" s="892">
        <v>1000</v>
      </c>
      <c r="H47" s="356">
        <f t="shared" ref="H47:H48" si="37">SUM(C47:G47)</f>
        <v>1000</v>
      </c>
      <c r="I47" s="410"/>
      <c r="J47" s="410"/>
      <c r="K47" s="437"/>
      <c r="L47" s="366">
        <f t="shared" ref="L47:L48" si="38">SUM(I47:K47)</f>
        <v>0</v>
      </c>
      <c r="M47" s="410"/>
      <c r="N47" s="437"/>
      <c r="O47" s="445"/>
      <c r="P47" s="356">
        <f t="shared" ref="P47:P48" si="39">O47+L47+H47</f>
        <v>1000</v>
      </c>
      <c r="Q47" s="383" t="s">
        <v>655</v>
      </c>
    </row>
    <row r="48" spans="1:17" x14ac:dyDescent="0.25">
      <c r="A48" s="352"/>
      <c r="B48" s="442" t="s">
        <v>1135</v>
      </c>
      <c r="C48" s="410"/>
      <c r="D48" s="410"/>
      <c r="E48" s="410"/>
      <c r="F48" s="410"/>
      <c r="G48" s="892">
        <v>2000</v>
      </c>
      <c r="H48" s="356">
        <f t="shared" si="37"/>
        <v>2000</v>
      </c>
      <c r="I48" s="410"/>
      <c r="J48" s="410"/>
      <c r="K48" s="437"/>
      <c r="L48" s="366">
        <f t="shared" si="38"/>
        <v>0</v>
      </c>
      <c r="M48" s="410"/>
      <c r="N48" s="437"/>
      <c r="O48" s="445"/>
      <c r="P48" s="356">
        <f t="shared" si="39"/>
        <v>2000</v>
      </c>
      <c r="Q48" s="383" t="s">
        <v>655</v>
      </c>
    </row>
    <row r="49" spans="1:17" x14ac:dyDescent="0.25">
      <c r="A49" s="352"/>
      <c r="B49" s="442" t="s">
        <v>1136</v>
      </c>
      <c r="C49" s="410"/>
      <c r="D49" s="410"/>
      <c r="E49" s="410"/>
      <c r="F49" s="410"/>
      <c r="G49" s="893">
        <v>3000</v>
      </c>
      <c r="H49" s="356">
        <f t="shared" si="34"/>
        <v>3000</v>
      </c>
      <c r="I49" s="410"/>
      <c r="J49" s="410"/>
      <c r="K49" s="437"/>
      <c r="L49" s="366">
        <f t="shared" si="35"/>
        <v>0</v>
      </c>
      <c r="M49" s="410"/>
      <c r="N49" s="437"/>
      <c r="O49" s="445"/>
      <c r="P49" s="356">
        <f t="shared" si="36"/>
        <v>3000</v>
      </c>
      <c r="Q49" s="383" t="s">
        <v>655</v>
      </c>
    </row>
    <row r="50" spans="1:17" ht="32.25" customHeight="1" x14ac:dyDescent="0.25">
      <c r="A50" s="352"/>
      <c r="B50" s="894" t="s">
        <v>1139</v>
      </c>
      <c r="C50" s="410"/>
      <c r="D50" s="410"/>
      <c r="E50" s="410"/>
      <c r="F50" s="410"/>
      <c r="G50" s="410">
        <v>-7000</v>
      </c>
      <c r="H50" s="356">
        <f t="shared" si="34"/>
        <v>-7000</v>
      </c>
      <c r="I50" s="410"/>
      <c r="J50" s="410"/>
      <c r="K50" s="437"/>
      <c r="L50" s="366">
        <f t="shared" si="35"/>
        <v>0</v>
      </c>
      <c r="M50" s="410"/>
      <c r="N50" s="437"/>
      <c r="O50" s="445"/>
      <c r="P50" s="356">
        <f t="shared" si="36"/>
        <v>-7000</v>
      </c>
      <c r="Q50" s="383" t="s">
        <v>655</v>
      </c>
    </row>
    <row r="51" spans="1:17" ht="33.75" customHeight="1" x14ac:dyDescent="0.25">
      <c r="A51" s="352"/>
      <c r="B51" s="894" t="s">
        <v>1140</v>
      </c>
      <c r="C51" s="410"/>
      <c r="D51" s="410"/>
      <c r="E51" s="410"/>
      <c r="F51" s="410"/>
      <c r="G51" s="410">
        <v>7000</v>
      </c>
      <c r="H51" s="356">
        <f t="shared" ref="H51:H52" si="40">SUM(C51:G51)</f>
        <v>7000</v>
      </c>
      <c r="I51" s="410"/>
      <c r="J51" s="410"/>
      <c r="K51" s="437"/>
      <c r="L51" s="366">
        <f t="shared" ref="L51:L52" si="41">SUM(I51:K51)</f>
        <v>0</v>
      </c>
      <c r="M51" s="410"/>
      <c r="N51" s="437"/>
      <c r="O51" s="445"/>
      <c r="P51" s="356">
        <f t="shared" ref="P51:P52" si="42">O51+L51+H51</f>
        <v>7000</v>
      </c>
      <c r="Q51" s="383" t="s">
        <v>655</v>
      </c>
    </row>
    <row r="52" spans="1:17" x14ac:dyDescent="0.25">
      <c r="A52" s="352"/>
      <c r="B52" s="442" t="s">
        <v>1044</v>
      </c>
      <c r="C52" s="410"/>
      <c r="D52" s="410"/>
      <c r="E52" s="410"/>
      <c r="F52" s="410"/>
      <c r="G52" s="437">
        <v>-30000</v>
      </c>
      <c r="H52" s="356">
        <f t="shared" si="40"/>
        <v>-30000</v>
      </c>
      <c r="I52" s="410"/>
      <c r="J52" s="410"/>
      <c r="K52" s="410"/>
      <c r="L52" s="366">
        <f t="shared" si="41"/>
        <v>0</v>
      </c>
      <c r="M52" s="410"/>
      <c r="N52" s="437"/>
      <c r="O52" s="445"/>
      <c r="P52" s="356">
        <f t="shared" si="42"/>
        <v>-30000</v>
      </c>
      <c r="Q52" s="383" t="s">
        <v>658</v>
      </c>
    </row>
    <row r="53" spans="1:17" x14ac:dyDescent="0.25">
      <c r="A53" s="375"/>
      <c r="B53" s="378" t="s">
        <v>103</v>
      </c>
      <c r="C53" s="446"/>
      <c r="D53" s="438"/>
      <c r="E53" s="438"/>
      <c r="F53" s="438"/>
      <c r="G53" s="447"/>
      <c r="H53" s="356"/>
      <c r="I53" s="446"/>
      <c r="J53" s="446"/>
      <c r="K53" s="449"/>
      <c r="L53" s="366"/>
      <c r="M53" s="446"/>
      <c r="N53" s="449"/>
      <c r="O53" s="448"/>
      <c r="P53" s="356"/>
    </row>
    <row r="54" spans="1:17" s="374" customFormat="1" x14ac:dyDescent="0.25">
      <c r="A54" s="369"/>
      <c r="B54" s="377" t="s">
        <v>862</v>
      </c>
      <c r="C54" s="370"/>
      <c r="D54" s="370"/>
      <c r="E54" s="370"/>
      <c r="F54" s="370"/>
      <c r="G54" s="371"/>
      <c r="H54" s="372"/>
      <c r="I54" s="370"/>
      <c r="J54" s="370"/>
      <c r="K54" s="371"/>
      <c r="L54" s="373"/>
      <c r="M54" s="370"/>
      <c r="N54" s="371"/>
      <c r="O54" s="372"/>
      <c r="P54" s="372"/>
    </row>
    <row r="55" spans="1:17" x14ac:dyDescent="0.25">
      <c r="A55" s="450"/>
      <c r="B55" s="442" t="s">
        <v>782</v>
      </c>
      <c r="C55" s="410"/>
      <c r="D55" s="410"/>
      <c r="E55" s="410"/>
      <c r="F55" s="410"/>
      <c r="G55" s="371"/>
      <c r="H55" s="356">
        <f>SUM(C55:G55)</f>
        <v>0</v>
      </c>
      <c r="I55" s="354"/>
      <c r="J55" s="354"/>
      <c r="K55" s="437"/>
      <c r="L55" s="366">
        <f>SUM(I55:K55)</f>
        <v>0</v>
      </c>
      <c r="M55" s="354"/>
      <c r="N55" s="355"/>
      <c r="O55" s="356"/>
      <c r="P55" s="356">
        <f>O55+L55+H55</f>
        <v>0</v>
      </c>
      <c r="Q55" s="383" t="s">
        <v>655</v>
      </c>
    </row>
    <row r="56" spans="1:17" s="374" customFormat="1" x14ac:dyDescent="0.25">
      <c r="A56" s="369"/>
      <c r="B56" s="377" t="s">
        <v>671</v>
      </c>
      <c r="C56" s="370"/>
      <c r="D56" s="370"/>
      <c r="E56" s="370"/>
      <c r="F56" s="370"/>
      <c r="G56" s="371"/>
      <c r="H56" s="372"/>
      <c r="I56" s="370"/>
      <c r="J56" s="370"/>
      <c r="K56" s="371"/>
      <c r="L56" s="373"/>
      <c r="M56" s="370"/>
      <c r="N56" s="371"/>
      <c r="O56" s="372"/>
      <c r="P56" s="372"/>
    </row>
    <row r="57" spans="1:17" x14ac:dyDescent="0.25">
      <c r="A57" s="450"/>
      <c r="B57" s="442" t="s">
        <v>782</v>
      </c>
      <c r="C57" s="410">
        <v>1360</v>
      </c>
      <c r="D57" s="370">
        <v>104</v>
      </c>
      <c r="E57" s="370">
        <v>-1334</v>
      </c>
      <c r="F57" s="410"/>
      <c r="G57" s="437">
        <v>-130</v>
      </c>
      <c r="H57" s="356">
        <f>SUM(C57:G57)</f>
        <v>0</v>
      </c>
      <c r="I57" s="354"/>
      <c r="J57" s="354"/>
      <c r="K57" s="437"/>
      <c r="L57" s="366">
        <f>SUM(I57:K57)</f>
        <v>0</v>
      </c>
      <c r="M57" s="354"/>
      <c r="N57" s="355"/>
      <c r="O57" s="356"/>
      <c r="P57" s="356">
        <f>O57+L57+H57</f>
        <v>0</v>
      </c>
      <c r="Q57" s="383" t="s">
        <v>655</v>
      </c>
    </row>
    <row r="58" spans="1:17" x14ac:dyDescent="0.25">
      <c r="A58" s="450"/>
      <c r="B58" s="442" t="s">
        <v>873</v>
      </c>
      <c r="C58" s="410"/>
      <c r="D58" s="370"/>
      <c r="E58" s="410"/>
      <c r="F58" s="370"/>
      <c r="G58" s="410"/>
      <c r="H58" s="356">
        <f>SUM(C58:G58)</f>
        <v>0</v>
      </c>
      <c r="I58" s="354"/>
      <c r="J58" s="354"/>
      <c r="K58" s="437"/>
      <c r="L58" s="366">
        <f>SUM(I58:K58)</f>
        <v>0</v>
      </c>
      <c r="M58" s="354"/>
      <c r="N58" s="355"/>
      <c r="O58" s="356"/>
      <c r="P58" s="356">
        <f>O58+L58+H58</f>
        <v>0</v>
      </c>
      <c r="Q58" s="383" t="s">
        <v>655</v>
      </c>
    </row>
    <row r="59" spans="1:17" x14ac:dyDescent="0.25">
      <c r="A59" s="375"/>
      <c r="B59" s="378" t="s">
        <v>126</v>
      </c>
      <c r="C59" s="446"/>
      <c r="D59" s="438"/>
      <c r="E59" s="438"/>
      <c r="F59" s="438"/>
      <c r="G59" s="447"/>
      <c r="H59" s="356"/>
      <c r="I59" s="446"/>
      <c r="J59" s="446"/>
      <c r="K59" s="449"/>
      <c r="L59" s="366"/>
      <c r="M59" s="446"/>
      <c r="N59" s="449"/>
      <c r="O59" s="448"/>
      <c r="P59" s="356"/>
    </row>
    <row r="60" spans="1:17" s="374" customFormat="1" ht="31.5" x14ac:dyDescent="0.25">
      <c r="A60" s="369"/>
      <c r="B60" s="377" t="s">
        <v>565</v>
      </c>
      <c r="C60" s="370"/>
      <c r="D60" s="370"/>
      <c r="E60" s="370"/>
      <c r="F60" s="370"/>
      <c r="G60" s="371"/>
      <c r="H60" s="372"/>
      <c r="I60" s="370"/>
      <c r="J60" s="370"/>
      <c r="K60" s="371"/>
      <c r="L60" s="373"/>
      <c r="M60" s="370"/>
      <c r="N60" s="371"/>
      <c r="O60" s="372"/>
      <c r="P60" s="372"/>
    </row>
    <row r="61" spans="1:17" ht="31.5" x14ac:dyDescent="0.25">
      <c r="A61" s="450"/>
      <c r="B61" s="442" t="s">
        <v>1016</v>
      </c>
      <c r="C61" s="410"/>
      <c r="D61" s="410"/>
      <c r="E61" s="410">
        <v>482</v>
      </c>
      <c r="F61" s="410"/>
      <c r="G61" s="437"/>
      <c r="H61" s="356">
        <f>SUM(C61:G61)</f>
        <v>482</v>
      </c>
      <c r="I61" s="354"/>
      <c r="J61" s="354"/>
      <c r="K61" s="437"/>
      <c r="L61" s="366">
        <f>SUM(I61:K61)</f>
        <v>0</v>
      </c>
      <c r="M61" s="354"/>
      <c r="N61" s="355"/>
      <c r="O61" s="356"/>
      <c r="P61" s="356">
        <f>O61+L61+H61</f>
        <v>482</v>
      </c>
      <c r="Q61" s="383" t="s">
        <v>655</v>
      </c>
    </row>
    <row r="62" spans="1:17" ht="31.5" x14ac:dyDescent="0.25">
      <c r="A62" s="450"/>
      <c r="B62" s="367" t="s">
        <v>105</v>
      </c>
      <c r="C62" s="410"/>
      <c r="D62" s="410"/>
      <c r="E62" s="410"/>
      <c r="F62" s="410"/>
      <c r="G62" s="437"/>
      <c r="H62" s="356"/>
      <c r="I62" s="354"/>
      <c r="J62" s="354"/>
      <c r="K62" s="437"/>
      <c r="L62" s="366"/>
      <c r="M62" s="354"/>
      <c r="N62" s="355"/>
      <c r="O62" s="356"/>
      <c r="P62" s="356"/>
    </row>
    <row r="63" spans="1:17" x14ac:dyDescent="0.25">
      <c r="A63" s="375"/>
      <c r="B63" s="378" t="s">
        <v>837</v>
      </c>
      <c r="C63" s="446"/>
      <c r="D63" s="438"/>
      <c r="E63" s="438"/>
      <c r="F63" s="438"/>
      <c r="G63" s="447"/>
      <c r="H63" s="356"/>
      <c r="I63" s="446"/>
      <c r="J63" s="446"/>
      <c r="K63" s="449"/>
      <c r="L63" s="366"/>
      <c r="M63" s="446"/>
      <c r="N63" s="449"/>
      <c r="O63" s="448"/>
      <c r="P63" s="356"/>
    </row>
    <row r="64" spans="1:17" x14ac:dyDescent="0.25">
      <c r="A64" s="375"/>
      <c r="B64" s="377" t="s">
        <v>671</v>
      </c>
      <c r="C64" s="446"/>
      <c r="D64" s="438"/>
      <c r="E64" s="438"/>
      <c r="F64" s="438"/>
      <c r="G64" s="451"/>
      <c r="H64" s="366"/>
      <c r="I64" s="446"/>
      <c r="J64" s="446"/>
      <c r="K64" s="449"/>
      <c r="L64" s="366"/>
      <c r="M64" s="446"/>
      <c r="N64" s="449"/>
      <c r="O64" s="448"/>
      <c r="P64" s="366"/>
    </row>
    <row r="65" spans="1:17" x14ac:dyDescent="0.25">
      <c r="A65" s="375"/>
      <c r="B65" s="409" t="s">
        <v>863</v>
      </c>
      <c r="C65" s="446">
        <f>-15300-6296-3386</f>
        <v>-24982</v>
      </c>
      <c r="D65" s="438"/>
      <c r="E65" s="438">
        <f>3596+3386</f>
        <v>6982</v>
      </c>
      <c r="F65" s="438"/>
      <c r="G65" s="451"/>
      <c r="H65" s="366">
        <f>SUM(C65:G65)</f>
        <v>-18000</v>
      </c>
      <c r="I65" s="446">
        <f>15300+2700</f>
        <v>18000</v>
      </c>
      <c r="J65" s="446"/>
      <c r="K65" s="449"/>
      <c r="L65" s="366">
        <f>SUM(I65:K65)</f>
        <v>18000</v>
      </c>
      <c r="M65" s="446"/>
      <c r="N65" s="449"/>
      <c r="O65" s="448"/>
      <c r="P65" s="366">
        <f>O65+L65+H65</f>
        <v>0</v>
      </c>
      <c r="Q65" s="383" t="s">
        <v>655</v>
      </c>
    </row>
    <row r="66" spans="1:17" ht="31.5" x14ac:dyDescent="0.25">
      <c r="A66" s="450"/>
      <c r="B66" s="442" t="s">
        <v>1092</v>
      </c>
      <c r="C66" s="410">
        <v>298</v>
      </c>
      <c r="D66" s="370"/>
      <c r="E66" s="370">
        <v>-298</v>
      </c>
      <c r="F66" s="410"/>
      <c r="G66" s="371"/>
      <c r="H66" s="356">
        <f>SUM(C66:G66)</f>
        <v>0</v>
      </c>
      <c r="I66" s="370"/>
      <c r="J66" s="354"/>
      <c r="K66" s="437"/>
      <c r="L66" s="366">
        <f>SUM(I66:K66)</f>
        <v>0</v>
      </c>
      <c r="M66" s="354"/>
      <c r="N66" s="355"/>
      <c r="O66" s="356"/>
      <c r="P66" s="356">
        <f>O66+L66+H66</f>
        <v>0</v>
      </c>
      <c r="Q66" s="383" t="s">
        <v>783</v>
      </c>
    </row>
    <row r="67" spans="1:17" ht="31.5" x14ac:dyDescent="0.25">
      <c r="A67" s="450"/>
      <c r="B67" s="442" t="s">
        <v>1092</v>
      </c>
      <c r="C67" s="410">
        <v>-298</v>
      </c>
      <c r="D67" s="370"/>
      <c r="E67" s="370">
        <v>298</v>
      </c>
      <c r="F67" s="410"/>
      <c r="G67" s="371"/>
      <c r="H67" s="356">
        <f>SUM(C67:G67)</f>
        <v>0</v>
      </c>
      <c r="I67" s="370"/>
      <c r="J67" s="354"/>
      <c r="K67" s="437"/>
      <c r="L67" s="366">
        <f>SUM(I67:K67)</f>
        <v>0</v>
      </c>
      <c r="M67" s="354"/>
      <c r="N67" s="355"/>
      <c r="O67" s="356"/>
      <c r="P67" s="356">
        <f>O67+L67+H67</f>
        <v>0</v>
      </c>
      <c r="Q67" s="383" t="s">
        <v>654</v>
      </c>
    </row>
    <row r="68" spans="1:17" ht="31.5" x14ac:dyDescent="0.25">
      <c r="A68" s="450"/>
      <c r="B68" s="442" t="s">
        <v>1248</v>
      </c>
      <c r="C68" s="410">
        <v>12</v>
      </c>
      <c r="D68" s="370"/>
      <c r="E68" s="410"/>
      <c r="F68" s="410"/>
      <c r="G68" s="371"/>
      <c r="H68" s="356">
        <f>SUM(C68:G68)</f>
        <v>12</v>
      </c>
      <c r="I68" s="370"/>
      <c r="J68" s="354"/>
      <c r="K68" s="437"/>
      <c r="L68" s="366">
        <f>SUM(I68:K68)</f>
        <v>0</v>
      </c>
      <c r="M68" s="354"/>
      <c r="N68" s="355"/>
      <c r="O68" s="356"/>
      <c r="P68" s="356">
        <f>O68+L68+H68</f>
        <v>12</v>
      </c>
      <c r="Q68" s="383" t="s">
        <v>783</v>
      </c>
    </row>
    <row r="69" spans="1:17" ht="31.5" x14ac:dyDescent="0.25">
      <c r="A69" s="450"/>
      <c r="B69" s="442" t="s">
        <v>1249</v>
      </c>
      <c r="C69" s="410"/>
      <c r="D69" s="410">
        <v>-12</v>
      </c>
      <c r="E69" s="410"/>
      <c r="F69" s="410"/>
      <c r="G69" s="371"/>
      <c r="H69" s="356">
        <f>SUM(C69:G69)</f>
        <v>-12</v>
      </c>
      <c r="I69" s="370"/>
      <c r="J69" s="354"/>
      <c r="K69" s="437"/>
      <c r="L69" s="366">
        <f>SUM(I69:K69)</f>
        <v>0</v>
      </c>
      <c r="M69" s="354"/>
      <c r="N69" s="355"/>
      <c r="O69" s="356"/>
      <c r="P69" s="356">
        <f>O69+L69+H69</f>
        <v>-12</v>
      </c>
      <c r="Q69" s="383" t="s">
        <v>783</v>
      </c>
    </row>
    <row r="70" spans="1:17" x14ac:dyDescent="0.25">
      <c r="A70" s="375"/>
      <c r="B70" s="378" t="s">
        <v>653</v>
      </c>
      <c r="C70" s="446"/>
      <c r="D70" s="438"/>
      <c r="E70" s="438"/>
      <c r="F70" s="438"/>
      <c r="G70" s="447"/>
      <c r="H70" s="356"/>
      <c r="I70" s="446"/>
      <c r="J70" s="446"/>
      <c r="K70" s="449"/>
      <c r="L70" s="366"/>
      <c r="M70" s="446"/>
      <c r="N70" s="449"/>
      <c r="O70" s="448"/>
      <c r="P70" s="356"/>
    </row>
    <row r="71" spans="1:17" x14ac:dyDescent="0.25">
      <c r="A71" s="375"/>
      <c r="B71" s="377" t="s">
        <v>671</v>
      </c>
      <c r="C71" s="446"/>
      <c r="D71" s="438"/>
      <c r="E71" s="438"/>
      <c r="F71" s="438"/>
      <c r="G71" s="451"/>
      <c r="H71" s="366"/>
      <c r="I71" s="446"/>
      <c r="J71" s="446"/>
      <c r="K71" s="449"/>
      <c r="L71" s="366"/>
      <c r="M71" s="446"/>
      <c r="N71" s="449"/>
      <c r="O71" s="448"/>
      <c r="P71" s="366"/>
    </row>
    <row r="72" spans="1:17" x14ac:dyDescent="0.25">
      <c r="A72" s="375"/>
      <c r="B72" s="442" t="s">
        <v>866</v>
      </c>
      <c r="C72" s="446"/>
      <c r="D72" s="438"/>
      <c r="E72" s="438">
        <v>-140</v>
      </c>
      <c r="F72" s="438"/>
      <c r="G72" s="447"/>
      <c r="H72" s="366">
        <f>SUM(C72:G72)</f>
        <v>-140</v>
      </c>
      <c r="I72" s="446">
        <v>140</v>
      </c>
      <c r="J72" s="446"/>
      <c r="K72" s="449"/>
      <c r="L72" s="366">
        <f>SUM(I72:K72)</f>
        <v>140</v>
      </c>
      <c r="M72" s="446"/>
      <c r="N72" s="449"/>
      <c r="O72" s="448"/>
      <c r="P72" s="366">
        <f>O72+L72+H72</f>
        <v>0</v>
      </c>
      <c r="Q72" s="383" t="s">
        <v>654</v>
      </c>
    </row>
    <row r="73" spans="1:17" ht="31.5" x14ac:dyDescent="0.25">
      <c r="A73" s="375"/>
      <c r="B73" s="378" t="s">
        <v>105</v>
      </c>
      <c r="C73" s="446"/>
      <c r="D73" s="446"/>
      <c r="E73" s="446"/>
      <c r="F73" s="446"/>
      <c r="G73" s="447"/>
      <c r="H73" s="366"/>
      <c r="I73" s="446"/>
      <c r="J73" s="446"/>
      <c r="K73" s="447"/>
      <c r="L73" s="366"/>
      <c r="M73" s="446"/>
      <c r="N73" s="447"/>
      <c r="O73" s="448"/>
      <c r="P73" s="366"/>
    </row>
    <row r="74" spans="1:17" x14ac:dyDescent="0.25">
      <c r="A74" s="450"/>
      <c r="B74" s="442"/>
      <c r="C74" s="370"/>
      <c r="D74" s="370"/>
      <c r="E74" s="370"/>
      <c r="F74" s="410"/>
      <c r="G74" s="371"/>
      <c r="H74" s="356">
        <f>SUM(C74:G74)</f>
        <v>0</v>
      </c>
      <c r="I74" s="410"/>
      <c r="J74" s="354"/>
      <c r="K74" s="437"/>
      <c r="L74" s="366">
        <f>SUM(I74:K74)</f>
        <v>0</v>
      </c>
      <c r="M74" s="354"/>
      <c r="N74" s="355"/>
      <c r="O74" s="356"/>
      <c r="P74" s="356">
        <f>O74+L74+H74</f>
        <v>0</v>
      </c>
      <c r="Q74" s="383" t="s">
        <v>783</v>
      </c>
    </row>
    <row r="75" spans="1:17" s="358" customFormat="1" x14ac:dyDescent="0.25">
      <c r="A75" s="375" t="s">
        <v>486</v>
      </c>
      <c r="B75" s="379" t="s">
        <v>487</v>
      </c>
      <c r="C75" s="380"/>
      <c r="D75" s="380"/>
      <c r="E75" s="380"/>
      <c r="F75" s="380"/>
      <c r="G75" s="381"/>
      <c r="H75" s="366"/>
      <c r="I75" s="380"/>
      <c r="J75" s="380"/>
      <c r="K75" s="381"/>
      <c r="L75" s="366"/>
      <c r="M75" s="380"/>
      <c r="N75" s="381"/>
      <c r="O75" s="366"/>
      <c r="P75" s="366"/>
    </row>
    <row r="76" spans="1:17" x14ac:dyDescent="0.25">
      <c r="A76" s="375"/>
      <c r="B76" s="377" t="s">
        <v>452</v>
      </c>
      <c r="C76" s="446"/>
      <c r="D76" s="446"/>
      <c r="E76" s="446"/>
      <c r="F76" s="446"/>
      <c r="G76" s="447"/>
      <c r="H76" s="356"/>
      <c r="I76" s="446"/>
      <c r="J76" s="446"/>
      <c r="K76" s="447"/>
      <c r="L76" s="366"/>
      <c r="M76" s="446"/>
      <c r="N76" s="447"/>
      <c r="O76" s="448"/>
      <c r="P76" s="356"/>
    </row>
    <row r="77" spans="1:17" ht="31.5" x14ac:dyDescent="0.25">
      <c r="A77" s="382"/>
      <c r="B77" s="895" t="s">
        <v>1176</v>
      </c>
      <c r="C77" s="446">
        <v>3664</v>
      </c>
      <c r="D77" s="438"/>
      <c r="E77" s="438">
        <f>4000+6210</f>
        <v>10210</v>
      </c>
      <c r="F77" s="438"/>
      <c r="G77" s="447"/>
      <c r="H77" s="356">
        <f t="shared" ref="H77" si="43">SUM(C77:G77)</f>
        <v>13874</v>
      </c>
      <c r="I77" s="446"/>
      <c r="J77" s="446"/>
      <c r="K77" s="449"/>
      <c r="L77" s="366">
        <f t="shared" ref="L77:L78" si="44">SUM(I77:K77)</f>
        <v>0</v>
      </c>
      <c r="M77" s="446"/>
      <c r="N77" s="449"/>
      <c r="O77" s="448"/>
      <c r="P77" s="356">
        <f t="shared" ref="P77:P78" si="45">O77+L77+H77</f>
        <v>13874</v>
      </c>
      <c r="Q77" s="383" t="s">
        <v>654</v>
      </c>
    </row>
    <row r="78" spans="1:17" ht="31.5" x14ac:dyDescent="0.25">
      <c r="A78" s="382"/>
      <c r="B78" s="895" t="s">
        <v>1176</v>
      </c>
      <c r="C78" s="446"/>
      <c r="D78" s="438"/>
      <c r="E78" s="438">
        <v>1114</v>
      </c>
      <c r="F78" s="438"/>
      <c r="G78" s="447"/>
      <c r="H78" s="356">
        <f t="shared" ref="H78" si="46">SUM(C78:G78)</f>
        <v>1114</v>
      </c>
      <c r="I78" s="446"/>
      <c r="J78" s="446"/>
      <c r="K78" s="449"/>
      <c r="L78" s="366">
        <f t="shared" si="44"/>
        <v>0</v>
      </c>
      <c r="M78" s="446"/>
      <c r="N78" s="449"/>
      <c r="O78" s="448"/>
      <c r="P78" s="356">
        <f t="shared" si="45"/>
        <v>1114</v>
      </c>
      <c r="Q78" s="383" t="s">
        <v>654</v>
      </c>
    </row>
    <row r="79" spans="1:17" ht="31.5" x14ac:dyDescent="0.25">
      <c r="A79" s="382"/>
      <c r="B79" s="895" t="s">
        <v>1177</v>
      </c>
      <c r="C79" s="446"/>
      <c r="D79" s="438"/>
      <c r="E79" s="438">
        <f>2601+697</f>
        <v>3298</v>
      </c>
      <c r="F79" s="438"/>
      <c r="G79" s="447"/>
      <c r="H79" s="356">
        <f t="shared" ref="H79" si="47">SUM(C79:G79)</f>
        <v>3298</v>
      </c>
      <c r="I79" s="446"/>
      <c r="J79" s="446"/>
      <c r="K79" s="449"/>
      <c r="L79" s="366">
        <f t="shared" ref="L79" si="48">SUM(I79:K79)</f>
        <v>0</v>
      </c>
      <c r="M79" s="446"/>
      <c r="N79" s="449"/>
      <c r="O79" s="448"/>
      <c r="P79" s="356">
        <f t="shared" ref="P79" si="49">O79+L79+H79</f>
        <v>3298</v>
      </c>
      <c r="Q79" s="383" t="s">
        <v>654</v>
      </c>
    </row>
    <row r="80" spans="1:17" ht="31.5" x14ac:dyDescent="0.25">
      <c r="A80" s="375"/>
      <c r="B80" s="377" t="s">
        <v>565</v>
      </c>
      <c r="C80" s="446"/>
      <c r="D80" s="438"/>
      <c r="E80" s="438"/>
      <c r="F80" s="438"/>
      <c r="G80" s="451"/>
      <c r="H80" s="366"/>
      <c r="I80" s="446"/>
      <c r="J80" s="446"/>
      <c r="K80" s="449"/>
      <c r="L80" s="366"/>
      <c r="M80" s="446"/>
      <c r="N80" s="449"/>
      <c r="O80" s="448"/>
      <c r="P80" s="366"/>
    </row>
    <row r="81" spans="1:17" ht="31.5" x14ac:dyDescent="0.25">
      <c r="A81" s="382"/>
      <c r="B81" s="896" t="s">
        <v>858</v>
      </c>
      <c r="C81" s="446"/>
      <c r="D81" s="438"/>
      <c r="E81" s="438"/>
      <c r="F81" s="438"/>
      <c r="G81" s="447">
        <v>35000</v>
      </c>
      <c r="H81" s="356">
        <f t="shared" ref="H81" si="50">SUM(C81:G81)</f>
        <v>35000</v>
      </c>
      <c r="I81" s="446"/>
      <c r="J81" s="446"/>
      <c r="K81" s="449"/>
      <c r="L81" s="366">
        <f t="shared" ref="L81" si="51">SUM(I81:K81)</f>
        <v>0</v>
      </c>
      <c r="M81" s="446"/>
      <c r="N81" s="449"/>
      <c r="O81" s="448"/>
      <c r="P81" s="356">
        <f t="shared" ref="P81" si="52">O81+L81+H81</f>
        <v>35000</v>
      </c>
      <c r="Q81" s="383" t="s">
        <v>658</v>
      </c>
    </row>
    <row r="82" spans="1:17" ht="31.5" x14ac:dyDescent="0.25">
      <c r="A82" s="382"/>
      <c r="B82" s="896" t="s">
        <v>858</v>
      </c>
      <c r="C82" s="446"/>
      <c r="D82" s="438"/>
      <c r="E82" s="438">
        <v>-844</v>
      </c>
      <c r="F82" s="438"/>
      <c r="G82" s="447"/>
      <c r="H82" s="356">
        <f t="shared" ref="H82" si="53">SUM(C82:G82)</f>
        <v>-844</v>
      </c>
      <c r="I82" s="446"/>
      <c r="J82" s="446"/>
      <c r="K82" s="449"/>
      <c r="L82" s="366">
        <f t="shared" ref="L82" si="54">SUM(I82:K82)</f>
        <v>0</v>
      </c>
      <c r="M82" s="446"/>
      <c r="N82" s="449"/>
      <c r="O82" s="448"/>
      <c r="P82" s="356">
        <f t="shared" ref="P82" si="55">O82+L82+H82</f>
        <v>-844</v>
      </c>
      <c r="Q82" s="383" t="s">
        <v>658</v>
      </c>
    </row>
    <row r="83" spans="1:17" x14ac:dyDescent="0.25">
      <c r="A83" s="375"/>
      <c r="B83" s="377" t="s">
        <v>671</v>
      </c>
      <c r="C83" s="446"/>
      <c r="D83" s="438"/>
      <c r="E83" s="438"/>
      <c r="F83" s="438"/>
      <c r="G83" s="451"/>
      <c r="H83" s="366"/>
      <c r="I83" s="446"/>
      <c r="J83" s="446"/>
      <c r="K83" s="449"/>
      <c r="L83" s="366"/>
      <c r="M83" s="446"/>
      <c r="N83" s="449"/>
      <c r="O83" s="448"/>
      <c r="P83" s="366"/>
    </row>
    <row r="84" spans="1:17" ht="31.5" x14ac:dyDescent="0.25">
      <c r="A84" s="382"/>
      <c r="B84" s="896" t="s">
        <v>858</v>
      </c>
      <c r="C84" s="446"/>
      <c r="D84" s="438"/>
      <c r="E84" s="438">
        <v>-2475</v>
      </c>
      <c r="F84" s="438"/>
      <c r="G84" s="438">
        <v>-35000</v>
      </c>
      <c r="H84" s="356">
        <f t="shared" ref="H84" si="56">SUM(C84:G84)</f>
        <v>-37475</v>
      </c>
      <c r="I84" s="446"/>
      <c r="J84" s="446">
        <v>2475</v>
      </c>
      <c r="K84" s="449"/>
      <c r="L84" s="366">
        <f t="shared" ref="L84" si="57">SUM(I84:K84)</f>
        <v>2475</v>
      </c>
      <c r="M84" s="446"/>
      <c r="N84" s="449"/>
      <c r="O84" s="448"/>
      <c r="P84" s="356">
        <f t="shared" ref="P84" si="58">O84+L84+H84</f>
        <v>-35000</v>
      </c>
      <c r="Q84" s="383" t="s">
        <v>658</v>
      </c>
    </row>
    <row r="85" spans="1:17" x14ac:dyDescent="0.25">
      <c r="A85" s="375"/>
      <c r="B85" s="377" t="s">
        <v>955</v>
      </c>
      <c r="C85" s="446"/>
      <c r="D85" s="438"/>
      <c r="E85" s="438"/>
      <c r="F85" s="438"/>
      <c r="G85" s="451"/>
      <c r="H85" s="366"/>
      <c r="I85" s="446"/>
      <c r="J85" s="446"/>
      <c r="K85" s="449"/>
      <c r="L85" s="366"/>
      <c r="M85" s="446"/>
      <c r="N85" s="449"/>
      <c r="O85" s="448"/>
      <c r="P85" s="366"/>
    </row>
    <row r="86" spans="1:17" ht="49.5" customHeight="1" x14ac:dyDescent="0.25">
      <c r="A86" s="382"/>
      <c r="B86" s="896" t="s">
        <v>1096</v>
      </c>
      <c r="C86" s="446"/>
      <c r="D86" s="438"/>
      <c r="E86" s="447">
        <v>-18085</v>
      </c>
      <c r="F86" s="438"/>
      <c r="G86" s="447"/>
      <c r="H86" s="356">
        <f t="shared" ref="H86" si="59">SUM(C86:G86)</f>
        <v>-18085</v>
      </c>
      <c r="I86" s="446"/>
      <c r="J86" s="446"/>
      <c r="K86" s="449"/>
      <c r="L86" s="366">
        <f t="shared" ref="L86" si="60">SUM(I86:K86)</f>
        <v>0</v>
      </c>
      <c r="M86" s="446"/>
      <c r="N86" s="449"/>
      <c r="O86" s="448"/>
      <c r="P86" s="356">
        <f t="shared" ref="P86" si="61">O86+L86+H86</f>
        <v>-18085</v>
      </c>
      <c r="Q86" s="383" t="s">
        <v>658</v>
      </c>
    </row>
    <row r="87" spans="1:17" ht="68.25" customHeight="1" x14ac:dyDescent="0.25">
      <c r="A87" s="382"/>
      <c r="B87" s="896" t="s">
        <v>1293</v>
      </c>
      <c r="C87" s="446"/>
      <c r="D87" s="438"/>
      <c r="E87" s="447">
        <v>-22709</v>
      </c>
      <c r="F87" s="438"/>
      <c r="G87" s="447"/>
      <c r="H87" s="356">
        <f t="shared" ref="H87" si="62">SUM(C87:G87)</f>
        <v>-22709</v>
      </c>
      <c r="I87" s="446"/>
      <c r="J87" s="446"/>
      <c r="K87" s="449"/>
      <c r="L87" s="366">
        <f t="shared" ref="L87" si="63">SUM(I87:K87)</f>
        <v>0</v>
      </c>
      <c r="M87" s="446"/>
      <c r="N87" s="449"/>
      <c r="O87" s="448"/>
      <c r="P87" s="356">
        <f t="shared" ref="P87" si="64">O87+L87+H87</f>
        <v>-22709</v>
      </c>
      <c r="Q87" s="383" t="s">
        <v>658</v>
      </c>
    </row>
    <row r="88" spans="1:17" x14ac:dyDescent="0.25">
      <c r="A88" s="375"/>
      <c r="B88" s="377" t="s">
        <v>1292</v>
      </c>
      <c r="C88" s="446"/>
      <c r="D88" s="438"/>
      <c r="E88" s="451"/>
      <c r="F88" s="438"/>
      <c r="G88" s="451"/>
      <c r="H88" s="366"/>
      <c r="I88" s="446"/>
      <c r="J88" s="446"/>
      <c r="K88" s="449"/>
      <c r="L88" s="366"/>
      <c r="M88" s="446"/>
      <c r="N88" s="449"/>
      <c r="O88" s="448"/>
      <c r="P88" s="366"/>
    </row>
    <row r="89" spans="1:17" ht="49.5" customHeight="1" x14ac:dyDescent="0.25">
      <c r="A89" s="382"/>
      <c r="B89" s="896" t="s">
        <v>1291</v>
      </c>
      <c r="C89" s="446"/>
      <c r="D89" s="438"/>
      <c r="E89" s="447">
        <v>10000</v>
      </c>
      <c r="F89" s="438"/>
      <c r="G89" s="447"/>
      <c r="H89" s="356">
        <f t="shared" ref="H89" si="65">SUM(C89:G89)</f>
        <v>10000</v>
      </c>
      <c r="I89" s="446"/>
      <c r="J89" s="446"/>
      <c r="K89" s="449"/>
      <c r="L89" s="366">
        <f t="shared" ref="L89" si="66">SUM(I89:K89)</f>
        <v>0</v>
      </c>
      <c r="M89" s="446"/>
      <c r="N89" s="449"/>
      <c r="O89" s="448"/>
      <c r="P89" s="356">
        <f t="shared" ref="P89" si="67">O89+L89+H89</f>
        <v>10000</v>
      </c>
      <c r="Q89" s="383" t="s">
        <v>658</v>
      </c>
    </row>
    <row r="90" spans="1:17" x14ac:dyDescent="0.25">
      <c r="A90" s="382"/>
      <c r="B90" s="384"/>
      <c r="C90" s="446"/>
      <c r="D90" s="438"/>
      <c r="E90" s="438"/>
      <c r="F90" s="438"/>
      <c r="G90" s="447"/>
      <c r="H90" s="356"/>
      <c r="I90" s="446"/>
      <c r="J90" s="446"/>
      <c r="K90" s="449"/>
      <c r="L90" s="366"/>
      <c r="M90" s="446"/>
      <c r="N90" s="449"/>
      <c r="O90" s="448"/>
      <c r="P90" s="356"/>
    </row>
    <row r="91" spans="1:17" s="358" customFormat="1" x14ac:dyDescent="0.25">
      <c r="A91" s="375" t="s">
        <v>41</v>
      </c>
      <c r="B91" s="379" t="s">
        <v>42</v>
      </c>
      <c r="C91" s="380"/>
      <c r="D91" s="380"/>
      <c r="E91" s="380"/>
      <c r="F91" s="380"/>
      <c r="G91" s="381"/>
      <c r="H91" s="366"/>
      <c r="I91" s="380"/>
      <c r="J91" s="380"/>
      <c r="K91" s="381"/>
      <c r="L91" s="366"/>
      <c r="M91" s="380"/>
      <c r="N91" s="381"/>
      <c r="O91" s="366"/>
      <c r="P91" s="366"/>
    </row>
    <row r="92" spans="1:17" ht="31.5" x14ac:dyDescent="0.25">
      <c r="A92" s="375"/>
      <c r="B92" s="378" t="s">
        <v>781</v>
      </c>
      <c r="C92" s="446"/>
      <c r="D92" s="438"/>
      <c r="E92" s="438"/>
      <c r="F92" s="438"/>
      <c r="G92" s="447"/>
      <c r="H92" s="356"/>
      <c r="I92" s="446"/>
      <c r="J92" s="446"/>
      <c r="K92" s="449"/>
      <c r="L92" s="366"/>
      <c r="M92" s="446"/>
      <c r="N92" s="449"/>
      <c r="O92" s="448"/>
      <c r="P92" s="356"/>
    </row>
    <row r="93" spans="1:17" x14ac:dyDescent="0.25">
      <c r="A93" s="375"/>
      <c r="B93" s="377" t="s">
        <v>452</v>
      </c>
      <c r="C93" s="446"/>
      <c r="D93" s="446"/>
      <c r="E93" s="446"/>
      <c r="F93" s="446"/>
      <c r="G93" s="447"/>
      <c r="H93" s="356"/>
      <c r="I93" s="446"/>
      <c r="J93" s="446"/>
      <c r="K93" s="447"/>
      <c r="L93" s="366"/>
      <c r="M93" s="446"/>
      <c r="N93" s="447"/>
      <c r="O93" s="448"/>
      <c r="P93" s="356"/>
    </row>
    <row r="94" spans="1:17" ht="47.25" x14ac:dyDescent="0.25">
      <c r="A94" s="382"/>
      <c r="B94" s="384" t="s">
        <v>1012</v>
      </c>
      <c r="C94" s="446"/>
      <c r="D94" s="446"/>
      <c r="E94" s="446"/>
      <c r="F94" s="438"/>
      <c r="G94" s="447"/>
      <c r="H94" s="356">
        <f t="shared" ref="H94:H96" si="68">SUM(C94:G94)</f>
        <v>0</v>
      </c>
      <c r="I94" s="446">
        <v>70000</v>
      </c>
      <c r="J94" s="446"/>
      <c r="K94" s="449"/>
      <c r="L94" s="366">
        <f t="shared" ref="L94:L96" si="69">SUM(I94:K94)</f>
        <v>70000</v>
      </c>
      <c r="M94" s="446"/>
      <c r="N94" s="449"/>
      <c r="O94" s="448"/>
      <c r="P94" s="356">
        <f t="shared" ref="P94:P96" si="70">O94+L94+H94</f>
        <v>70000</v>
      </c>
      <c r="Q94" s="383" t="s">
        <v>658</v>
      </c>
    </row>
    <row r="95" spans="1:17" ht="78.75" x14ac:dyDescent="0.25">
      <c r="A95" s="382"/>
      <c r="B95" s="384" t="s">
        <v>1030</v>
      </c>
      <c r="C95" s="446"/>
      <c r="D95" s="446"/>
      <c r="E95" s="446"/>
      <c r="F95" s="438"/>
      <c r="G95" s="447"/>
      <c r="H95" s="356">
        <f t="shared" si="68"/>
        <v>0</v>
      </c>
      <c r="I95" s="446"/>
      <c r="J95" s="897">
        <f>15000+5921</f>
        <v>20921</v>
      </c>
      <c r="K95" s="449"/>
      <c r="L95" s="366">
        <f t="shared" si="69"/>
        <v>20921</v>
      </c>
      <c r="M95" s="446"/>
      <c r="N95" s="449"/>
      <c r="O95" s="448"/>
      <c r="P95" s="356">
        <f t="shared" si="70"/>
        <v>20921</v>
      </c>
      <c r="Q95" s="383" t="s">
        <v>658</v>
      </c>
    </row>
    <row r="96" spans="1:17" ht="31.5" x14ac:dyDescent="0.25">
      <c r="A96" s="382"/>
      <c r="B96" s="384" t="s">
        <v>1031</v>
      </c>
      <c r="C96" s="446"/>
      <c r="D96" s="446"/>
      <c r="E96" s="446"/>
      <c r="F96" s="438"/>
      <c r="G96" s="447"/>
      <c r="H96" s="356">
        <f t="shared" si="68"/>
        <v>0</v>
      </c>
      <c r="I96" s="446">
        <v>5921</v>
      </c>
      <c r="J96" s="446"/>
      <c r="K96" s="449"/>
      <c r="L96" s="366">
        <f t="shared" si="69"/>
        <v>5921</v>
      </c>
      <c r="M96" s="446"/>
      <c r="N96" s="449"/>
      <c r="O96" s="448"/>
      <c r="P96" s="356">
        <f t="shared" si="70"/>
        <v>5921</v>
      </c>
      <c r="Q96" s="383" t="s">
        <v>658</v>
      </c>
    </row>
    <row r="97" spans="1:17" ht="31.5" x14ac:dyDescent="0.25">
      <c r="A97" s="382"/>
      <c r="B97" s="384" t="s">
        <v>1032</v>
      </c>
      <c r="C97" s="446"/>
      <c r="D97" s="446"/>
      <c r="E97" s="446"/>
      <c r="F97" s="438"/>
      <c r="G97" s="447"/>
      <c r="H97" s="356">
        <f t="shared" ref="H97:H101" si="71">SUM(C97:G97)</f>
        <v>0</v>
      </c>
      <c r="I97" s="446">
        <v>1483</v>
      </c>
      <c r="J97" s="446">
        <v>725</v>
      </c>
      <c r="K97" s="449"/>
      <c r="L97" s="366">
        <f t="shared" ref="L97:L101" si="72">SUM(I97:K97)</f>
        <v>2208</v>
      </c>
      <c r="M97" s="446"/>
      <c r="N97" s="449"/>
      <c r="O97" s="448"/>
      <c r="P97" s="356">
        <f t="shared" ref="P97:P101" si="73">O97+L97+H97</f>
        <v>2208</v>
      </c>
      <c r="Q97" s="383" t="s">
        <v>658</v>
      </c>
    </row>
    <row r="98" spans="1:17" x14ac:dyDescent="0.25">
      <c r="A98" s="382"/>
      <c r="B98" s="377" t="s">
        <v>1159</v>
      </c>
      <c r="C98" s="446"/>
      <c r="D98" s="446"/>
      <c r="E98" s="446"/>
      <c r="F98" s="438"/>
      <c r="G98" s="447"/>
      <c r="H98" s="356"/>
      <c r="I98" s="446"/>
      <c r="J98" s="446"/>
      <c r="K98" s="449"/>
      <c r="L98" s="366"/>
      <c r="M98" s="446"/>
      <c r="N98" s="449"/>
      <c r="O98" s="448"/>
      <c r="P98" s="356"/>
    </row>
    <row r="99" spans="1:17" ht="47.25" x14ac:dyDescent="0.25">
      <c r="A99" s="382"/>
      <c r="B99" s="384" t="s">
        <v>1226</v>
      </c>
      <c r="C99" s="446"/>
      <c r="D99" s="446"/>
      <c r="E99" s="446"/>
      <c r="F99" s="438"/>
      <c r="G99" s="447"/>
      <c r="H99" s="356">
        <f t="shared" ref="H99:H100" si="74">SUM(C99:G99)</f>
        <v>0</v>
      </c>
      <c r="I99" s="446">
        <v>-7294</v>
      </c>
      <c r="J99" s="446"/>
      <c r="K99" s="449"/>
      <c r="L99" s="366">
        <f t="shared" ref="L99:L100" si="75">SUM(I99:K99)</f>
        <v>-7294</v>
      </c>
      <c r="M99" s="446"/>
      <c r="N99" s="449"/>
      <c r="O99" s="448"/>
      <c r="P99" s="356">
        <f t="shared" ref="P99:P100" si="76">O99+L99+H99</f>
        <v>-7294</v>
      </c>
      <c r="Q99" s="383" t="s">
        <v>658</v>
      </c>
    </row>
    <row r="100" spans="1:17" ht="47.25" x14ac:dyDescent="0.25">
      <c r="A100" s="382"/>
      <c r="B100" s="384" t="s">
        <v>1070</v>
      </c>
      <c r="C100" s="446"/>
      <c r="D100" s="446"/>
      <c r="E100" s="446"/>
      <c r="F100" s="438"/>
      <c r="G100" s="447"/>
      <c r="H100" s="356">
        <f t="shared" si="74"/>
        <v>0</v>
      </c>
      <c r="I100" s="446">
        <v>-343141</v>
      </c>
      <c r="J100" s="446"/>
      <c r="K100" s="449"/>
      <c r="L100" s="366">
        <f t="shared" si="75"/>
        <v>-343141</v>
      </c>
      <c r="M100" s="446"/>
      <c r="N100" s="449"/>
      <c r="O100" s="448"/>
      <c r="P100" s="356">
        <f t="shared" si="76"/>
        <v>-343141</v>
      </c>
      <c r="Q100" s="383" t="s">
        <v>658</v>
      </c>
    </row>
    <row r="101" spans="1:17" ht="47.25" x14ac:dyDescent="0.25">
      <c r="A101" s="382"/>
      <c r="B101" s="384" t="s">
        <v>1012</v>
      </c>
      <c r="C101" s="446"/>
      <c r="D101" s="446"/>
      <c r="E101" s="446"/>
      <c r="F101" s="438"/>
      <c r="G101" s="447"/>
      <c r="H101" s="356">
        <f t="shared" si="71"/>
        <v>0</v>
      </c>
      <c r="I101" s="446">
        <v>-61322</v>
      </c>
      <c r="J101" s="446"/>
      <c r="K101" s="449"/>
      <c r="L101" s="366">
        <f t="shared" si="72"/>
        <v>-61322</v>
      </c>
      <c r="M101" s="446"/>
      <c r="N101" s="449"/>
      <c r="O101" s="448"/>
      <c r="P101" s="356">
        <f t="shared" si="73"/>
        <v>-61322</v>
      </c>
      <c r="Q101" s="383" t="s">
        <v>658</v>
      </c>
    </row>
    <row r="102" spans="1:17" x14ac:dyDescent="0.25">
      <c r="A102" s="382"/>
      <c r="B102" s="377" t="s">
        <v>671</v>
      </c>
      <c r="C102" s="446"/>
      <c r="D102" s="446"/>
      <c r="E102" s="446"/>
      <c r="F102" s="438"/>
      <c r="G102" s="447"/>
      <c r="H102" s="356"/>
      <c r="I102" s="446"/>
      <c r="J102" s="446"/>
      <c r="K102" s="449"/>
      <c r="L102" s="366"/>
      <c r="M102" s="446"/>
      <c r="N102" s="449"/>
      <c r="O102" s="448"/>
      <c r="P102" s="356"/>
    </row>
    <row r="103" spans="1:17" ht="94.5" x14ac:dyDescent="0.25">
      <c r="A103" s="382"/>
      <c r="B103" s="384" t="s">
        <v>1068</v>
      </c>
      <c r="C103" s="446"/>
      <c r="D103" s="446"/>
      <c r="E103" s="446"/>
      <c r="F103" s="438"/>
      <c r="G103" s="447"/>
      <c r="H103" s="356">
        <f t="shared" ref="H103:H105" si="77">SUM(C103:G103)</f>
        <v>0</v>
      </c>
      <c r="I103" s="446">
        <v>5000</v>
      </c>
      <c r="J103" s="446">
        <v>-5000</v>
      </c>
      <c r="K103" s="449"/>
      <c r="L103" s="366">
        <f t="shared" ref="L103:L105" si="78">SUM(I103:K103)</f>
        <v>0</v>
      </c>
      <c r="M103" s="446"/>
      <c r="N103" s="449"/>
      <c r="O103" s="448"/>
      <c r="P103" s="356">
        <f t="shared" ref="P103:P105" si="79">O103+L103+H103</f>
        <v>0</v>
      </c>
      <c r="Q103" s="383" t="s">
        <v>658</v>
      </c>
    </row>
    <row r="104" spans="1:17" x14ac:dyDescent="0.25">
      <c r="A104" s="382"/>
      <c r="B104" s="384" t="s">
        <v>1069</v>
      </c>
      <c r="C104" s="446"/>
      <c r="D104" s="446"/>
      <c r="E104" s="446">
        <v>156</v>
      </c>
      <c r="F104" s="438"/>
      <c r="G104" s="447"/>
      <c r="H104" s="356">
        <f t="shared" si="77"/>
        <v>156</v>
      </c>
      <c r="I104" s="446">
        <v>-156</v>
      </c>
      <c r="J104" s="446"/>
      <c r="K104" s="449"/>
      <c r="L104" s="366">
        <f t="shared" si="78"/>
        <v>-156</v>
      </c>
      <c r="M104" s="446"/>
      <c r="N104" s="449"/>
      <c r="O104" s="448"/>
      <c r="P104" s="356">
        <f t="shared" si="79"/>
        <v>0</v>
      </c>
      <c r="Q104" s="383" t="s">
        <v>658</v>
      </c>
    </row>
    <row r="105" spans="1:17" ht="47.25" x14ac:dyDescent="0.25">
      <c r="A105" s="382"/>
      <c r="B105" s="384" t="s">
        <v>1070</v>
      </c>
      <c r="C105" s="446"/>
      <c r="D105" s="446"/>
      <c r="E105" s="446"/>
      <c r="F105" s="438"/>
      <c r="G105" s="447"/>
      <c r="H105" s="356">
        <f t="shared" si="77"/>
        <v>0</v>
      </c>
      <c r="I105" s="446">
        <v>-6971</v>
      </c>
      <c r="J105" s="446"/>
      <c r="K105" s="449">
        <v>6971</v>
      </c>
      <c r="L105" s="366">
        <f t="shared" si="78"/>
        <v>0</v>
      </c>
      <c r="M105" s="446"/>
      <c r="N105" s="449"/>
      <c r="O105" s="448"/>
      <c r="P105" s="356">
        <f t="shared" si="79"/>
        <v>0</v>
      </c>
      <c r="Q105" s="383" t="s">
        <v>658</v>
      </c>
    </row>
    <row r="106" spans="1:17" ht="31.5" x14ac:dyDescent="0.25">
      <c r="A106" s="382"/>
      <c r="B106" s="384" t="s">
        <v>1071</v>
      </c>
      <c r="C106" s="446"/>
      <c r="D106" s="446"/>
      <c r="E106" s="446"/>
      <c r="F106" s="438"/>
      <c r="G106" s="447"/>
      <c r="H106" s="356">
        <f t="shared" ref="H106:H107" si="80">SUM(C106:G106)</f>
        <v>0</v>
      </c>
      <c r="I106" s="446">
        <f>208+844</f>
        <v>1052</v>
      </c>
      <c r="J106" s="446">
        <f>-208-844</f>
        <v>-1052</v>
      </c>
      <c r="K106" s="449"/>
      <c r="L106" s="366">
        <f t="shared" ref="L106:L107" si="81">SUM(I106:K106)</f>
        <v>0</v>
      </c>
      <c r="M106" s="446"/>
      <c r="N106" s="449"/>
      <c r="O106" s="448"/>
      <c r="P106" s="356">
        <f t="shared" ref="P106:P107" si="82">O106+L106+H106</f>
        <v>0</v>
      </c>
      <c r="Q106" s="383" t="s">
        <v>658</v>
      </c>
    </row>
    <row r="107" spans="1:17" ht="47.25" x14ac:dyDescent="0.25">
      <c r="A107" s="382"/>
      <c r="B107" s="384" t="s">
        <v>1072</v>
      </c>
      <c r="C107" s="446"/>
      <c r="D107" s="446"/>
      <c r="E107" s="446">
        <v>13020</v>
      </c>
      <c r="F107" s="438"/>
      <c r="G107" s="447"/>
      <c r="H107" s="356">
        <f t="shared" si="80"/>
        <v>13020</v>
      </c>
      <c r="I107" s="446"/>
      <c r="J107" s="446">
        <v>-13020</v>
      </c>
      <c r="K107" s="449"/>
      <c r="L107" s="366">
        <f t="shared" si="81"/>
        <v>-13020</v>
      </c>
      <c r="M107" s="446"/>
      <c r="N107" s="449"/>
      <c r="O107" s="448"/>
      <c r="P107" s="356">
        <f t="shared" si="82"/>
        <v>0</v>
      </c>
      <c r="Q107" s="383" t="s">
        <v>658</v>
      </c>
    </row>
    <row r="108" spans="1:17" ht="31.5" x14ac:dyDescent="0.25">
      <c r="A108" s="382"/>
      <c r="B108" s="377" t="s">
        <v>565</v>
      </c>
      <c r="C108" s="446"/>
      <c r="D108" s="446"/>
      <c r="E108" s="446"/>
      <c r="F108" s="438"/>
      <c r="G108" s="447"/>
      <c r="H108" s="356">
        <f t="shared" ref="H108:H109" si="83">SUM(C108:G108)</f>
        <v>0</v>
      </c>
      <c r="I108" s="446"/>
      <c r="J108" s="446"/>
      <c r="K108" s="449"/>
      <c r="L108" s="366">
        <f t="shared" ref="L108:L109" si="84">SUM(I108:K108)</f>
        <v>0</v>
      </c>
      <c r="M108" s="446"/>
      <c r="N108" s="449"/>
      <c r="O108" s="448"/>
      <c r="P108" s="356">
        <f t="shared" ref="P108:P109" si="85">O108+L108+H108</f>
        <v>0</v>
      </c>
    </row>
    <row r="109" spans="1:17" ht="31.5" x14ac:dyDescent="0.25">
      <c r="A109" s="382"/>
      <c r="B109" s="384" t="s">
        <v>994</v>
      </c>
      <c r="C109" s="446"/>
      <c r="D109" s="446"/>
      <c r="E109" s="446"/>
      <c r="F109" s="438"/>
      <c r="G109" s="447"/>
      <c r="H109" s="356">
        <f t="shared" si="83"/>
        <v>0</v>
      </c>
      <c r="I109" s="438">
        <f>-889-6550-6162</f>
        <v>-13601</v>
      </c>
      <c r="K109" s="449"/>
      <c r="L109" s="366">
        <f t="shared" si="84"/>
        <v>-13601</v>
      </c>
      <c r="M109" s="446"/>
      <c r="N109" s="449"/>
      <c r="O109" s="448"/>
      <c r="P109" s="356">
        <f t="shared" si="85"/>
        <v>-13601</v>
      </c>
      <c r="Q109" s="383" t="s">
        <v>654</v>
      </c>
    </row>
    <row r="110" spans="1:17" ht="35.25" customHeight="1" x14ac:dyDescent="0.25">
      <c r="A110" s="382"/>
      <c r="B110" s="384" t="s">
        <v>995</v>
      </c>
      <c r="C110" s="446"/>
      <c r="D110" s="446"/>
      <c r="E110" s="446"/>
      <c r="F110" s="438"/>
      <c r="G110" s="447"/>
      <c r="H110" s="356">
        <f t="shared" ref="H110:H113" si="86">SUM(C110:G110)</f>
        <v>0</v>
      </c>
      <c r="I110" s="446"/>
      <c r="J110" s="446">
        <f>889</f>
        <v>889</v>
      </c>
      <c r="K110" s="449"/>
      <c r="L110" s="366">
        <f>SUM(I110:K110)</f>
        <v>889</v>
      </c>
      <c r="M110" s="446"/>
      <c r="N110" s="449"/>
      <c r="O110" s="448"/>
      <c r="P110" s="356">
        <f t="shared" ref="P110:P113" si="87">O110+L110+H110</f>
        <v>889</v>
      </c>
      <c r="Q110" s="383" t="s">
        <v>654</v>
      </c>
    </row>
    <row r="111" spans="1:17" x14ac:dyDescent="0.25">
      <c r="A111" s="382"/>
      <c r="B111" s="384" t="s">
        <v>1006</v>
      </c>
      <c r="C111" s="446"/>
      <c r="D111" s="446"/>
      <c r="E111" s="446"/>
      <c r="F111" s="438"/>
      <c r="G111" s="447"/>
      <c r="H111" s="356">
        <f t="shared" si="86"/>
        <v>0</v>
      </c>
      <c r="I111" s="446">
        <v>1478</v>
      </c>
      <c r="J111" s="446">
        <v>5072</v>
      </c>
      <c r="K111" s="449"/>
      <c r="L111" s="366">
        <f t="shared" ref="L111:L113" si="88">SUM(I111:K111)</f>
        <v>6550</v>
      </c>
      <c r="M111" s="446"/>
      <c r="N111" s="449"/>
      <c r="O111" s="448"/>
      <c r="P111" s="356">
        <f t="shared" si="87"/>
        <v>6550</v>
      </c>
      <c r="Q111" s="383" t="s">
        <v>654</v>
      </c>
    </row>
    <row r="112" spans="1:17" ht="130.5" customHeight="1" x14ac:dyDescent="0.25">
      <c r="A112" s="382"/>
      <c r="B112" s="384" t="s">
        <v>998</v>
      </c>
      <c r="C112" s="446"/>
      <c r="D112" s="446"/>
      <c r="E112" s="446"/>
      <c r="F112" s="438"/>
      <c r="G112" s="447"/>
      <c r="H112" s="356">
        <f t="shared" si="86"/>
        <v>0</v>
      </c>
      <c r="I112" s="446"/>
      <c r="J112" s="446">
        <v>6162</v>
      </c>
      <c r="K112" s="449"/>
      <c r="L112" s="366">
        <f t="shared" si="88"/>
        <v>6162</v>
      </c>
      <c r="M112" s="446"/>
      <c r="N112" s="449"/>
      <c r="O112" s="448"/>
      <c r="P112" s="356">
        <f t="shared" si="87"/>
        <v>6162</v>
      </c>
      <c r="Q112" s="383" t="s">
        <v>654</v>
      </c>
    </row>
    <row r="113" spans="1:17" ht="31.5" x14ac:dyDescent="0.25">
      <c r="A113" s="382"/>
      <c r="B113" s="409" t="s">
        <v>1018</v>
      </c>
      <c r="C113" s="446"/>
      <c r="D113" s="446"/>
      <c r="E113" s="446">
        <v>635</v>
      </c>
      <c r="F113" s="438"/>
      <c r="G113" s="447"/>
      <c r="H113" s="356">
        <f t="shared" si="86"/>
        <v>635</v>
      </c>
      <c r="I113" s="446"/>
      <c r="J113" s="446"/>
      <c r="K113" s="449"/>
      <c r="L113" s="366">
        <f t="shared" si="88"/>
        <v>0</v>
      </c>
      <c r="M113" s="446"/>
      <c r="N113" s="449"/>
      <c r="O113" s="448"/>
      <c r="P113" s="356">
        <f t="shared" si="87"/>
        <v>635</v>
      </c>
      <c r="Q113" s="383" t="s">
        <v>654</v>
      </c>
    </row>
    <row r="114" spans="1:17" ht="78.75" x14ac:dyDescent="0.25">
      <c r="A114" s="382"/>
      <c r="B114" s="409" t="s">
        <v>1030</v>
      </c>
      <c r="C114" s="446"/>
      <c r="D114" s="446"/>
      <c r="E114" s="446"/>
      <c r="F114" s="438"/>
      <c r="G114" s="447"/>
      <c r="H114" s="356">
        <f t="shared" ref="H114:H116" si="89">SUM(C114:G114)</f>
        <v>0</v>
      </c>
      <c r="I114" s="446">
        <v>7140</v>
      </c>
      <c r="J114" s="446">
        <f>9586-7140</f>
        <v>2446</v>
      </c>
      <c r="K114" s="449"/>
      <c r="L114" s="366">
        <f t="shared" ref="L114:L116" si="90">SUM(I114:K114)</f>
        <v>9586</v>
      </c>
      <c r="M114" s="446"/>
      <c r="N114" s="449"/>
      <c r="O114" s="448"/>
      <c r="P114" s="356">
        <f t="shared" ref="P114:P116" si="91">O114+L114+H114</f>
        <v>9586</v>
      </c>
      <c r="Q114" s="383" t="s">
        <v>658</v>
      </c>
    </row>
    <row r="115" spans="1:17" ht="31.5" x14ac:dyDescent="0.25">
      <c r="A115" s="382"/>
      <c r="B115" s="409" t="s">
        <v>1029</v>
      </c>
      <c r="C115" s="446"/>
      <c r="D115" s="446"/>
      <c r="E115" s="446">
        <v>662</v>
      </c>
      <c r="F115" s="438"/>
      <c r="G115" s="447"/>
      <c r="H115" s="356">
        <f t="shared" si="89"/>
        <v>662</v>
      </c>
      <c r="I115" s="446">
        <f>6677-662</f>
        <v>6015</v>
      </c>
      <c r="J115" s="446"/>
      <c r="K115" s="449"/>
      <c r="L115" s="366">
        <f t="shared" si="90"/>
        <v>6015</v>
      </c>
      <c r="M115" s="446"/>
      <c r="N115" s="449"/>
      <c r="O115" s="448"/>
      <c r="P115" s="356">
        <f t="shared" si="91"/>
        <v>6677</v>
      </c>
      <c r="Q115" s="383" t="s">
        <v>658</v>
      </c>
    </row>
    <row r="116" spans="1:17" ht="47.25" x14ac:dyDescent="0.25">
      <c r="A116" s="382"/>
      <c r="B116" s="384" t="s">
        <v>1035</v>
      </c>
      <c r="C116" s="446"/>
      <c r="D116" s="446"/>
      <c r="E116" s="446">
        <v>6</v>
      </c>
      <c r="F116" s="438"/>
      <c r="G116" s="447"/>
      <c r="H116" s="356">
        <f t="shared" si="89"/>
        <v>6</v>
      </c>
      <c r="I116" s="446"/>
      <c r="J116" s="446">
        <f>7500+7500-6</f>
        <v>14994</v>
      </c>
      <c r="K116" s="449"/>
      <c r="L116" s="366">
        <f t="shared" si="90"/>
        <v>14994</v>
      </c>
      <c r="M116" s="446"/>
      <c r="N116" s="449"/>
      <c r="O116" s="448"/>
      <c r="P116" s="356">
        <f t="shared" si="91"/>
        <v>15000</v>
      </c>
      <c r="Q116" s="383" t="s">
        <v>658</v>
      </c>
    </row>
    <row r="117" spans="1:17" x14ac:dyDescent="0.25">
      <c r="A117" s="375"/>
      <c r="B117" s="378" t="s">
        <v>84</v>
      </c>
      <c r="C117" s="446"/>
      <c r="D117" s="438"/>
      <c r="E117" s="438"/>
      <c r="F117" s="438"/>
      <c r="G117" s="447"/>
      <c r="H117" s="366"/>
      <c r="I117" s="446"/>
      <c r="J117" s="446"/>
      <c r="K117" s="449"/>
      <c r="L117" s="366"/>
      <c r="M117" s="446"/>
      <c r="N117" s="449"/>
      <c r="O117" s="448"/>
      <c r="P117" s="366"/>
    </row>
    <row r="118" spans="1:17" x14ac:dyDescent="0.25">
      <c r="A118" s="375"/>
      <c r="B118" s="377" t="s">
        <v>452</v>
      </c>
      <c r="C118" s="446"/>
      <c r="D118" s="446"/>
      <c r="E118" s="446"/>
      <c r="F118" s="446"/>
      <c r="G118" s="447"/>
      <c r="H118" s="356"/>
      <c r="I118" s="446"/>
      <c r="J118" s="446"/>
      <c r="K118" s="447"/>
      <c r="L118" s="366"/>
      <c r="M118" s="446"/>
      <c r="N118" s="447"/>
      <c r="O118" s="448"/>
      <c r="P118" s="356"/>
    </row>
    <row r="119" spans="1:17" ht="31.5" x14ac:dyDescent="0.25">
      <c r="A119" s="452"/>
      <c r="B119" s="376" t="s">
        <v>1000</v>
      </c>
      <c r="C119" s="446"/>
      <c r="D119" s="438"/>
      <c r="E119" s="438">
        <v>57526</v>
      </c>
      <c r="G119" s="451"/>
      <c r="H119" s="356">
        <f>SUM(C119:G119)</f>
        <v>57526</v>
      </c>
      <c r="I119" s="446">
        <v>213057</v>
      </c>
      <c r="J119" s="446"/>
      <c r="K119" s="446"/>
      <c r="L119" s="366">
        <f>SUM(I119:K119)</f>
        <v>213057</v>
      </c>
      <c r="M119" s="446"/>
      <c r="N119" s="449"/>
      <c r="O119" s="448"/>
      <c r="P119" s="356">
        <f>O119+L119+H119</f>
        <v>270583</v>
      </c>
      <c r="Q119" s="383" t="s">
        <v>654</v>
      </c>
    </row>
    <row r="120" spans="1:17" x14ac:dyDescent="0.25">
      <c r="A120" s="452"/>
      <c r="B120" s="376" t="s">
        <v>1013</v>
      </c>
      <c r="C120" s="446"/>
      <c r="D120" s="438"/>
      <c r="E120" s="438"/>
      <c r="F120" s="438"/>
      <c r="G120" s="451"/>
      <c r="H120" s="356">
        <f t="shared" ref="H120" si="92">SUM(C120:G120)</f>
        <v>0</v>
      </c>
      <c r="I120" s="446">
        <v>13500</v>
      </c>
      <c r="J120" s="446"/>
      <c r="K120" s="449"/>
      <c r="L120" s="366">
        <f t="shared" ref="L120" si="93">SUM(I120:K120)</f>
        <v>13500</v>
      </c>
      <c r="M120" s="446"/>
      <c r="N120" s="449"/>
      <c r="O120" s="448"/>
      <c r="P120" s="356">
        <f t="shared" ref="P120" si="94">O120+L120+H120</f>
        <v>13500</v>
      </c>
      <c r="Q120" s="383" t="s">
        <v>654</v>
      </c>
    </row>
    <row r="121" spans="1:17" x14ac:dyDescent="0.25">
      <c r="A121" s="452"/>
      <c r="B121" s="376" t="s">
        <v>947</v>
      </c>
      <c r="C121" s="446"/>
      <c r="D121" s="438"/>
      <c r="E121" s="438"/>
      <c r="F121" s="438"/>
      <c r="G121" s="451"/>
      <c r="H121" s="356">
        <f t="shared" ref="H121:H123" si="95">SUM(C121:G121)</f>
        <v>0</v>
      </c>
      <c r="I121" s="446">
        <v>21667</v>
      </c>
      <c r="J121" s="446"/>
      <c r="K121" s="449"/>
      <c r="L121" s="366">
        <f t="shared" ref="L121:L123" si="96">SUM(I121:K121)</f>
        <v>21667</v>
      </c>
      <c r="M121" s="446"/>
      <c r="N121" s="449"/>
      <c r="O121" s="448"/>
      <c r="P121" s="356">
        <f t="shared" ref="P121:P123" si="97">O121+L121+H121</f>
        <v>21667</v>
      </c>
      <c r="Q121" s="383" t="s">
        <v>655</v>
      </c>
    </row>
    <row r="122" spans="1:17" ht="31.5" x14ac:dyDescent="0.25">
      <c r="A122" s="452"/>
      <c r="B122" s="376" t="s">
        <v>1063</v>
      </c>
      <c r="C122" s="446"/>
      <c r="D122" s="438"/>
      <c r="E122" s="438">
        <f>56000-25000</f>
        <v>31000</v>
      </c>
      <c r="F122" s="438"/>
      <c r="G122" s="451"/>
      <c r="H122" s="356">
        <f t="shared" ref="H122" si="98">SUM(C122:G122)</f>
        <v>31000</v>
      </c>
      <c r="I122" s="446">
        <v>25000</v>
      </c>
      <c r="J122" s="446"/>
      <c r="K122" s="449"/>
      <c r="L122" s="366">
        <f t="shared" ref="L122" si="99">SUM(I122:K122)</f>
        <v>25000</v>
      </c>
      <c r="M122" s="446"/>
      <c r="N122" s="449"/>
      <c r="O122" s="448"/>
      <c r="P122" s="356">
        <f t="shared" ref="P122" si="100">O122+L122+H122</f>
        <v>56000</v>
      </c>
      <c r="Q122" s="383" t="s">
        <v>655</v>
      </c>
    </row>
    <row r="123" spans="1:17" ht="31.5" x14ac:dyDescent="0.25">
      <c r="A123" s="452"/>
      <c r="B123" s="376" t="s">
        <v>1234</v>
      </c>
      <c r="C123" s="446"/>
      <c r="D123" s="438"/>
      <c r="E123" s="438"/>
      <c r="F123" s="438"/>
      <c r="G123" s="451"/>
      <c r="H123" s="356">
        <f t="shared" si="95"/>
        <v>0</v>
      </c>
      <c r="I123" s="446">
        <v>5825</v>
      </c>
      <c r="J123" s="446"/>
      <c r="K123" s="449"/>
      <c r="L123" s="366">
        <f t="shared" si="96"/>
        <v>5825</v>
      </c>
      <c r="M123" s="446"/>
      <c r="N123" s="449"/>
      <c r="O123" s="448"/>
      <c r="P123" s="356">
        <f t="shared" si="97"/>
        <v>5825</v>
      </c>
      <c r="Q123" s="383" t="s">
        <v>655</v>
      </c>
    </row>
    <row r="124" spans="1:17" ht="47.25" x14ac:dyDescent="0.25">
      <c r="A124" s="452"/>
      <c r="B124" s="376" t="s">
        <v>1237</v>
      </c>
      <c r="C124" s="446"/>
      <c r="D124" s="438"/>
      <c r="E124" s="438">
        <v>275000</v>
      </c>
      <c r="F124" s="438"/>
      <c r="G124" s="451"/>
      <c r="H124" s="356">
        <f t="shared" ref="H124" si="101">SUM(C124:G124)</f>
        <v>275000</v>
      </c>
      <c r="I124" s="446">
        <f>875000-275000</f>
        <v>600000</v>
      </c>
      <c r="J124" s="446"/>
      <c r="K124" s="449"/>
      <c r="L124" s="366">
        <f t="shared" ref="L124" si="102">SUM(I124:K124)</f>
        <v>600000</v>
      </c>
      <c r="M124" s="446"/>
      <c r="N124" s="449"/>
      <c r="O124" s="448"/>
      <c r="P124" s="356">
        <f t="shared" ref="P124" si="103">O124+L124+H124</f>
        <v>875000</v>
      </c>
      <c r="Q124" s="383" t="s">
        <v>655</v>
      </c>
    </row>
    <row r="125" spans="1:17" x14ac:dyDescent="0.25">
      <c r="A125" s="452"/>
      <c r="B125" s="377" t="s">
        <v>1159</v>
      </c>
      <c r="C125" s="446"/>
      <c r="D125" s="438"/>
      <c r="E125" s="438"/>
      <c r="F125" s="438"/>
      <c r="G125" s="451"/>
      <c r="H125" s="356"/>
      <c r="I125" s="446"/>
      <c r="J125" s="446"/>
      <c r="K125" s="447"/>
      <c r="L125" s="366"/>
      <c r="M125" s="446"/>
      <c r="N125" s="449"/>
      <c r="O125" s="448"/>
      <c r="P125" s="356"/>
    </row>
    <row r="126" spans="1:17" x14ac:dyDescent="0.25">
      <c r="A126" s="452"/>
      <c r="B126" s="376" t="s">
        <v>1080</v>
      </c>
      <c r="C126" s="446"/>
      <c r="D126" s="438"/>
      <c r="E126" s="438"/>
      <c r="F126" s="438"/>
      <c r="G126" s="451"/>
      <c r="H126" s="356">
        <f t="shared" ref="H126:H128" si="104">SUM(C126:G126)</f>
        <v>0</v>
      </c>
      <c r="I126" s="446">
        <v>-1585413</v>
      </c>
      <c r="J126" s="446"/>
      <c r="K126" s="446"/>
      <c r="L126" s="366">
        <f t="shared" ref="L126:L128" si="105">SUM(I126:K126)</f>
        <v>-1585413</v>
      </c>
      <c r="M126" s="446"/>
      <c r="N126" s="449"/>
      <c r="O126" s="448"/>
      <c r="P126" s="356">
        <f t="shared" ref="P126:P128" si="106">O126+L126+H126</f>
        <v>-1585413</v>
      </c>
      <c r="Q126" s="383" t="s">
        <v>658</v>
      </c>
    </row>
    <row r="127" spans="1:17" x14ac:dyDescent="0.25">
      <c r="A127" s="452"/>
      <c r="B127" s="376" t="s">
        <v>1217</v>
      </c>
      <c r="C127" s="446"/>
      <c r="D127" s="438"/>
      <c r="E127" s="438"/>
      <c r="F127" s="438"/>
      <c r="G127" s="451"/>
      <c r="H127" s="356">
        <f t="shared" si="104"/>
        <v>0</v>
      </c>
      <c r="I127" s="446">
        <v>-8279</v>
      </c>
      <c r="J127" s="446"/>
      <c r="K127" s="446"/>
      <c r="L127" s="366">
        <f t="shared" si="105"/>
        <v>-8279</v>
      </c>
      <c r="M127" s="446"/>
      <c r="N127" s="449"/>
      <c r="O127" s="448"/>
      <c r="P127" s="356">
        <f t="shared" si="106"/>
        <v>-8279</v>
      </c>
      <c r="Q127" s="383" t="s">
        <v>658</v>
      </c>
    </row>
    <row r="128" spans="1:17" x14ac:dyDescent="0.25">
      <c r="A128" s="452"/>
      <c r="B128" s="376" t="s">
        <v>1218</v>
      </c>
      <c r="C128" s="446"/>
      <c r="D128" s="438"/>
      <c r="E128" s="438"/>
      <c r="F128" s="438"/>
      <c r="G128" s="451"/>
      <c r="H128" s="356">
        <f t="shared" si="104"/>
        <v>0</v>
      </c>
      <c r="I128" s="446">
        <v>-2883</v>
      </c>
      <c r="J128" s="446"/>
      <c r="K128" s="446"/>
      <c r="L128" s="366">
        <f t="shared" si="105"/>
        <v>-2883</v>
      </c>
      <c r="M128" s="446"/>
      <c r="N128" s="449"/>
      <c r="O128" s="448"/>
      <c r="P128" s="356">
        <f t="shared" si="106"/>
        <v>-2883</v>
      </c>
      <c r="Q128" s="383" t="s">
        <v>658</v>
      </c>
    </row>
    <row r="129" spans="1:17" ht="31.5" x14ac:dyDescent="0.25">
      <c r="A129" s="452"/>
      <c r="B129" s="376" t="s">
        <v>1223</v>
      </c>
      <c r="C129" s="446"/>
      <c r="D129" s="438"/>
      <c r="E129" s="438"/>
      <c r="F129" s="438"/>
      <c r="G129" s="451"/>
      <c r="H129" s="356">
        <f t="shared" ref="H129:H132" si="107">SUM(C129:G129)</f>
        <v>0</v>
      </c>
      <c r="I129" s="446">
        <v>-7685</v>
      </c>
      <c r="J129" s="446"/>
      <c r="K129" s="446"/>
      <c r="L129" s="366">
        <f t="shared" ref="L129:L132" si="108">SUM(I129:K129)</f>
        <v>-7685</v>
      </c>
      <c r="M129" s="446"/>
      <c r="N129" s="449"/>
      <c r="O129" s="448"/>
      <c r="P129" s="356">
        <f t="shared" ref="P129:P132" si="109">O129+L129+H129</f>
        <v>-7685</v>
      </c>
      <c r="Q129" s="383" t="s">
        <v>658</v>
      </c>
    </row>
    <row r="130" spans="1:17" ht="31.5" x14ac:dyDescent="0.25">
      <c r="A130" s="452"/>
      <c r="B130" s="376" t="s">
        <v>1224</v>
      </c>
      <c r="C130" s="446"/>
      <c r="D130" s="438"/>
      <c r="E130" s="438"/>
      <c r="F130" s="438"/>
      <c r="G130" s="451"/>
      <c r="H130" s="356">
        <f t="shared" ref="H130:H131" si="110">SUM(C130:G130)</f>
        <v>0</v>
      </c>
      <c r="I130" s="446">
        <v>-1316538</v>
      </c>
      <c r="J130" s="446"/>
      <c r="K130" s="446"/>
      <c r="L130" s="366">
        <f t="shared" ref="L130:L131" si="111">SUM(I130:K130)</f>
        <v>-1316538</v>
      </c>
      <c r="M130" s="446"/>
      <c r="N130" s="449"/>
      <c r="O130" s="448"/>
      <c r="P130" s="356">
        <f t="shared" ref="P130:P131" si="112">O130+L130+H130</f>
        <v>-1316538</v>
      </c>
      <c r="Q130" s="383" t="s">
        <v>658</v>
      </c>
    </row>
    <row r="131" spans="1:17" x14ac:dyDescent="0.25">
      <c r="A131" s="452"/>
      <c r="B131" s="376" t="s">
        <v>1229</v>
      </c>
      <c r="C131" s="446"/>
      <c r="D131" s="438"/>
      <c r="E131" s="438"/>
      <c r="F131" s="438"/>
      <c r="G131" s="451"/>
      <c r="H131" s="356">
        <f t="shared" si="110"/>
        <v>0</v>
      </c>
      <c r="I131" s="446">
        <v>-195633</v>
      </c>
      <c r="J131" s="446"/>
      <c r="K131" s="446"/>
      <c r="L131" s="366">
        <f t="shared" si="111"/>
        <v>-195633</v>
      </c>
      <c r="M131" s="446"/>
      <c r="N131" s="449"/>
      <c r="O131" s="448"/>
      <c r="P131" s="356">
        <f t="shared" si="112"/>
        <v>-195633</v>
      </c>
      <c r="Q131" s="383" t="s">
        <v>655</v>
      </c>
    </row>
    <row r="132" spans="1:17" ht="31.5" x14ac:dyDescent="0.25">
      <c r="A132" s="452"/>
      <c r="B132" s="376" t="s">
        <v>1075</v>
      </c>
      <c r="C132" s="446"/>
      <c r="D132" s="438"/>
      <c r="E132" s="438"/>
      <c r="F132" s="438"/>
      <c r="G132" s="451"/>
      <c r="H132" s="356">
        <f t="shared" si="107"/>
        <v>0</v>
      </c>
      <c r="I132" s="446">
        <v>-62420</v>
      </c>
      <c r="J132" s="446"/>
      <c r="K132" s="446"/>
      <c r="L132" s="366">
        <f t="shared" si="108"/>
        <v>-62420</v>
      </c>
      <c r="M132" s="446"/>
      <c r="N132" s="449"/>
      <c r="O132" s="448"/>
      <c r="P132" s="356">
        <f t="shared" si="109"/>
        <v>-62420</v>
      </c>
      <c r="Q132" s="383" t="s">
        <v>655</v>
      </c>
    </row>
    <row r="133" spans="1:17" ht="31.5" x14ac:dyDescent="0.25">
      <c r="A133" s="452"/>
      <c r="B133" s="376" t="s">
        <v>1056</v>
      </c>
      <c r="C133" s="446"/>
      <c r="D133" s="438"/>
      <c r="E133" s="438"/>
      <c r="F133" s="438"/>
      <c r="G133" s="451"/>
      <c r="H133" s="356">
        <f t="shared" ref="H133" si="113">SUM(C133:G133)</f>
        <v>0</v>
      </c>
      <c r="I133" s="446">
        <v>18360</v>
      </c>
      <c r="J133" s="446"/>
      <c r="K133" s="446"/>
      <c r="L133" s="366">
        <f t="shared" ref="L133" si="114">SUM(I133:K133)</f>
        <v>18360</v>
      </c>
      <c r="M133" s="446"/>
      <c r="N133" s="449"/>
      <c r="O133" s="448"/>
      <c r="P133" s="356">
        <f t="shared" ref="P133" si="115">O133+L133+H133</f>
        <v>18360</v>
      </c>
      <c r="Q133" s="383" t="s">
        <v>655</v>
      </c>
    </row>
    <row r="134" spans="1:17" ht="31.5" x14ac:dyDescent="0.25">
      <c r="A134" s="452"/>
      <c r="B134" s="377" t="s">
        <v>565</v>
      </c>
      <c r="C134" s="446"/>
      <c r="D134" s="438"/>
      <c r="E134" s="438"/>
      <c r="F134" s="438"/>
      <c r="G134" s="451"/>
      <c r="H134" s="356"/>
      <c r="I134" s="446"/>
      <c r="J134" s="446"/>
      <c r="K134" s="449"/>
      <c r="L134" s="366"/>
      <c r="M134" s="446"/>
      <c r="N134" s="449"/>
      <c r="O134" s="448"/>
      <c r="P134" s="356">
        <f t="shared" ref="P134:P136" si="116">O134+L134+H134</f>
        <v>0</v>
      </c>
    </row>
    <row r="135" spans="1:17" ht="31.5" x14ac:dyDescent="0.25">
      <c r="A135" s="452"/>
      <c r="B135" s="376" t="s">
        <v>992</v>
      </c>
      <c r="C135" s="446"/>
      <c r="D135" s="438"/>
      <c r="E135" s="438"/>
      <c r="F135" s="438"/>
      <c r="G135" s="451"/>
      <c r="H135" s="356">
        <f t="shared" ref="H135:H136" si="117">SUM(C135:G135)</f>
        <v>0</v>
      </c>
      <c r="I135" s="446"/>
      <c r="J135" s="446"/>
      <c r="K135" s="449">
        <v>-35000</v>
      </c>
      <c r="L135" s="366">
        <f t="shared" ref="L135:L136" si="118">SUM(I135:K135)</f>
        <v>-35000</v>
      </c>
      <c r="M135" s="446"/>
      <c r="N135" s="449"/>
      <c r="O135" s="448"/>
      <c r="P135" s="356">
        <f t="shared" si="116"/>
        <v>-35000</v>
      </c>
      <c r="Q135" s="383" t="s">
        <v>655</v>
      </c>
    </row>
    <row r="136" spans="1:17" ht="31.5" x14ac:dyDescent="0.25">
      <c r="A136" s="452"/>
      <c r="B136" s="376" t="s">
        <v>865</v>
      </c>
      <c r="C136" s="446"/>
      <c r="D136" s="438"/>
      <c r="E136" s="438"/>
      <c r="F136" s="438"/>
      <c r="G136" s="451"/>
      <c r="H136" s="356">
        <f t="shared" si="117"/>
        <v>0</v>
      </c>
      <c r="I136" s="446"/>
      <c r="J136" s="446"/>
      <c r="K136" s="446">
        <v>-4420</v>
      </c>
      <c r="L136" s="366">
        <f t="shared" si="118"/>
        <v>-4420</v>
      </c>
      <c r="M136" s="446"/>
      <c r="N136" s="449"/>
      <c r="O136" s="448"/>
      <c r="P136" s="356">
        <f t="shared" si="116"/>
        <v>-4420</v>
      </c>
      <c r="Q136" s="383" t="s">
        <v>655</v>
      </c>
    </row>
    <row r="137" spans="1:17" x14ac:dyDescent="0.25">
      <c r="A137" s="452"/>
      <c r="B137" s="376" t="s">
        <v>1011</v>
      </c>
      <c r="C137" s="446"/>
      <c r="D137" s="438"/>
      <c r="E137" s="438"/>
      <c r="F137" s="438"/>
      <c r="G137" s="451"/>
      <c r="H137" s="356">
        <f t="shared" ref="H137" si="119">SUM(C137:G137)</f>
        <v>0</v>
      </c>
      <c r="I137" s="446">
        <v>225739</v>
      </c>
      <c r="J137" s="446"/>
      <c r="K137" s="446"/>
      <c r="L137" s="366">
        <f t="shared" ref="L137" si="120">SUM(I137:K137)</f>
        <v>225739</v>
      </c>
      <c r="M137" s="446"/>
      <c r="N137" s="449"/>
      <c r="O137" s="448"/>
      <c r="P137" s="356">
        <f t="shared" ref="P137" si="121">O137+L137+H137</f>
        <v>225739</v>
      </c>
      <c r="Q137" s="383" t="s">
        <v>874</v>
      </c>
    </row>
    <row r="138" spans="1:17" ht="31.5" x14ac:dyDescent="0.25">
      <c r="A138" s="452"/>
      <c r="B138" s="376" t="s">
        <v>875</v>
      </c>
      <c r="C138" s="446"/>
      <c r="D138" s="438"/>
      <c r="E138" s="438"/>
      <c r="F138" s="438"/>
      <c r="G138" s="451"/>
      <c r="H138" s="356">
        <f t="shared" ref="H138:H142" si="122">SUM(C138:G138)</f>
        <v>0</v>
      </c>
      <c r="I138" s="446"/>
      <c r="J138" s="446"/>
      <c r="K138" s="449">
        <v>116134</v>
      </c>
      <c r="L138" s="366">
        <f t="shared" ref="L138:L142" si="123">SUM(I138:K138)</f>
        <v>116134</v>
      </c>
      <c r="M138" s="446"/>
      <c r="N138" s="449"/>
      <c r="O138" s="448"/>
      <c r="P138" s="356">
        <f t="shared" ref="P138:P142" si="124">O138+L138+H138</f>
        <v>116134</v>
      </c>
      <c r="Q138" s="383" t="s">
        <v>874</v>
      </c>
    </row>
    <row r="139" spans="1:17" x14ac:dyDescent="0.25">
      <c r="A139" s="452"/>
      <c r="B139" s="376" t="s">
        <v>1036</v>
      </c>
      <c r="C139" s="446"/>
      <c r="D139" s="438"/>
      <c r="E139" s="438">
        <v>5000</v>
      </c>
      <c r="F139" s="438"/>
      <c r="G139" s="451"/>
      <c r="H139" s="356">
        <f t="shared" si="122"/>
        <v>5000</v>
      </c>
      <c r="I139" s="446"/>
      <c r="J139" s="446"/>
      <c r="K139" s="449"/>
      <c r="L139" s="366">
        <f t="shared" si="123"/>
        <v>0</v>
      </c>
      <c r="M139" s="446"/>
      <c r="N139" s="449"/>
      <c r="O139" s="448"/>
      <c r="P139" s="356">
        <f t="shared" si="124"/>
        <v>5000</v>
      </c>
      <c r="Q139" s="383" t="s">
        <v>655</v>
      </c>
    </row>
    <row r="140" spans="1:17" ht="47.25" x14ac:dyDescent="0.25">
      <c r="A140" s="452"/>
      <c r="B140" s="376" t="s">
        <v>1038</v>
      </c>
      <c r="C140" s="446"/>
      <c r="D140" s="438"/>
      <c r="E140" s="438"/>
      <c r="F140" s="438"/>
      <c r="G140" s="451"/>
      <c r="H140" s="356">
        <f t="shared" si="122"/>
        <v>0</v>
      </c>
      <c r="I140" s="446">
        <v>3240</v>
      </c>
      <c r="J140" s="446"/>
      <c r="K140" s="449"/>
      <c r="L140" s="366">
        <f t="shared" si="123"/>
        <v>3240</v>
      </c>
      <c r="M140" s="446"/>
      <c r="N140" s="449"/>
      <c r="O140" s="448"/>
      <c r="P140" s="356">
        <f t="shared" si="124"/>
        <v>3240</v>
      </c>
      <c r="Q140" s="383" t="s">
        <v>655</v>
      </c>
    </row>
    <row r="141" spans="1:17" x14ac:dyDescent="0.25">
      <c r="A141" s="452"/>
      <c r="B141" s="376" t="s">
        <v>1036</v>
      </c>
      <c r="C141" s="446"/>
      <c r="D141" s="438"/>
      <c r="E141" s="438"/>
      <c r="F141" s="438"/>
      <c r="G141" s="451"/>
      <c r="H141" s="356">
        <f t="shared" ref="H141" si="125">SUM(C141:G141)</f>
        <v>0</v>
      </c>
      <c r="I141" s="446">
        <v>-371</v>
      </c>
      <c r="J141" s="446"/>
      <c r="K141" s="449"/>
      <c r="L141" s="366">
        <f t="shared" ref="L141" si="126">SUM(I141:K141)</f>
        <v>-371</v>
      </c>
      <c r="M141" s="446"/>
      <c r="N141" s="449"/>
      <c r="O141" s="448"/>
      <c r="P141" s="356">
        <f t="shared" ref="P141" si="127">O141+L141+H141</f>
        <v>-371</v>
      </c>
      <c r="Q141" s="383" t="s">
        <v>655</v>
      </c>
    </row>
    <row r="142" spans="1:17" x14ac:dyDescent="0.25">
      <c r="A142" s="452"/>
      <c r="B142" s="376" t="s">
        <v>1041</v>
      </c>
      <c r="C142" s="446"/>
      <c r="D142" s="438"/>
      <c r="E142" s="438"/>
      <c r="F142" s="438"/>
      <c r="G142" s="451"/>
      <c r="H142" s="356">
        <f t="shared" si="122"/>
        <v>0</v>
      </c>
      <c r="I142" s="446">
        <v>371</v>
      </c>
      <c r="J142" s="446"/>
      <c r="K142" s="449"/>
      <c r="L142" s="366">
        <f t="shared" si="123"/>
        <v>371</v>
      </c>
      <c r="M142" s="446"/>
      <c r="N142" s="449"/>
      <c r="O142" s="448"/>
      <c r="P142" s="356">
        <f t="shared" si="124"/>
        <v>371</v>
      </c>
      <c r="Q142" s="383" t="s">
        <v>874</v>
      </c>
    </row>
    <row r="143" spans="1:17" ht="31.5" x14ac:dyDescent="0.25">
      <c r="A143" s="452"/>
      <c r="B143" s="376" t="s">
        <v>1153</v>
      </c>
      <c r="C143" s="446"/>
      <c r="D143" s="438"/>
      <c r="E143" s="438"/>
      <c r="F143" s="438"/>
      <c r="G143" s="451"/>
      <c r="H143" s="356">
        <f>SUM(C143:G143)</f>
        <v>0</v>
      </c>
      <c r="I143" s="446">
        <v>89801</v>
      </c>
      <c r="J143" s="446"/>
      <c r="K143" s="449"/>
      <c r="L143" s="366">
        <f>SUM(I143:K143)</f>
        <v>89801</v>
      </c>
      <c r="M143" s="446"/>
      <c r="N143" s="449"/>
      <c r="O143" s="448"/>
      <c r="P143" s="356">
        <f>O143+L143+H143</f>
        <v>89801</v>
      </c>
      <c r="Q143" s="383" t="s">
        <v>874</v>
      </c>
    </row>
    <row r="144" spans="1:17" ht="31.5" x14ac:dyDescent="0.25">
      <c r="A144" s="452"/>
      <c r="B144" s="376" t="s">
        <v>1061</v>
      </c>
      <c r="C144" s="446"/>
      <c r="D144" s="438"/>
      <c r="E144" s="438"/>
      <c r="F144" s="438"/>
      <c r="G144" s="451"/>
      <c r="H144" s="356">
        <f>SUM(C144:G144)</f>
        <v>0</v>
      </c>
      <c r="I144" s="446">
        <v>36697</v>
      </c>
      <c r="J144" s="446"/>
      <c r="K144" s="449"/>
      <c r="L144" s="366">
        <f>SUM(I144:K144)</f>
        <v>36697</v>
      </c>
      <c r="M144" s="446"/>
      <c r="N144" s="449"/>
      <c r="O144" s="448"/>
      <c r="P144" s="356">
        <f>O144+L144+H144</f>
        <v>36697</v>
      </c>
      <c r="Q144" s="383" t="s">
        <v>874</v>
      </c>
    </row>
    <row r="145" spans="1:17" x14ac:dyDescent="0.25">
      <c r="A145" s="452"/>
      <c r="B145" s="377" t="s">
        <v>671</v>
      </c>
      <c r="C145" s="446"/>
      <c r="D145" s="438"/>
      <c r="E145" s="438"/>
      <c r="F145" s="438"/>
      <c r="G145" s="451"/>
      <c r="H145" s="356"/>
      <c r="I145" s="446"/>
      <c r="J145" s="446"/>
      <c r="K145" s="449"/>
      <c r="L145" s="366"/>
      <c r="M145" s="446"/>
      <c r="N145" s="449"/>
      <c r="O145" s="448"/>
      <c r="P145" s="356">
        <f t="shared" ref="P145:P150" si="128">O145+L145+H145</f>
        <v>0</v>
      </c>
    </row>
    <row r="146" spans="1:17" ht="31.5" x14ac:dyDescent="0.25">
      <c r="A146" s="452"/>
      <c r="B146" s="376" t="s">
        <v>992</v>
      </c>
      <c r="C146" s="446"/>
      <c r="D146" s="438"/>
      <c r="E146" s="438"/>
      <c r="F146" s="438"/>
      <c r="G146" s="451"/>
      <c r="H146" s="356">
        <f t="shared" ref="H146:H150" si="129">SUM(C146:G146)</f>
        <v>0</v>
      </c>
      <c r="I146" s="446"/>
      <c r="J146" s="446"/>
      <c r="K146" s="449">
        <v>35000</v>
      </c>
      <c r="L146" s="366">
        <f t="shared" ref="L146:L150" si="130">SUM(I146:K146)</f>
        <v>35000</v>
      </c>
      <c r="M146" s="446"/>
      <c r="N146" s="449"/>
      <c r="O146" s="448"/>
      <c r="P146" s="356">
        <f t="shared" si="128"/>
        <v>35000</v>
      </c>
      <c r="Q146" s="383" t="s">
        <v>655</v>
      </c>
    </row>
    <row r="147" spans="1:17" x14ac:dyDescent="0.25">
      <c r="A147" s="452"/>
      <c r="B147" s="376" t="s">
        <v>1011</v>
      </c>
      <c r="C147" s="446"/>
      <c r="D147" s="438"/>
      <c r="E147" s="438"/>
      <c r="F147" s="438"/>
      <c r="G147" s="451"/>
      <c r="H147" s="356">
        <f t="shared" ref="H147:H148" si="131">SUM(C147:G147)</f>
        <v>0</v>
      </c>
      <c r="I147" s="446">
        <v>-64873</v>
      </c>
      <c r="J147" s="446"/>
      <c r="K147" s="449"/>
      <c r="L147" s="366">
        <f t="shared" ref="L147:L148" si="132">SUM(I147:K147)</f>
        <v>-64873</v>
      </c>
      <c r="M147" s="446"/>
      <c r="N147" s="449"/>
      <c r="O147" s="448"/>
      <c r="P147" s="356">
        <f t="shared" ref="P147:P148" si="133">O147+L147+H147</f>
        <v>-64873</v>
      </c>
      <c r="Q147" s="383" t="s">
        <v>874</v>
      </c>
    </row>
    <row r="148" spans="1:17" ht="31.5" x14ac:dyDescent="0.25">
      <c r="A148" s="452"/>
      <c r="B148" s="376" t="s">
        <v>875</v>
      </c>
      <c r="C148" s="446"/>
      <c r="D148" s="438"/>
      <c r="E148" s="438">
        <f>-74200-20035-172473+28634</f>
        <v>-238074</v>
      </c>
      <c r="F148" s="438"/>
      <c r="G148" s="451"/>
      <c r="H148" s="356">
        <f t="shared" si="131"/>
        <v>-238074</v>
      </c>
      <c r="I148" s="446">
        <f>-676382-182623-28634</f>
        <v>-887639</v>
      </c>
      <c r="J148" s="446"/>
      <c r="K148" s="449">
        <v>1125713</v>
      </c>
      <c r="L148" s="366">
        <f t="shared" si="132"/>
        <v>238074</v>
      </c>
      <c r="M148" s="446"/>
      <c r="N148" s="449"/>
      <c r="O148" s="448"/>
      <c r="P148" s="356">
        <f t="shared" si="133"/>
        <v>0</v>
      </c>
      <c r="Q148" s="383" t="s">
        <v>874</v>
      </c>
    </row>
    <row r="149" spans="1:17" ht="31.5" x14ac:dyDescent="0.25">
      <c r="A149" s="452"/>
      <c r="B149" s="376" t="s">
        <v>1056</v>
      </c>
      <c r="C149" s="446"/>
      <c r="D149" s="438"/>
      <c r="E149" s="438"/>
      <c r="F149" s="438"/>
      <c r="G149" s="451"/>
      <c r="H149" s="356">
        <f t="shared" si="129"/>
        <v>0</v>
      </c>
      <c r="I149" s="446">
        <v>143082</v>
      </c>
      <c r="J149" s="446"/>
      <c r="K149" s="449"/>
      <c r="L149" s="366">
        <f t="shared" si="130"/>
        <v>143082</v>
      </c>
      <c r="M149" s="446"/>
      <c r="N149" s="449"/>
      <c r="O149" s="448"/>
      <c r="P149" s="356">
        <f t="shared" si="128"/>
        <v>143082</v>
      </c>
      <c r="Q149" s="383" t="s">
        <v>655</v>
      </c>
    </row>
    <row r="150" spans="1:17" x14ac:dyDescent="0.25">
      <c r="A150" s="452"/>
      <c r="B150" s="376" t="s">
        <v>947</v>
      </c>
      <c r="C150" s="446"/>
      <c r="D150" s="438"/>
      <c r="E150" s="438"/>
      <c r="F150" s="438"/>
      <c r="G150" s="451"/>
      <c r="H150" s="356">
        <f t="shared" si="129"/>
        <v>0</v>
      </c>
      <c r="I150" s="446">
        <v>19685</v>
      </c>
      <c r="J150" s="446"/>
      <c r="K150" s="449"/>
      <c r="L150" s="366">
        <f t="shared" si="130"/>
        <v>19685</v>
      </c>
      <c r="M150" s="446"/>
      <c r="N150" s="449"/>
      <c r="O150" s="448"/>
      <c r="P150" s="356">
        <f t="shared" si="128"/>
        <v>19685</v>
      </c>
      <c r="Q150" s="383" t="s">
        <v>654</v>
      </c>
    </row>
    <row r="151" spans="1:17" ht="31.5" x14ac:dyDescent="0.25">
      <c r="A151" s="452"/>
      <c r="B151" s="376" t="s">
        <v>1075</v>
      </c>
      <c r="C151" s="446"/>
      <c r="D151" s="438"/>
      <c r="E151" s="438">
        <v>-21700</v>
      </c>
      <c r="F151" s="438"/>
      <c r="G151" s="451"/>
      <c r="H151" s="356">
        <f t="shared" ref="H151" si="134">SUM(C151:G151)</f>
        <v>-21700</v>
      </c>
      <c r="I151" s="446">
        <v>21700</v>
      </c>
      <c r="J151" s="446"/>
      <c r="K151" s="449"/>
      <c r="L151" s="366">
        <f t="shared" ref="L151" si="135">SUM(I151:K151)</f>
        <v>21700</v>
      </c>
      <c r="M151" s="446"/>
      <c r="N151" s="449"/>
      <c r="O151" s="448"/>
      <c r="P151" s="356">
        <f t="shared" ref="P151" si="136">O151+L151+H151</f>
        <v>0</v>
      </c>
      <c r="Q151" s="383" t="s">
        <v>655</v>
      </c>
    </row>
    <row r="152" spans="1:17" ht="31.5" x14ac:dyDescent="0.25">
      <c r="A152" s="452"/>
      <c r="B152" s="376" t="s">
        <v>1076</v>
      </c>
      <c r="C152" s="446"/>
      <c r="D152" s="438"/>
      <c r="E152" s="438">
        <v>334</v>
      </c>
      <c r="F152" s="438"/>
      <c r="G152" s="451"/>
      <c r="H152" s="356">
        <f t="shared" ref="H152" si="137">SUM(C152:G152)</f>
        <v>334</v>
      </c>
      <c r="I152" s="446">
        <v>-334</v>
      </c>
      <c r="J152" s="446"/>
      <c r="K152" s="449"/>
      <c r="L152" s="366">
        <f t="shared" ref="L152" si="138">SUM(I152:K152)</f>
        <v>-334</v>
      </c>
      <c r="M152" s="446"/>
      <c r="N152" s="449"/>
      <c r="O152" s="448"/>
      <c r="P152" s="356">
        <f t="shared" ref="P152" si="139">O152+L152+H152</f>
        <v>0</v>
      </c>
      <c r="Q152" s="383" t="s">
        <v>655</v>
      </c>
    </row>
    <row r="153" spans="1:17" ht="31.5" x14ac:dyDescent="0.25">
      <c r="A153" s="452"/>
      <c r="B153" s="376" t="s">
        <v>1077</v>
      </c>
      <c r="C153" s="446"/>
      <c r="D153" s="438"/>
      <c r="E153" s="438">
        <v>-699</v>
      </c>
      <c r="F153" s="438"/>
      <c r="G153" s="451"/>
      <c r="H153" s="356">
        <f t="shared" ref="H153:H165" si="140">SUM(C153:G153)</f>
        <v>-699</v>
      </c>
      <c r="I153" s="446">
        <v>699</v>
      </c>
      <c r="J153" s="446"/>
      <c r="K153" s="449"/>
      <c r="L153" s="366">
        <f t="shared" ref="L153:L165" si="141">SUM(I153:K153)</f>
        <v>699</v>
      </c>
      <c r="M153" s="446"/>
      <c r="N153" s="449"/>
      <c r="O153" s="448"/>
      <c r="P153" s="356">
        <f t="shared" ref="P153:P165" si="142">O153+L153+H153</f>
        <v>0</v>
      </c>
      <c r="Q153" s="383" t="s">
        <v>658</v>
      </c>
    </row>
    <row r="154" spans="1:17" x14ac:dyDescent="0.25">
      <c r="A154" s="452"/>
      <c r="B154" s="376" t="s">
        <v>1078</v>
      </c>
      <c r="C154" s="446"/>
      <c r="D154" s="438"/>
      <c r="E154" s="438">
        <v>-396</v>
      </c>
      <c r="F154" s="438"/>
      <c r="G154" s="451"/>
      <c r="H154" s="356">
        <f t="shared" si="140"/>
        <v>-396</v>
      </c>
      <c r="I154" s="446">
        <v>396</v>
      </c>
      <c r="J154" s="446"/>
      <c r="K154" s="449"/>
      <c r="L154" s="366">
        <f t="shared" si="141"/>
        <v>396</v>
      </c>
      <c r="M154" s="446"/>
      <c r="N154" s="449"/>
      <c r="O154" s="448"/>
      <c r="P154" s="356">
        <f t="shared" si="142"/>
        <v>0</v>
      </c>
      <c r="Q154" s="383" t="s">
        <v>658</v>
      </c>
    </row>
    <row r="155" spans="1:17" x14ac:dyDescent="0.25">
      <c r="A155" s="452"/>
      <c r="B155" s="376" t="s">
        <v>1013</v>
      </c>
      <c r="C155" s="446"/>
      <c r="D155" s="438"/>
      <c r="E155" s="438">
        <v>-1212</v>
      </c>
      <c r="F155" s="438"/>
      <c r="G155" s="451"/>
      <c r="H155" s="356">
        <f t="shared" ref="H155:H158" si="143">SUM(C155:G155)</f>
        <v>-1212</v>
      </c>
      <c r="I155" s="446">
        <v>1212</v>
      </c>
      <c r="J155" s="446"/>
      <c r="K155" s="449"/>
      <c r="L155" s="366">
        <f t="shared" ref="L155:L158" si="144">SUM(I155:K155)</f>
        <v>1212</v>
      </c>
      <c r="M155" s="446"/>
      <c r="N155" s="449"/>
      <c r="O155" s="448"/>
      <c r="P155" s="356">
        <f t="shared" ref="P155:P158" si="145">O155+L155+H155</f>
        <v>0</v>
      </c>
      <c r="Q155" s="383" t="s">
        <v>658</v>
      </c>
    </row>
    <row r="156" spans="1:17" ht="31.5" x14ac:dyDescent="0.25">
      <c r="A156" s="452"/>
      <c r="B156" s="376" t="s">
        <v>1079</v>
      </c>
      <c r="C156" s="446"/>
      <c r="D156" s="438"/>
      <c r="E156" s="438">
        <v>2053</v>
      </c>
      <c r="F156" s="438"/>
      <c r="G156" s="451"/>
      <c r="H156" s="356">
        <f t="shared" si="143"/>
        <v>2053</v>
      </c>
      <c r="I156" s="446">
        <v>-2053</v>
      </c>
      <c r="J156" s="446"/>
      <c r="K156" s="449"/>
      <c r="L156" s="366">
        <f t="shared" si="144"/>
        <v>-2053</v>
      </c>
      <c r="M156" s="446"/>
      <c r="N156" s="449"/>
      <c r="O156" s="448"/>
      <c r="P156" s="356">
        <f t="shared" si="145"/>
        <v>0</v>
      </c>
      <c r="Q156" s="383" t="s">
        <v>658</v>
      </c>
    </row>
    <row r="157" spans="1:17" ht="31.5" x14ac:dyDescent="0.25">
      <c r="A157" s="452"/>
      <c r="B157" s="376" t="s">
        <v>1061</v>
      </c>
      <c r="C157" s="446"/>
      <c r="D157" s="438"/>
      <c r="E157" s="438">
        <v>30975</v>
      </c>
      <c r="F157" s="438"/>
      <c r="G157" s="451"/>
      <c r="H157" s="356">
        <f t="shared" si="143"/>
        <v>30975</v>
      </c>
      <c r="I157" s="446">
        <v>-30975</v>
      </c>
      <c r="J157" s="446"/>
      <c r="K157" s="449"/>
      <c r="L157" s="366">
        <f t="shared" si="144"/>
        <v>-30975</v>
      </c>
      <c r="M157" s="446"/>
      <c r="N157" s="449"/>
      <c r="O157" s="448"/>
      <c r="P157" s="356">
        <f t="shared" si="145"/>
        <v>0</v>
      </c>
      <c r="Q157" s="383" t="s">
        <v>658</v>
      </c>
    </row>
    <row r="158" spans="1:17" x14ac:dyDescent="0.25">
      <c r="A158" s="452"/>
      <c r="B158" s="376" t="s">
        <v>947</v>
      </c>
      <c r="C158" s="446"/>
      <c r="D158" s="438"/>
      <c r="E158" s="438">
        <v>8495</v>
      </c>
      <c r="F158" s="438"/>
      <c r="G158" s="451"/>
      <c r="H158" s="356">
        <f t="shared" si="143"/>
        <v>8495</v>
      </c>
      <c r="I158" s="446">
        <v>-8495</v>
      </c>
      <c r="J158" s="446"/>
      <c r="K158" s="449"/>
      <c r="L158" s="366">
        <f t="shared" si="144"/>
        <v>-8495</v>
      </c>
      <c r="M158" s="446"/>
      <c r="N158" s="449"/>
      <c r="O158" s="448"/>
      <c r="P158" s="356">
        <f t="shared" si="145"/>
        <v>0</v>
      </c>
      <c r="Q158" s="383" t="s">
        <v>658</v>
      </c>
    </row>
    <row r="159" spans="1:17" x14ac:dyDescent="0.25">
      <c r="A159" s="452"/>
      <c r="B159" s="376" t="s">
        <v>1080</v>
      </c>
      <c r="C159" s="446"/>
      <c r="D159" s="438"/>
      <c r="E159" s="438">
        <v>80132</v>
      </c>
      <c r="F159" s="438"/>
      <c r="G159" s="451"/>
      <c r="H159" s="356">
        <f t="shared" si="140"/>
        <v>80132</v>
      </c>
      <c r="I159" s="451">
        <v>-80132</v>
      </c>
      <c r="J159" s="446"/>
      <c r="K159" s="449"/>
      <c r="L159" s="366">
        <f t="shared" si="141"/>
        <v>-80132</v>
      </c>
      <c r="M159" s="446"/>
      <c r="N159" s="449"/>
      <c r="O159" s="448"/>
      <c r="P159" s="356">
        <f t="shared" si="142"/>
        <v>0</v>
      </c>
      <c r="Q159" s="383" t="s">
        <v>658</v>
      </c>
    </row>
    <row r="160" spans="1:17" ht="78.75" x14ac:dyDescent="0.25">
      <c r="A160" s="452"/>
      <c r="B160" s="376" t="s">
        <v>1240</v>
      </c>
      <c r="C160" s="446"/>
      <c r="D160" s="438"/>
      <c r="E160" s="410">
        <v>-177176</v>
      </c>
      <c r="F160" s="410"/>
      <c r="G160" s="437"/>
      <c r="H160" s="356">
        <f t="shared" si="140"/>
        <v>-177176</v>
      </c>
      <c r="I160" s="410">
        <f>9700+167476</f>
        <v>177176</v>
      </c>
      <c r="J160" s="446"/>
      <c r="K160" s="449"/>
      <c r="L160" s="366">
        <f t="shared" si="141"/>
        <v>177176</v>
      </c>
      <c r="M160" s="446"/>
      <c r="N160" s="449"/>
      <c r="O160" s="448"/>
      <c r="P160" s="356">
        <f t="shared" si="142"/>
        <v>0</v>
      </c>
      <c r="Q160" s="383" t="s">
        <v>655</v>
      </c>
    </row>
    <row r="161" spans="1:17" ht="31.5" x14ac:dyDescent="0.25">
      <c r="A161" s="452"/>
      <c r="B161" s="376" t="s">
        <v>1241</v>
      </c>
      <c r="C161" s="446"/>
      <c r="D161" s="438"/>
      <c r="E161" s="410">
        <v>4657</v>
      </c>
      <c r="F161" s="410"/>
      <c r="G161" s="437"/>
      <c r="H161" s="356">
        <f t="shared" si="140"/>
        <v>4657</v>
      </c>
      <c r="I161" s="410">
        <v>-4657</v>
      </c>
      <c r="J161" s="446"/>
      <c r="K161" s="449"/>
      <c r="L161" s="366">
        <f t="shared" si="141"/>
        <v>-4657</v>
      </c>
      <c r="M161" s="446"/>
      <c r="N161" s="449"/>
      <c r="O161" s="448"/>
      <c r="P161" s="356">
        <f t="shared" si="142"/>
        <v>0</v>
      </c>
      <c r="Q161" s="383" t="s">
        <v>655</v>
      </c>
    </row>
    <row r="162" spans="1:17" ht="31.5" x14ac:dyDescent="0.25">
      <c r="A162" s="452"/>
      <c r="B162" s="376" t="s">
        <v>1224</v>
      </c>
      <c r="C162" s="446"/>
      <c r="D162" s="438"/>
      <c r="E162" s="410">
        <v>-24325</v>
      </c>
      <c r="F162" s="410"/>
      <c r="G162" s="437"/>
      <c r="H162" s="356">
        <f t="shared" si="140"/>
        <v>-24325</v>
      </c>
      <c r="I162" s="410">
        <v>24325</v>
      </c>
      <c r="J162" s="446"/>
      <c r="K162" s="449"/>
      <c r="L162" s="366">
        <f t="shared" si="141"/>
        <v>24325</v>
      </c>
      <c r="M162" s="446"/>
      <c r="N162" s="449"/>
      <c r="O162" s="448"/>
      <c r="P162" s="356">
        <f t="shared" si="142"/>
        <v>0</v>
      </c>
      <c r="Q162" s="383" t="s">
        <v>658</v>
      </c>
    </row>
    <row r="163" spans="1:17" ht="31.5" x14ac:dyDescent="0.25">
      <c r="A163" s="452"/>
      <c r="B163" s="376" t="s">
        <v>1079</v>
      </c>
      <c r="C163" s="446"/>
      <c r="D163" s="438"/>
      <c r="E163" s="410">
        <v>2000</v>
      </c>
      <c r="F163" s="410"/>
      <c r="G163" s="437"/>
      <c r="H163" s="356">
        <f t="shared" si="140"/>
        <v>2000</v>
      </c>
      <c r="I163" s="410">
        <v>-2000</v>
      </c>
      <c r="J163" s="446"/>
      <c r="K163" s="449"/>
      <c r="L163" s="366">
        <f t="shared" si="141"/>
        <v>-2000</v>
      </c>
      <c r="M163" s="446"/>
      <c r="N163" s="449"/>
      <c r="O163" s="448"/>
      <c r="P163" s="356">
        <f t="shared" si="142"/>
        <v>0</v>
      </c>
      <c r="Q163" s="383" t="s">
        <v>658</v>
      </c>
    </row>
    <row r="164" spans="1:17" x14ac:dyDescent="0.25">
      <c r="A164" s="452"/>
      <c r="B164" s="376" t="s">
        <v>1036</v>
      </c>
      <c r="C164" s="446"/>
      <c r="D164" s="438"/>
      <c r="E164" s="410">
        <v>2574</v>
      </c>
      <c r="F164" s="410"/>
      <c r="G164" s="437"/>
      <c r="H164" s="356">
        <f t="shared" si="140"/>
        <v>2574</v>
      </c>
      <c r="I164" s="410">
        <v>-2574</v>
      </c>
      <c r="J164" s="446"/>
      <c r="K164" s="449"/>
      <c r="L164" s="366">
        <f t="shared" si="141"/>
        <v>-2574</v>
      </c>
      <c r="M164" s="446"/>
      <c r="N164" s="449"/>
      <c r="O164" s="448"/>
      <c r="P164" s="356">
        <f t="shared" si="142"/>
        <v>0</v>
      </c>
      <c r="Q164" s="383" t="s">
        <v>655</v>
      </c>
    </row>
    <row r="165" spans="1:17" x14ac:dyDescent="0.25">
      <c r="A165" s="452"/>
      <c r="B165" s="376" t="s">
        <v>1041</v>
      </c>
      <c r="C165" s="446"/>
      <c r="D165" s="438"/>
      <c r="E165" s="410">
        <v>180</v>
      </c>
      <c r="F165" s="410"/>
      <c r="G165" s="437"/>
      <c r="H165" s="356">
        <f t="shared" si="140"/>
        <v>180</v>
      </c>
      <c r="I165" s="410">
        <v>-180</v>
      </c>
      <c r="J165" s="446"/>
      <c r="K165" s="449"/>
      <c r="L165" s="366">
        <f t="shared" si="141"/>
        <v>-180</v>
      </c>
      <c r="M165" s="446"/>
      <c r="N165" s="449"/>
      <c r="O165" s="448"/>
      <c r="P165" s="356">
        <f t="shared" si="142"/>
        <v>0</v>
      </c>
      <c r="Q165" s="383" t="s">
        <v>658</v>
      </c>
    </row>
    <row r="166" spans="1:17" x14ac:dyDescent="0.25">
      <c r="A166" s="452"/>
      <c r="B166" s="376" t="s">
        <v>1036</v>
      </c>
      <c r="C166" s="446"/>
      <c r="D166" s="438"/>
      <c r="E166" s="410"/>
      <c r="F166" s="410"/>
      <c r="G166" s="437"/>
      <c r="H166" s="356">
        <f t="shared" ref="H166" si="146">SUM(C166:G166)</f>
        <v>0</v>
      </c>
      <c r="I166" s="410">
        <v>140000</v>
      </c>
      <c r="J166" s="446"/>
      <c r="K166" s="449"/>
      <c r="L166" s="366">
        <f t="shared" ref="L166" si="147">SUM(I166:K166)</f>
        <v>140000</v>
      </c>
      <c r="M166" s="446"/>
      <c r="N166" s="449"/>
      <c r="O166" s="448"/>
      <c r="P166" s="356">
        <f t="shared" ref="P166" si="148">O166+L166+H166</f>
        <v>140000</v>
      </c>
      <c r="Q166" s="383" t="s">
        <v>655</v>
      </c>
    </row>
    <row r="167" spans="1:17" x14ac:dyDescent="0.25">
      <c r="A167" s="450"/>
      <c r="B167" s="376"/>
      <c r="C167" s="410"/>
      <c r="D167" s="410"/>
      <c r="E167" s="410"/>
      <c r="F167" s="410"/>
      <c r="G167" s="437"/>
      <c r="H167" s="356"/>
      <c r="I167" s="410"/>
      <c r="J167" s="410"/>
      <c r="K167" s="437"/>
      <c r="L167" s="366"/>
      <c r="M167" s="410"/>
      <c r="N167" s="437"/>
      <c r="O167" s="445"/>
      <c r="P167" s="356"/>
    </row>
    <row r="168" spans="1:17" x14ac:dyDescent="0.25">
      <c r="A168" s="450"/>
      <c r="B168" s="378" t="s">
        <v>460</v>
      </c>
      <c r="C168" s="410"/>
      <c r="D168" s="410"/>
      <c r="E168" s="410"/>
      <c r="F168" s="410"/>
      <c r="G168" s="437"/>
      <c r="H168" s="356"/>
      <c r="I168" s="410"/>
      <c r="J168" s="410"/>
      <c r="K168" s="437"/>
      <c r="L168" s="366"/>
      <c r="M168" s="410"/>
      <c r="N168" s="437"/>
      <c r="O168" s="445"/>
      <c r="P168" s="356"/>
    </row>
    <row r="169" spans="1:17" x14ac:dyDescent="0.25">
      <c r="A169" s="450"/>
      <c r="B169" s="377" t="s">
        <v>862</v>
      </c>
      <c r="C169" s="410"/>
      <c r="D169" s="410"/>
      <c r="E169" s="410"/>
      <c r="F169" s="410"/>
      <c r="G169" s="437"/>
      <c r="H169" s="445"/>
      <c r="I169" s="410"/>
      <c r="J169" s="410"/>
      <c r="K169" s="437"/>
      <c r="L169" s="448"/>
      <c r="M169" s="410"/>
      <c r="N169" s="437"/>
      <c r="O169" s="445"/>
      <c r="P169" s="445"/>
    </row>
    <row r="170" spans="1:17" x14ac:dyDescent="0.25">
      <c r="A170" s="452"/>
      <c r="B170" s="376" t="s">
        <v>460</v>
      </c>
      <c r="C170" s="446"/>
      <c r="D170" s="438"/>
      <c r="E170" s="438"/>
      <c r="F170" s="438"/>
      <c r="G170" s="451"/>
      <c r="H170" s="356">
        <f t="shared" ref="H170" si="149">SUM(C170:G170)</f>
        <v>0</v>
      </c>
      <c r="I170" s="446">
        <v>-241300</v>
      </c>
      <c r="J170" s="446"/>
      <c r="K170" s="449"/>
      <c r="L170" s="366">
        <f t="shared" ref="L170" si="150">SUM(I170:K170)</f>
        <v>-241300</v>
      </c>
      <c r="M170" s="446"/>
      <c r="N170" s="449"/>
      <c r="O170" s="448"/>
      <c r="P170" s="356">
        <f t="shared" ref="P170:P173" si="151">O170+L170+H170</f>
        <v>-241300</v>
      </c>
      <c r="Q170" s="383" t="s">
        <v>654</v>
      </c>
    </row>
    <row r="171" spans="1:17" x14ac:dyDescent="0.25">
      <c r="A171" s="450"/>
      <c r="B171" s="377" t="s">
        <v>1154</v>
      </c>
      <c r="C171" s="410"/>
      <c r="D171" s="410"/>
      <c r="E171" s="410"/>
      <c r="F171" s="410"/>
      <c r="G171" s="437"/>
      <c r="H171" s="445"/>
      <c r="I171" s="410"/>
      <c r="J171" s="410"/>
      <c r="K171" s="437"/>
      <c r="L171" s="448"/>
      <c r="M171" s="410"/>
      <c r="N171" s="437"/>
      <c r="O171" s="445"/>
      <c r="P171" s="445"/>
    </row>
    <row r="172" spans="1:17" x14ac:dyDescent="0.25">
      <c r="A172" s="452"/>
      <c r="B172" s="376" t="s">
        <v>460</v>
      </c>
      <c r="C172" s="446"/>
      <c r="D172" s="438"/>
      <c r="E172" s="438"/>
      <c r="F172" s="438"/>
      <c r="G172" s="451"/>
      <c r="H172" s="356">
        <f t="shared" ref="H172" si="152">SUM(C172:G172)</f>
        <v>0</v>
      </c>
      <c r="I172" s="446">
        <f>51+816+2000</f>
        <v>2867</v>
      </c>
      <c r="J172" s="446"/>
      <c r="K172" s="449"/>
      <c r="L172" s="366">
        <f t="shared" ref="L172" si="153">SUM(I172:K172)</f>
        <v>2867</v>
      </c>
      <c r="M172" s="446"/>
      <c r="N172" s="449"/>
      <c r="O172" s="448"/>
      <c r="P172" s="356">
        <f t="shared" ref="P172" si="154">O172+L172+H172</f>
        <v>2867</v>
      </c>
      <c r="Q172" s="383" t="s">
        <v>654</v>
      </c>
    </row>
    <row r="173" spans="1:17" x14ac:dyDescent="0.25">
      <c r="A173" s="452"/>
      <c r="B173" s="377" t="s">
        <v>671</v>
      </c>
      <c r="C173" s="446"/>
      <c r="D173" s="438"/>
      <c r="E173" s="438"/>
      <c r="F173" s="438"/>
      <c r="G173" s="451"/>
      <c r="H173" s="356"/>
      <c r="I173" s="446"/>
      <c r="J173" s="446"/>
      <c r="K173" s="449"/>
      <c r="L173" s="366"/>
      <c r="M173" s="446"/>
      <c r="N173" s="449"/>
      <c r="O173" s="448"/>
      <c r="P173" s="356">
        <f t="shared" si="151"/>
        <v>0</v>
      </c>
    </row>
    <row r="174" spans="1:17" x14ac:dyDescent="0.25">
      <c r="A174" s="452"/>
      <c r="B174" s="376" t="s">
        <v>460</v>
      </c>
      <c r="C174" s="446"/>
      <c r="D174" s="438"/>
      <c r="E174" s="438">
        <f>730+4380</f>
        <v>5110</v>
      </c>
      <c r="F174" s="438"/>
      <c r="G174" s="451"/>
      <c r="H174" s="356">
        <f t="shared" ref="H174" si="155">SUM(C174:G174)</f>
        <v>5110</v>
      </c>
      <c r="I174" s="446">
        <f>-730-4380</f>
        <v>-5110</v>
      </c>
      <c r="J174" s="446"/>
      <c r="K174" s="449"/>
      <c r="L174" s="366">
        <f t="shared" ref="L174" si="156">SUM(I174:K174)</f>
        <v>-5110</v>
      </c>
      <c r="M174" s="446"/>
      <c r="N174" s="449"/>
      <c r="O174" s="448"/>
      <c r="P174" s="356">
        <f t="shared" ref="P174" si="157">O174+L174+H174</f>
        <v>0</v>
      </c>
      <c r="Q174" s="383" t="s">
        <v>654</v>
      </c>
    </row>
    <row r="175" spans="1:17" x14ac:dyDescent="0.25">
      <c r="A175" s="452"/>
      <c r="B175" s="376"/>
      <c r="C175" s="446"/>
      <c r="D175" s="438"/>
      <c r="E175" s="438"/>
      <c r="F175" s="438"/>
      <c r="G175" s="447"/>
      <c r="H175" s="356"/>
      <c r="I175" s="446"/>
      <c r="J175" s="446"/>
      <c r="K175" s="449"/>
      <c r="L175" s="366"/>
      <c r="M175" s="446"/>
      <c r="N175" s="449"/>
      <c r="O175" s="448"/>
      <c r="P175" s="356"/>
    </row>
    <row r="176" spans="1:17" s="358" customFormat="1" x14ac:dyDescent="0.25">
      <c r="A176" s="375" t="s">
        <v>484</v>
      </c>
      <c r="B176" s="379" t="s">
        <v>485</v>
      </c>
      <c r="C176" s="380"/>
      <c r="D176" s="380"/>
      <c r="E176" s="380"/>
      <c r="F176" s="380"/>
      <c r="G176" s="381"/>
      <c r="H176" s="366"/>
      <c r="I176" s="380"/>
      <c r="J176" s="380"/>
      <c r="K176" s="381"/>
      <c r="L176" s="366"/>
      <c r="M176" s="380"/>
      <c r="N176" s="381"/>
      <c r="O176" s="366"/>
      <c r="P176" s="366"/>
    </row>
    <row r="177" spans="1:17" x14ac:dyDescent="0.25">
      <c r="A177" s="375"/>
      <c r="B177" s="378" t="s">
        <v>86</v>
      </c>
      <c r="C177" s="446"/>
      <c r="D177" s="438"/>
      <c r="E177" s="438"/>
      <c r="F177" s="438"/>
      <c r="G177" s="447"/>
      <c r="H177" s="356"/>
      <c r="I177" s="446"/>
      <c r="J177" s="446"/>
      <c r="K177" s="449"/>
      <c r="L177" s="366"/>
      <c r="M177" s="446"/>
      <c r="N177" s="449"/>
      <c r="O177" s="448"/>
      <c r="P177" s="356"/>
    </row>
    <row r="178" spans="1:17" x14ac:dyDescent="0.25">
      <c r="A178" s="375"/>
      <c r="B178" s="377" t="s">
        <v>1159</v>
      </c>
      <c r="C178" s="446"/>
      <c r="D178" s="446"/>
      <c r="E178" s="446"/>
      <c r="F178" s="446"/>
      <c r="G178" s="447"/>
      <c r="H178" s="356"/>
      <c r="I178" s="446"/>
      <c r="J178" s="446"/>
      <c r="K178" s="447"/>
      <c r="L178" s="366"/>
      <c r="M178" s="446"/>
      <c r="N178" s="447"/>
      <c r="O178" s="448"/>
      <c r="P178" s="356"/>
    </row>
    <row r="179" spans="1:17" ht="47.25" x14ac:dyDescent="0.25">
      <c r="A179" s="375"/>
      <c r="B179" s="376" t="s">
        <v>869</v>
      </c>
      <c r="C179" s="446"/>
      <c r="D179" s="446"/>
      <c r="E179" s="446"/>
      <c r="F179" s="446">
        <v>613</v>
      </c>
      <c r="G179" s="447"/>
      <c r="H179" s="356">
        <f>SUM(C179:G179)</f>
        <v>613</v>
      </c>
      <c r="I179" s="446"/>
      <c r="J179" s="446"/>
      <c r="K179" s="447"/>
      <c r="L179" s="366">
        <f>SUM(I179:K179)</f>
        <v>0</v>
      </c>
      <c r="M179" s="446"/>
      <c r="N179" s="447"/>
      <c r="O179" s="448"/>
      <c r="P179" s="356">
        <f>O179+L179+H179</f>
        <v>613</v>
      </c>
      <c r="Q179" s="383" t="s">
        <v>658</v>
      </c>
    </row>
    <row r="180" spans="1:17" ht="31.5" x14ac:dyDescent="0.25">
      <c r="A180" s="375"/>
      <c r="B180" s="376" t="s">
        <v>1170</v>
      </c>
      <c r="C180" s="446"/>
      <c r="D180" s="446"/>
      <c r="E180" s="446">
        <v>5</v>
      </c>
      <c r="F180" s="446"/>
      <c r="G180" s="447"/>
      <c r="H180" s="356">
        <f t="shared" ref="H180:H181" si="158">SUM(C180:G180)</f>
        <v>5</v>
      </c>
      <c r="I180" s="446"/>
      <c r="J180" s="446"/>
      <c r="K180" s="447"/>
      <c r="L180" s="366">
        <f t="shared" ref="L180:L181" si="159">SUM(I180:K180)</f>
        <v>0</v>
      </c>
      <c r="M180" s="446"/>
      <c r="N180" s="447"/>
      <c r="O180" s="448"/>
      <c r="P180" s="356">
        <f t="shared" ref="P180:P181" si="160">O180+L180+H180</f>
        <v>5</v>
      </c>
      <c r="Q180" s="383" t="s">
        <v>658</v>
      </c>
    </row>
    <row r="181" spans="1:17" ht="31.5" x14ac:dyDescent="0.25">
      <c r="A181" s="375"/>
      <c r="B181" s="376" t="s">
        <v>1171</v>
      </c>
      <c r="C181" s="446"/>
      <c r="D181" s="446"/>
      <c r="E181" s="446">
        <v>2087</v>
      </c>
      <c r="F181" s="446"/>
      <c r="G181" s="447"/>
      <c r="H181" s="356">
        <f t="shared" si="158"/>
        <v>2087</v>
      </c>
      <c r="I181" s="446"/>
      <c r="J181" s="446"/>
      <c r="K181" s="447"/>
      <c r="L181" s="366">
        <f t="shared" si="159"/>
        <v>0</v>
      </c>
      <c r="M181" s="446"/>
      <c r="N181" s="447"/>
      <c r="O181" s="448"/>
      <c r="P181" s="356">
        <f t="shared" si="160"/>
        <v>2087</v>
      </c>
      <c r="Q181" s="383" t="s">
        <v>658</v>
      </c>
    </row>
    <row r="182" spans="1:17" ht="31.5" x14ac:dyDescent="0.25">
      <c r="A182" s="375"/>
      <c r="B182" s="376" t="s">
        <v>1169</v>
      </c>
      <c r="C182" s="446"/>
      <c r="D182" s="446"/>
      <c r="E182" s="446">
        <v>6750</v>
      </c>
      <c r="F182" s="446"/>
      <c r="G182" s="447"/>
      <c r="H182" s="356">
        <f>SUM(C182:G182)</f>
        <v>6750</v>
      </c>
      <c r="I182" s="446"/>
      <c r="J182" s="446"/>
      <c r="K182" s="447"/>
      <c r="L182" s="366">
        <f>SUM(I182:K182)</f>
        <v>0</v>
      </c>
      <c r="M182" s="446"/>
      <c r="N182" s="447"/>
      <c r="O182" s="448"/>
      <c r="P182" s="356">
        <f>O182+L182+H182</f>
        <v>6750</v>
      </c>
      <c r="Q182" s="383" t="s">
        <v>658</v>
      </c>
    </row>
    <row r="183" spans="1:17" ht="31.5" x14ac:dyDescent="0.25">
      <c r="A183" s="375"/>
      <c r="B183" s="377" t="s">
        <v>565</v>
      </c>
      <c r="C183" s="446"/>
      <c r="D183" s="446"/>
      <c r="E183" s="446"/>
      <c r="F183" s="446"/>
      <c r="G183" s="447"/>
      <c r="H183" s="356"/>
      <c r="I183" s="446"/>
      <c r="J183" s="446"/>
      <c r="K183" s="447"/>
      <c r="L183" s="366"/>
      <c r="M183" s="446"/>
      <c r="N183" s="447"/>
      <c r="O183" s="448"/>
      <c r="P183" s="356"/>
    </row>
    <row r="184" spans="1:17" ht="31.5" x14ac:dyDescent="0.25">
      <c r="A184" s="375"/>
      <c r="B184" s="376" t="s">
        <v>1033</v>
      </c>
      <c r="C184" s="446"/>
      <c r="D184" s="446"/>
      <c r="E184" s="446"/>
      <c r="F184" s="446"/>
      <c r="G184" s="447"/>
      <c r="H184" s="356">
        <f>SUM(C184:G184)</f>
        <v>0</v>
      </c>
      <c r="I184" s="446">
        <v>3000</v>
      </c>
      <c r="J184" s="446"/>
      <c r="K184" s="447"/>
      <c r="L184" s="366">
        <f>SUM(I184:K184)</f>
        <v>3000</v>
      </c>
      <c r="M184" s="446"/>
      <c r="N184" s="447"/>
      <c r="O184" s="448"/>
      <c r="P184" s="356">
        <f>O184+L184+H184</f>
        <v>3000</v>
      </c>
      <c r="Q184" s="383" t="s">
        <v>655</v>
      </c>
    </row>
    <row r="185" spans="1:17" ht="47.25" x14ac:dyDescent="0.25">
      <c r="A185" s="375"/>
      <c r="B185" s="376" t="s">
        <v>868</v>
      </c>
      <c r="C185" s="446"/>
      <c r="D185" s="446"/>
      <c r="E185" s="446">
        <v>80</v>
      </c>
      <c r="F185" s="446"/>
      <c r="G185" s="447"/>
      <c r="H185" s="356">
        <f>SUM(C185:G185)</f>
        <v>80</v>
      </c>
      <c r="I185" s="446"/>
      <c r="J185" s="446"/>
      <c r="K185" s="447"/>
      <c r="L185" s="366">
        <f>SUM(I185:K185)</f>
        <v>0</v>
      </c>
      <c r="M185" s="446"/>
      <c r="N185" s="447"/>
      <c r="O185" s="448"/>
      <c r="P185" s="356">
        <f>O185+L185+H185</f>
        <v>80</v>
      </c>
      <c r="Q185" s="383" t="s">
        <v>655</v>
      </c>
    </row>
    <row r="186" spans="1:17" x14ac:dyDescent="0.25">
      <c r="A186" s="375"/>
      <c r="B186" s="409" t="s">
        <v>1046</v>
      </c>
      <c r="C186" s="446"/>
      <c r="D186" s="446"/>
      <c r="E186" s="410"/>
      <c r="F186" s="446"/>
      <c r="G186" s="447"/>
      <c r="H186" s="356">
        <f t="shared" ref="H186:H187" si="161">SUM(C186:G186)</f>
        <v>0</v>
      </c>
      <c r="I186" s="446">
        <v>-4000</v>
      </c>
      <c r="J186" s="354"/>
      <c r="K186" s="447"/>
      <c r="L186" s="366">
        <f t="shared" ref="L186:L187" si="162">SUM(I186:K186)</f>
        <v>-4000</v>
      </c>
      <c r="M186" s="446"/>
      <c r="N186" s="447"/>
      <c r="O186" s="448"/>
      <c r="P186" s="356">
        <f t="shared" ref="P186:P187" si="163">O186+L186+H186</f>
        <v>-4000</v>
      </c>
      <c r="Q186" s="383" t="s">
        <v>658</v>
      </c>
    </row>
    <row r="187" spans="1:17" x14ac:dyDescent="0.25">
      <c r="A187" s="375"/>
      <c r="B187" s="409" t="s">
        <v>1047</v>
      </c>
      <c r="C187" s="446"/>
      <c r="D187" s="446"/>
      <c r="E187" s="410"/>
      <c r="F187" s="446"/>
      <c r="G187" s="447"/>
      <c r="H187" s="356">
        <f t="shared" si="161"/>
        <v>0</v>
      </c>
      <c r="I187" s="446">
        <v>-55000</v>
      </c>
      <c r="J187" s="354"/>
      <c r="K187" s="447"/>
      <c r="L187" s="366">
        <f t="shared" si="162"/>
        <v>-55000</v>
      </c>
      <c r="M187" s="446"/>
      <c r="N187" s="447"/>
      <c r="O187" s="448"/>
      <c r="P187" s="356">
        <f t="shared" si="163"/>
        <v>-55000</v>
      </c>
      <c r="Q187" s="383" t="s">
        <v>655</v>
      </c>
    </row>
    <row r="188" spans="1:17" x14ac:dyDescent="0.25">
      <c r="A188" s="375"/>
      <c r="B188" s="377" t="s">
        <v>671</v>
      </c>
      <c r="C188" s="446"/>
      <c r="D188" s="446"/>
      <c r="E188" s="410"/>
      <c r="F188" s="446"/>
      <c r="G188" s="447"/>
      <c r="H188" s="356"/>
      <c r="I188" s="446"/>
      <c r="J188" s="354"/>
      <c r="K188" s="447"/>
      <c r="L188" s="366"/>
      <c r="M188" s="446"/>
      <c r="N188" s="447"/>
      <c r="O188" s="448"/>
      <c r="P188" s="356"/>
    </row>
    <row r="189" spans="1:17" x14ac:dyDescent="0.25">
      <c r="A189" s="375"/>
      <c r="B189" s="409" t="s">
        <v>1047</v>
      </c>
      <c r="C189" s="446"/>
      <c r="D189" s="446"/>
      <c r="E189" s="410">
        <v>24</v>
      </c>
      <c r="F189" s="446"/>
      <c r="G189" s="447"/>
      <c r="H189" s="356">
        <f t="shared" ref="H189" si="164">SUM(C189:G189)</f>
        <v>24</v>
      </c>
      <c r="I189" s="446">
        <v>-24</v>
      </c>
      <c r="J189" s="354"/>
      <c r="K189" s="447"/>
      <c r="L189" s="366">
        <f t="shared" ref="L189" si="165">SUM(I189:K189)</f>
        <v>-24</v>
      </c>
      <c r="M189" s="446"/>
      <c r="N189" s="447"/>
      <c r="O189" s="448"/>
      <c r="P189" s="356">
        <f t="shared" ref="P189" si="166">O189+L189+H189</f>
        <v>0</v>
      </c>
      <c r="Q189" s="383" t="s">
        <v>655</v>
      </c>
    </row>
    <row r="190" spans="1:17" x14ac:dyDescent="0.25">
      <c r="A190" s="375"/>
      <c r="B190" s="409" t="s">
        <v>1047</v>
      </c>
      <c r="C190" s="446">
        <v>900</v>
      </c>
      <c r="D190" s="446"/>
      <c r="E190" s="410">
        <v>-900</v>
      </c>
      <c r="F190" s="446"/>
      <c r="G190" s="447"/>
      <c r="H190" s="356">
        <f t="shared" ref="H190" si="167">SUM(C190:G190)</f>
        <v>0</v>
      </c>
      <c r="I190" s="354"/>
      <c r="J190" s="354"/>
      <c r="K190" s="447"/>
      <c r="L190" s="366">
        <f t="shared" ref="L190" si="168">SUM(I190:K190)</f>
        <v>0</v>
      </c>
      <c r="M190" s="446"/>
      <c r="N190" s="447"/>
      <c r="O190" s="448"/>
      <c r="P190" s="356">
        <f t="shared" ref="P190" si="169">O190+L190+H190</f>
        <v>0</v>
      </c>
      <c r="Q190" s="383" t="s">
        <v>655</v>
      </c>
    </row>
    <row r="191" spans="1:17" ht="47.25" x14ac:dyDescent="0.25">
      <c r="A191" s="375"/>
      <c r="B191" s="409" t="s">
        <v>1094</v>
      </c>
      <c r="C191" s="446"/>
      <c r="D191" s="446"/>
      <c r="E191" s="410">
        <v>8920</v>
      </c>
      <c r="F191" s="446"/>
      <c r="G191" s="447"/>
      <c r="H191" s="356">
        <f t="shared" ref="H191" si="170">SUM(C191:G191)</f>
        <v>8920</v>
      </c>
      <c r="I191" s="354"/>
      <c r="J191" s="410">
        <v>-8920</v>
      </c>
      <c r="K191" s="447"/>
      <c r="L191" s="366">
        <f t="shared" ref="L191" si="171">SUM(I191:K191)</f>
        <v>-8920</v>
      </c>
      <c r="M191" s="446"/>
      <c r="N191" s="447"/>
      <c r="O191" s="448"/>
      <c r="P191" s="356">
        <f t="shared" ref="P191" si="172">O191+L191+H191</f>
        <v>0</v>
      </c>
      <c r="Q191" s="383" t="s">
        <v>658</v>
      </c>
    </row>
    <row r="192" spans="1:17" x14ac:dyDescent="0.25">
      <c r="A192" s="450"/>
      <c r="B192" s="376"/>
      <c r="C192" s="410"/>
      <c r="D192" s="410"/>
      <c r="E192" s="410"/>
      <c r="F192" s="410"/>
      <c r="G192" s="437"/>
      <c r="H192" s="356"/>
      <c r="I192" s="354"/>
      <c r="J192" s="354"/>
      <c r="K192" s="437"/>
      <c r="L192" s="366"/>
      <c r="M192" s="354"/>
      <c r="N192" s="355"/>
      <c r="O192" s="356"/>
      <c r="P192" s="356"/>
    </row>
    <row r="193" spans="1:17" s="358" customFormat="1" x14ac:dyDescent="0.25">
      <c r="A193" s="375" t="s">
        <v>87</v>
      </c>
      <c r="B193" s="379" t="s">
        <v>65</v>
      </c>
      <c r="C193" s="380"/>
      <c r="D193" s="380"/>
      <c r="E193" s="380"/>
      <c r="F193" s="380"/>
      <c r="G193" s="380"/>
      <c r="H193" s="366"/>
      <c r="I193" s="380"/>
      <c r="J193" s="380"/>
      <c r="K193" s="380"/>
      <c r="L193" s="366"/>
      <c r="M193" s="380"/>
      <c r="N193" s="380"/>
      <c r="O193" s="366"/>
      <c r="P193" s="356"/>
    </row>
    <row r="194" spans="1:17" s="374" customFormat="1" x14ac:dyDescent="0.25">
      <c r="A194" s="369"/>
      <c r="B194" s="377" t="s">
        <v>870</v>
      </c>
      <c r="C194" s="370"/>
      <c r="D194" s="370"/>
      <c r="E194" s="370"/>
      <c r="F194" s="370"/>
      <c r="G194" s="371"/>
      <c r="H194" s="372"/>
      <c r="I194" s="370"/>
      <c r="J194" s="370"/>
      <c r="K194" s="371"/>
      <c r="L194" s="373"/>
      <c r="M194" s="370"/>
      <c r="N194" s="371"/>
      <c r="O194" s="372"/>
      <c r="P194" s="372"/>
    </row>
    <row r="195" spans="1:17" ht="50.25" customHeight="1" x14ac:dyDescent="0.25">
      <c r="A195" s="450"/>
      <c r="B195" s="442" t="s">
        <v>1007</v>
      </c>
      <c r="C195" s="410"/>
      <c r="D195" s="410"/>
      <c r="E195" s="410">
        <v>2500</v>
      </c>
      <c r="F195" s="410"/>
      <c r="G195" s="437"/>
      <c r="H195" s="356">
        <f>SUM(C195:G195)</f>
        <v>2500</v>
      </c>
      <c r="I195" s="410">
        <v>2500</v>
      </c>
      <c r="J195" s="354"/>
      <c r="K195" s="437"/>
      <c r="L195" s="366">
        <f>SUM(I195:K195)</f>
        <v>2500</v>
      </c>
      <c r="M195" s="354"/>
      <c r="N195" s="355"/>
      <c r="O195" s="356"/>
      <c r="P195" s="356">
        <f>O195+L195+H195</f>
        <v>5000</v>
      </c>
      <c r="Q195" s="383" t="s">
        <v>655</v>
      </c>
    </row>
    <row r="196" spans="1:17" ht="49.5" customHeight="1" x14ac:dyDescent="0.25">
      <c r="A196" s="375"/>
      <c r="B196" s="376" t="s">
        <v>1239</v>
      </c>
      <c r="C196" s="446"/>
      <c r="D196" s="446"/>
      <c r="E196" s="446">
        <f>297+79</f>
        <v>376</v>
      </c>
      <c r="F196" s="446"/>
      <c r="G196" s="447"/>
      <c r="H196" s="356">
        <f t="shared" ref="H196" si="173">SUM(C196:G196)</f>
        <v>376</v>
      </c>
      <c r="I196" s="446"/>
      <c r="J196" s="446"/>
      <c r="K196" s="447"/>
      <c r="L196" s="366">
        <f t="shared" ref="L196" si="174">SUM(I196:K196)</f>
        <v>0</v>
      </c>
      <c r="M196" s="446"/>
      <c r="N196" s="447"/>
      <c r="O196" s="448"/>
      <c r="P196" s="356">
        <f t="shared" ref="P196" si="175">O196+L196+H196</f>
        <v>376</v>
      </c>
      <c r="Q196" s="383" t="s">
        <v>783</v>
      </c>
    </row>
    <row r="197" spans="1:17" s="374" customFormat="1" ht="31.5" x14ac:dyDescent="0.25">
      <c r="A197" s="369"/>
      <c r="B197" s="377" t="s">
        <v>565</v>
      </c>
      <c r="C197" s="370"/>
      <c r="D197" s="370"/>
      <c r="E197" s="370"/>
      <c r="F197" s="370"/>
      <c r="G197" s="371"/>
      <c r="H197" s="372"/>
      <c r="I197" s="370"/>
      <c r="J197" s="370"/>
      <c r="K197" s="371"/>
      <c r="L197" s="373"/>
      <c r="M197" s="370"/>
      <c r="N197" s="371"/>
      <c r="O197" s="372"/>
      <c r="P197" s="372"/>
    </row>
    <row r="198" spans="1:17" x14ac:dyDescent="0.25">
      <c r="A198" s="450"/>
      <c r="B198" s="442" t="s">
        <v>1022</v>
      </c>
      <c r="C198" s="410"/>
      <c r="D198" s="410"/>
      <c r="E198" s="370"/>
      <c r="F198" s="410"/>
      <c r="G198" s="410">
        <v>45</v>
      </c>
      <c r="H198" s="356">
        <f>SUM(C198:G198)</f>
        <v>45</v>
      </c>
      <c r="I198" s="354"/>
      <c r="J198" s="354"/>
      <c r="K198" s="437"/>
      <c r="L198" s="366">
        <f>SUM(I198:K198)</f>
        <v>0</v>
      </c>
      <c r="M198" s="354"/>
      <c r="N198" s="355"/>
      <c r="O198" s="356"/>
      <c r="P198" s="356">
        <f>O198+L198+H198</f>
        <v>45</v>
      </c>
      <c r="Q198" s="383" t="s">
        <v>658</v>
      </c>
    </row>
    <row r="199" spans="1:17" x14ac:dyDescent="0.25">
      <c r="A199" s="450"/>
      <c r="B199" s="377" t="s">
        <v>671</v>
      </c>
      <c r="C199" s="410"/>
      <c r="D199" s="410"/>
      <c r="E199" s="410"/>
      <c r="F199" s="410"/>
      <c r="G199" s="437"/>
      <c r="H199" s="356">
        <f t="shared" ref="H199" si="176">SUM(C199:G199)</f>
        <v>0</v>
      </c>
      <c r="I199" s="354"/>
      <c r="J199" s="354"/>
      <c r="K199" s="437"/>
      <c r="L199" s="366">
        <f t="shared" ref="L199" si="177">SUM(I199:K199)</f>
        <v>0</v>
      </c>
      <c r="M199" s="354"/>
      <c r="N199" s="355"/>
      <c r="O199" s="356"/>
      <c r="P199" s="356">
        <f t="shared" ref="P199" si="178">O199+L199+H199</f>
        <v>0</v>
      </c>
    </row>
    <row r="200" spans="1:17" ht="94.5" x14ac:dyDescent="0.25">
      <c r="A200" s="450"/>
      <c r="B200" s="442" t="s">
        <v>1095</v>
      </c>
      <c r="C200" s="410"/>
      <c r="D200" s="410"/>
      <c r="E200" s="410">
        <v>3500</v>
      </c>
      <c r="F200" s="410"/>
      <c r="G200" s="437"/>
      <c r="H200" s="356">
        <f t="shared" ref="H200" si="179">SUM(C200:G200)</f>
        <v>3500</v>
      </c>
      <c r="I200" s="410">
        <v>-3500</v>
      </c>
      <c r="J200" s="354"/>
      <c r="K200" s="437"/>
      <c r="L200" s="366">
        <f t="shared" ref="L200" si="180">SUM(I200:K200)</f>
        <v>-3500</v>
      </c>
      <c r="M200" s="354"/>
      <c r="N200" s="355"/>
      <c r="O200" s="356"/>
      <c r="P200" s="356">
        <f t="shared" ref="P200" si="181">O200+L200+H200</f>
        <v>0</v>
      </c>
      <c r="Q200" s="383" t="s">
        <v>658</v>
      </c>
    </row>
    <row r="201" spans="1:17" ht="31.5" x14ac:dyDescent="0.25">
      <c r="A201" s="450"/>
      <c r="B201" s="442" t="s">
        <v>1108</v>
      </c>
      <c r="C201" s="410"/>
      <c r="D201" s="410"/>
      <c r="E201" s="410"/>
      <c r="F201" s="410"/>
      <c r="G201" s="437">
        <f>42000-22000</f>
        <v>20000</v>
      </c>
      <c r="H201" s="356">
        <f t="shared" ref="H201" si="182">SUM(C201:G201)</f>
        <v>20000</v>
      </c>
      <c r="I201" s="354"/>
      <c r="J201" s="354"/>
      <c r="K201" s="437"/>
      <c r="L201" s="366">
        <f t="shared" ref="L201" si="183">SUM(I201:K201)</f>
        <v>0</v>
      </c>
      <c r="M201" s="354"/>
      <c r="N201" s="355"/>
      <c r="O201" s="356"/>
      <c r="P201" s="356">
        <f t="shared" ref="P201" si="184">O201+L201+H201</f>
        <v>20000</v>
      </c>
      <c r="Q201" s="383" t="s">
        <v>658</v>
      </c>
    </row>
    <row r="202" spans="1:17" ht="31.5" x14ac:dyDescent="0.25">
      <c r="A202" s="450"/>
      <c r="B202" s="442" t="s">
        <v>1516</v>
      </c>
      <c r="C202" s="410"/>
      <c r="D202" s="410"/>
      <c r="E202" s="410"/>
      <c r="F202" s="410"/>
      <c r="G202" s="437">
        <f>10000+30000-110470</f>
        <v>-70470</v>
      </c>
      <c r="H202" s="356">
        <f t="shared" ref="H202" si="185">SUM(C202:G202)</f>
        <v>-70470</v>
      </c>
      <c r="I202" s="354"/>
      <c r="J202" s="354"/>
      <c r="K202" s="437"/>
      <c r="L202" s="366">
        <f t="shared" ref="L202" si="186">SUM(I202:K202)</f>
        <v>0</v>
      </c>
      <c r="M202" s="354"/>
      <c r="N202" s="355"/>
      <c r="O202" s="356"/>
      <c r="P202" s="356">
        <f t="shared" ref="P202" si="187">O202+L202+H202</f>
        <v>-70470</v>
      </c>
      <c r="Q202" s="383" t="s">
        <v>658</v>
      </c>
    </row>
    <row r="203" spans="1:17" x14ac:dyDescent="0.25">
      <c r="A203" s="450"/>
      <c r="B203" s="442"/>
      <c r="C203" s="410"/>
      <c r="D203" s="410"/>
      <c r="E203" s="410"/>
      <c r="F203" s="410"/>
      <c r="G203" s="437"/>
      <c r="H203" s="356"/>
      <c r="I203" s="354"/>
      <c r="J203" s="354"/>
      <c r="K203" s="437"/>
      <c r="L203" s="366"/>
      <c r="M203" s="354"/>
      <c r="N203" s="355"/>
      <c r="O203" s="356"/>
      <c r="P203" s="356"/>
    </row>
    <row r="204" spans="1:17" s="358" customFormat="1" x14ac:dyDescent="0.25">
      <c r="A204" s="375" t="s">
        <v>91</v>
      </c>
      <c r="B204" s="379" t="s">
        <v>43</v>
      </c>
      <c r="C204" s="380"/>
      <c r="D204" s="380"/>
      <c r="E204" s="380"/>
      <c r="F204" s="380"/>
      <c r="G204" s="380"/>
      <c r="H204" s="366"/>
      <c r="I204" s="380"/>
      <c r="J204" s="380"/>
      <c r="K204" s="380"/>
      <c r="L204" s="366"/>
      <c r="M204" s="380"/>
      <c r="N204" s="380"/>
      <c r="O204" s="366"/>
      <c r="P204" s="356"/>
    </row>
    <row r="205" spans="1:17" x14ac:dyDescent="0.25">
      <c r="A205" s="375"/>
      <c r="B205" s="378" t="s">
        <v>92</v>
      </c>
      <c r="C205" s="446"/>
      <c r="D205" s="438"/>
      <c r="E205" s="438"/>
      <c r="F205" s="438"/>
      <c r="G205" s="447"/>
      <c r="H205" s="366"/>
      <c r="I205" s="446"/>
      <c r="J205" s="446"/>
      <c r="K205" s="449"/>
      <c r="L205" s="366"/>
      <c r="M205" s="446"/>
      <c r="N205" s="449"/>
      <c r="O205" s="448"/>
      <c r="P205" s="366"/>
    </row>
    <row r="206" spans="1:17" ht="31.5" x14ac:dyDescent="0.25">
      <c r="A206" s="450"/>
      <c r="B206" s="377" t="s">
        <v>565</v>
      </c>
      <c r="C206" s="410"/>
      <c r="D206" s="410"/>
      <c r="E206" s="410"/>
      <c r="F206" s="410"/>
      <c r="G206" s="437"/>
      <c r="H206" s="356"/>
      <c r="I206" s="354"/>
      <c r="J206" s="354"/>
      <c r="K206" s="437"/>
      <c r="L206" s="366"/>
      <c r="M206" s="354"/>
      <c r="N206" s="355"/>
      <c r="O206" s="356"/>
      <c r="P206" s="356"/>
    </row>
    <row r="207" spans="1:17" ht="31.5" x14ac:dyDescent="0.25">
      <c r="A207" s="450"/>
      <c r="B207" s="442" t="s">
        <v>1040</v>
      </c>
      <c r="C207" s="410"/>
      <c r="D207" s="410"/>
      <c r="E207" s="410"/>
      <c r="F207" s="410"/>
      <c r="G207" s="437"/>
      <c r="H207" s="356">
        <f t="shared" ref="H207" si="188">SUM(C207:G207)</f>
        <v>0</v>
      </c>
      <c r="I207" s="354"/>
      <c r="J207" s="354"/>
      <c r="K207" s="437">
        <v>3993</v>
      </c>
      <c r="L207" s="366">
        <f t="shared" ref="L207" si="189">SUM(I207:K207)</f>
        <v>3993</v>
      </c>
      <c r="M207" s="354"/>
      <c r="N207" s="355"/>
      <c r="O207" s="356"/>
      <c r="P207" s="356">
        <f t="shared" ref="P207" si="190">O207+L207+H207</f>
        <v>3993</v>
      </c>
      <c r="Q207" s="383" t="s">
        <v>655</v>
      </c>
    </row>
    <row r="208" spans="1:17" ht="31.5" x14ac:dyDescent="0.25">
      <c r="A208" s="450"/>
      <c r="B208" s="442" t="s">
        <v>867</v>
      </c>
      <c r="C208" s="410"/>
      <c r="D208" s="410"/>
      <c r="E208" s="410"/>
      <c r="F208" s="410"/>
      <c r="G208" s="437">
        <v>844</v>
      </c>
      <c r="H208" s="356">
        <f t="shared" ref="H208:H212" si="191">SUM(C208:G208)</f>
        <v>844</v>
      </c>
      <c r="I208" s="354"/>
      <c r="J208" s="354"/>
      <c r="K208" s="437"/>
      <c r="L208" s="366">
        <f t="shared" ref="L208:L212" si="192">SUM(I208:K208)</f>
        <v>0</v>
      </c>
      <c r="M208" s="354"/>
      <c r="N208" s="355"/>
      <c r="O208" s="356"/>
      <c r="P208" s="356">
        <f t="shared" ref="P208:P212" si="193">O208+L208+H208</f>
        <v>844</v>
      </c>
      <c r="Q208" s="383" t="s">
        <v>655</v>
      </c>
    </row>
    <row r="209" spans="1:17" x14ac:dyDescent="0.25">
      <c r="A209" s="450"/>
      <c r="B209" s="377" t="s">
        <v>671</v>
      </c>
      <c r="C209" s="410"/>
      <c r="D209" s="410"/>
      <c r="E209" s="410"/>
      <c r="F209" s="410"/>
      <c r="G209" s="437"/>
      <c r="H209" s="356">
        <f t="shared" si="191"/>
        <v>0</v>
      </c>
      <c r="I209" s="354"/>
      <c r="J209" s="354"/>
      <c r="K209" s="437"/>
      <c r="L209" s="366">
        <f t="shared" si="192"/>
        <v>0</v>
      </c>
      <c r="M209" s="354"/>
      <c r="N209" s="355"/>
      <c r="O209" s="356"/>
      <c r="P209" s="356">
        <f t="shared" si="193"/>
        <v>0</v>
      </c>
    </row>
    <row r="210" spans="1:17" ht="31.5" x14ac:dyDescent="0.25">
      <c r="A210" s="450"/>
      <c r="B210" s="442" t="s">
        <v>1084</v>
      </c>
      <c r="C210" s="410">
        <v>197</v>
      </c>
      <c r="D210" s="410">
        <v>-197</v>
      </c>
      <c r="E210" s="410"/>
      <c r="F210" s="410"/>
      <c r="G210" s="437"/>
      <c r="H210" s="356">
        <f t="shared" si="191"/>
        <v>0</v>
      </c>
      <c r="I210" s="354"/>
      <c r="J210" s="354"/>
      <c r="K210" s="437"/>
      <c r="L210" s="366">
        <f t="shared" si="192"/>
        <v>0</v>
      </c>
      <c r="M210" s="354"/>
      <c r="N210" s="355"/>
      <c r="O210" s="356"/>
      <c r="P210" s="356">
        <f t="shared" si="193"/>
        <v>0</v>
      </c>
      <c r="Q210" s="383" t="s">
        <v>655</v>
      </c>
    </row>
    <row r="211" spans="1:17" ht="31.5" x14ac:dyDescent="0.25">
      <c r="A211" s="450"/>
      <c r="B211" s="442" t="s">
        <v>1141</v>
      </c>
      <c r="C211" s="410"/>
      <c r="D211" s="410"/>
      <c r="E211" s="410"/>
      <c r="F211" s="410"/>
      <c r="G211" s="437">
        <v>423</v>
      </c>
      <c r="H211" s="356">
        <f t="shared" si="191"/>
        <v>423</v>
      </c>
      <c r="I211" s="354"/>
      <c r="J211" s="354"/>
      <c r="K211" s="437"/>
      <c r="L211" s="366">
        <f t="shared" si="192"/>
        <v>0</v>
      </c>
      <c r="M211" s="354"/>
      <c r="N211" s="355"/>
      <c r="O211" s="356"/>
      <c r="P211" s="356">
        <f t="shared" si="193"/>
        <v>423</v>
      </c>
      <c r="Q211" s="383" t="s">
        <v>655</v>
      </c>
    </row>
    <row r="212" spans="1:17" ht="31.5" x14ac:dyDescent="0.25">
      <c r="A212" s="450"/>
      <c r="B212" s="442" t="s">
        <v>1242</v>
      </c>
      <c r="C212" s="410"/>
      <c r="D212" s="410"/>
      <c r="E212" s="410"/>
      <c r="F212" s="410"/>
      <c r="G212" s="437">
        <v>-2000</v>
      </c>
      <c r="H212" s="356">
        <f t="shared" si="191"/>
        <v>-2000</v>
      </c>
      <c r="I212" s="354"/>
      <c r="J212" s="354"/>
      <c r="K212" s="437">
        <v>2000</v>
      </c>
      <c r="L212" s="366">
        <f t="shared" si="192"/>
        <v>2000</v>
      </c>
      <c r="M212" s="354"/>
      <c r="N212" s="355"/>
      <c r="O212" s="356"/>
      <c r="P212" s="356">
        <f t="shared" si="193"/>
        <v>0</v>
      </c>
      <c r="Q212" s="383" t="s">
        <v>655</v>
      </c>
    </row>
    <row r="213" spans="1:17" x14ac:dyDescent="0.25">
      <c r="A213" s="450"/>
      <c r="B213" s="442"/>
      <c r="C213" s="410"/>
      <c r="D213" s="410"/>
      <c r="E213" s="410"/>
      <c r="F213" s="410"/>
      <c r="G213" s="437"/>
      <c r="H213" s="356"/>
      <c r="I213" s="354"/>
      <c r="J213" s="354"/>
      <c r="K213" s="437"/>
      <c r="L213" s="366"/>
      <c r="M213" s="354"/>
      <c r="N213" s="355"/>
      <c r="O213" s="356"/>
      <c r="P213" s="356"/>
    </row>
    <row r="214" spans="1:17" ht="33" customHeight="1" x14ac:dyDescent="0.25">
      <c r="A214" s="375"/>
      <c r="B214" s="378" t="s">
        <v>93</v>
      </c>
      <c r="C214" s="446"/>
      <c r="D214" s="438"/>
      <c r="E214" s="438"/>
      <c r="F214" s="438"/>
      <c r="G214" s="447"/>
      <c r="H214" s="356"/>
      <c r="I214" s="446"/>
      <c r="J214" s="446"/>
      <c r="K214" s="449"/>
      <c r="L214" s="366"/>
      <c r="M214" s="446"/>
      <c r="N214" s="449"/>
      <c r="O214" s="448"/>
      <c r="P214" s="356"/>
    </row>
    <row r="215" spans="1:17" ht="31.5" x14ac:dyDescent="0.25">
      <c r="A215" s="375"/>
      <c r="B215" s="377" t="s">
        <v>565</v>
      </c>
      <c r="C215" s="446"/>
      <c r="D215" s="438"/>
      <c r="E215" s="438"/>
      <c r="F215" s="438"/>
      <c r="G215" s="447"/>
      <c r="H215" s="356"/>
      <c r="I215" s="446"/>
      <c r="J215" s="446"/>
      <c r="K215" s="449"/>
      <c r="L215" s="366"/>
      <c r="M215" s="446"/>
      <c r="N215" s="449"/>
      <c r="O215" s="448"/>
      <c r="P215" s="356">
        <f t="shared" ref="P215:P216" si="194">O215+L215+H215</f>
        <v>0</v>
      </c>
    </row>
    <row r="216" spans="1:17" ht="31.5" x14ac:dyDescent="0.25">
      <c r="A216" s="375"/>
      <c r="B216" s="442" t="s">
        <v>1005</v>
      </c>
      <c r="C216" s="446"/>
      <c r="D216" s="438"/>
      <c r="E216" s="438">
        <v>-3439</v>
      </c>
      <c r="F216" s="438"/>
      <c r="G216" s="447">
        <v>-4000</v>
      </c>
      <c r="H216" s="356">
        <f t="shared" ref="H216" si="195">SUM(C216:G216)</f>
        <v>-7439</v>
      </c>
      <c r="I216" s="446"/>
      <c r="J216" s="446"/>
      <c r="K216" s="449"/>
      <c r="L216" s="366">
        <f t="shared" ref="L216" si="196">SUM(I216:K216)</f>
        <v>0</v>
      </c>
      <c r="M216" s="446"/>
      <c r="N216" s="449"/>
      <c r="O216" s="448"/>
      <c r="P216" s="356">
        <f t="shared" si="194"/>
        <v>-7439</v>
      </c>
      <c r="Q216" s="383" t="s">
        <v>655</v>
      </c>
    </row>
    <row r="217" spans="1:17" x14ac:dyDescent="0.25">
      <c r="A217" s="375"/>
      <c r="B217" s="377" t="s">
        <v>671</v>
      </c>
      <c r="C217" s="446"/>
      <c r="D217" s="438"/>
      <c r="E217" s="438"/>
      <c r="F217" s="438"/>
      <c r="G217" s="447"/>
      <c r="H217" s="356"/>
      <c r="I217" s="446"/>
      <c r="J217" s="446"/>
      <c r="K217" s="449"/>
      <c r="L217" s="366"/>
      <c r="M217" s="446"/>
      <c r="N217" s="449"/>
      <c r="O217" s="448"/>
      <c r="P217" s="356">
        <f t="shared" ref="P217" si="197">O217+L217+H217</f>
        <v>0</v>
      </c>
    </row>
    <row r="218" spans="1:17" ht="47.25" x14ac:dyDescent="0.25">
      <c r="A218" s="375"/>
      <c r="B218" s="442" t="s">
        <v>876</v>
      </c>
      <c r="C218" s="446"/>
      <c r="D218" s="438"/>
      <c r="E218" s="438"/>
      <c r="F218" s="438"/>
      <c r="G218" s="447">
        <v>1000</v>
      </c>
      <c r="H218" s="356">
        <f t="shared" ref="H218" si="198">SUM(C218:G218)</f>
        <v>1000</v>
      </c>
      <c r="I218" s="446"/>
      <c r="J218" s="446"/>
      <c r="K218" s="449"/>
      <c r="L218" s="366">
        <f t="shared" ref="L218" si="199">SUM(I218:K218)</f>
        <v>0</v>
      </c>
      <c r="M218" s="446"/>
      <c r="N218" s="449"/>
      <c r="O218" s="448"/>
      <c r="P218" s="356">
        <f t="shared" ref="P218" si="200">O218+L218+H218</f>
        <v>1000</v>
      </c>
      <c r="Q218" s="383" t="s">
        <v>655</v>
      </c>
    </row>
    <row r="219" spans="1:17" ht="47.25" x14ac:dyDescent="0.25">
      <c r="A219" s="375"/>
      <c r="B219" s="442" t="s">
        <v>1145</v>
      </c>
      <c r="C219" s="446"/>
      <c r="D219" s="438"/>
      <c r="E219" s="438"/>
      <c r="F219" s="438"/>
      <c r="G219" s="447">
        <v>18660</v>
      </c>
      <c r="H219" s="356">
        <f t="shared" ref="H219" si="201">SUM(C219:G219)</f>
        <v>18660</v>
      </c>
      <c r="I219" s="446"/>
      <c r="J219" s="446"/>
      <c r="K219" s="446"/>
      <c r="L219" s="366">
        <f t="shared" ref="L219" si="202">SUM(I219:K219)</f>
        <v>0</v>
      </c>
      <c r="M219" s="446"/>
      <c r="N219" s="449"/>
      <c r="O219" s="448"/>
      <c r="P219" s="356">
        <f t="shared" ref="P219" si="203">O219+L219+H219</f>
        <v>18660</v>
      </c>
      <c r="Q219" s="383" t="s">
        <v>655</v>
      </c>
    </row>
    <row r="220" spans="1:17" x14ac:dyDescent="0.25">
      <c r="A220" s="375"/>
      <c r="B220" s="378" t="s">
        <v>94</v>
      </c>
      <c r="C220" s="446"/>
      <c r="D220" s="438"/>
      <c r="E220" s="438"/>
      <c r="F220" s="438"/>
      <c r="G220" s="447"/>
      <c r="H220" s="356"/>
      <c r="I220" s="446"/>
      <c r="J220" s="446"/>
      <c r="K220" s="449"/>
      <c r="L220" s="366"/>
      <c r="M220" s="446"/>
      <c r="N220" s="449"/>
      <c r="O220" s="448"/>
      <c r="P220" s="356"/>
    </row>
    <row r="221" spans="1:17" x14ac:dyDescent="0.25">
      <c r="A221" s="375"/>
      <c r="B221" s="377" t="s">
        <v>671</v>
      </c>
      <c r="C221" s="446"/>
      <c r="D221" s="438"/>
      <c r="E221" s="438"/>
      <c r="F221" s="438"/>
      <c r="G221" s="447"/>
      <c r="H221" s="356"/>
      <c r="I221" s="446"/>
      <c r="J221" s="446"/>
      <c r="K221" s="449"/>
      <c r="L221" s="366"/>
      <c r="M221" s="446"/>
      <c r="N221" s="449"/>
      <c r="O221" s="448"/>
      <c r="P221" s="356"/>
    </row>
    <row r="222" spans="1:17" x14ac:dyDescent="0.25">
      <c r="A222" s="375"/>
      <c r="B222" s="409" t="s">
        <v>956</v>
      </c>
      <c r="C222" s="446"/>
      <c r="D222" s="438"/>
      <c r="E222" s="438">
        <v>-200000</v>
      </c>
      <c r="F222" s="438"/>
      <c r="G222" s="438">
        <v>200000</v>
      </c>
      <c r="H222" s="356">
        <f t="shared" ref="H222" si="204">SUM(C222:G222)</f>
        <v>0</v>
      </c>
      <c r="I222" s="446"/>
      <c r="J222" s="446"/>
      <c r="K222" s="449"/>
      <c r="L222" s="366">
        <f t="shared" ref="L222" si="205">SUM(I222:K222)</f>
        <v>0</v>
      </c>
      <c r="M222" s="446"/>
      <c r="N222" s="449"/>
      <c r="O222" s="448"/>
      <c r="P222" s="356">
        <f t="shared" ref="P222" si="206">O222+L222+H222</f>
        <v>0</v>
      </c>
      <c r="Q222" s="383" t="s">
        <v>654</v>
      </c>
    </row>
    <row r="223" spans="1:17" x14ac:dyDescent="0.25">
      <c r="A223" s="375"/>
      <c r="B223" s="409" t="s">
        <v>835</v>
      </c>
      <c r="C223" s="446">
        <f>-1016-84</f>
        <v>-1100</v>
      </c>
      <c r="D223" s="438">
        <v>-109</v>
      </c>
      <c r="E223" s="438">
        <v>-1065</v>
      </c>
      <c r="F223" s="438"/>
      <c r="G223" s="447">
        <f>2190+84</f>
        <v>2274</v>
      </c>
      <c r="H223" s="356">
        <f t="shared" ref="H223:H229" si="207">SUM(C223:G223)</f>
        <v>0</v>
      </c>
      <c r="I223" s="446"/>
      <c r="J223" s="446"/>
      <c r="K223" s="449"/>
      <c r="L223" s="366">
        <f t="shared" ref="L223:L229" si="208">SUM(I223:K223)</f>
        <v>0</v>
      </c>
      <c r="M223" s="446"/>
      <c r="N223" s="449"/>
      <c r="O223" s="448"/>
      <c r="P223" s="356">
        <f t="shared" ref="P223:P229" si="209">O223+L223+H223</f>
        <v>0</v>
      </c>
      <c r="Q223" s="383" t="s">
        <v>655</v>
      </c>
    </row>
    <row r="224" spans="1:17" x14ac:dyDescent="0.25">
      <c r="A224" s="375"/>
      <c r="B224" s="409" t="s">
        <v>1083</v>
      </c>
      <c r="C224" s="446">
        <v>559</v>
      </c>
      <c r="D224" s="438">
        <v>54</v>
      </c>
      <c r="E224" s="438">
        <v>-613</v>
      </c>
      <c r="F224" s="438"/>
      <c r="G224" s="447"/>
      <c r="H224" s="356">
        <f>SUM(C224:G224)</f>
        <v>0</v>
      </c>
      <c r="I224" s="446"/>
      <c r="J224" s="446"/>
      <c r="K224" s="449"/>
      <c r="L224" s="366">
        <f t="shared" si="208"/>
        <v>0</v>
      </c>
      <c r="M224" s="446"/>
      <c r="N224" s="449"/>
      <c r="O224" s="448"/>
      <c r="P224" s="356">
        <f t="shared" si="209"/>
        <v>0</v>
      </c>
      <c r="Q224" s="383" t="s">
        <v>654</v>
      </c>
    </row>
    <row r="225" spans="1:17" x14ac:dyDescent="0.25">
      <c r="A225" s="375"/>
      <c r="B225" s="409" t="s">
        <v>1085</v>
      </c>
      <c r="C225" s="446">
        <v>80</v>
      </c>
      <c r="D225" s="438">
        <v>-80</v>
      </c>
      <c r="E225" s="438"/>
      <c r="F225" s="438"/>
      <c r="G225" s="447"/>
      <c r="H225" s="356">
        <f t="shared" ref="H225:H228" si="210">SUM(C225:G225)</f>
        <v>0</v>
      </c>
      <c r="I225" s="446"/>
      <c r="J225" s="446"/>
      <c r="K225" s="449"/>
      <c r="L225" s="366">
        <f t="shared" ref="L225:L228" si="211">SUM(I225:K225)</f>
        <v>0</v>
      </c>
      <c r="M225" s="446"/>
      <c r="N225" s="449"/>
      <c r="O225" s="448"/>
      <c r="P225" s="356">
        <f t="shared" ref="P225:P228" si="212">O225+L225+H225</f>
        <v>0</v>
      </c>
      <c r="Q225" s="383" t="s">
        <v>654</v>
      </c>
    </row>
    <row r="226" spans="1:17" x14ac:dyDescent="0.25">
      <c r="A226" s="375"/>
      <c r="B226" s="409" t="s">
        <v>1091</v>
      </c>
      <c r="C226" s="446"/>
      <c r="D226" s="438"/>
      <c r="E226" s="438">
        <v>500</v>
      </c>
      <c r="F226" s="438"/>
      <c r="G226" s="447"/>
      <c r="H226" s="356">
        <f t="shared" si="210"/>
        <v>500</v>
      </c>
      <c r="I226" s="446"/>
      <c r="J226" s="446"/>
      <c r="K226" s="449"/>
      <c r="L226" s="366">
        <f t="shared" si="211"/>
        <v>0</v>
      </c>
      <c r="M226" s="446"/>
      <c r="N226" s="449"/>
      <c r="O226" s="448"/>
      <c r="P226" s="356">
        <f t="shared" si="212"/>
        <v>500</v>
      </c>
      <c r="Q226" s="383" t="s">
        <v>654</v>
      </c>
    </row>
    <row r="227" spans="1:17" x14ac:dyDescent="0.25">
      <c r="A227" s="375"/>
      <c r="B227" s="409" t="s">
        <v>1091</v>
      </c>
      <c r="C227" s="446"/>
      <c r="D227" s="438"/>
      <c r="E227" s="438">
        <v>-500</v>
      </c>
      <c r="F227" s="438"/>
      <c r="G227" s="447"/>
      <c r="H227" s="356">
        <f t="shared" si="210"/>
        <v>-500</v>
      </c>
      <c r="I227" s="446"/>
      <c r="J227" s="446"/>
      <c r="K227" s="449"/>
      <c r="L227" s="366">
        <f t="shared" si="211"/>
        <v>0</v>
      </c>
      <c r="M227" s="446"/>
      <c r="N227" s="449"/>
      <c r="O227" s="448"/>
      <c r="P227" s="356">
        <f t="shared" si="212"/>
        <v>-500</v>
      </c>
      <c r="Q227" s="383" t="s">
        <v>655</v>
      </c>
    </row>
    <row r="228" spans="1:17" x14ac:dyDescent="0.25">
      <c r="A228" s="375"/>
      <c r="B228" s="409" t="s">
        <v>835</v>
      </c>
      <c r="C228" s="446"/>
      <c r="D228" s="438"/>
      <c r="E228" s="438">
        <v>3429</v>
      </c>
      <c r="F228" s="438"/>
      <c r="G228" s="447"/>
      <c r="H228" s="356">
        <f t="shared" si="210"/>
        <v>3429</v>
      </c>
      <c r="I228" s="446">
        <v>-3429</v>
      </c>
      <c r="J228" s="446"/>
      <c r="K228" s="449"/>
      <c r="L228" s="366">
        <f t="shared" si="211"/>
        <v>-3429</v>
      </c>
      <c r="M228" s="446"/>
      <c r="N228" s="449"/>
      <c r="O228" s="448"/>
      <c r="P228" s="356">
        <f t="shared" si="212"/>
        <v>0</v>
      </c>
      <c r="Q228" s="383" t="s">
        <v>655</v>
      </c>
    </row>
    <row r="229" spans="1:17" ht="31.5" x14ac:dyDescent="0.25">
      <c r="A229" s="375"/>
      <c r="B229" s="409" t="s">
        <v>1147</v>
      </c>
      <c r="C229" s="446"/>
      <c r="D229" s="438"/>
      <c r="E229" s="438"/>
      <c r="F229" s="438"/>
      <c r="G229" s="447">
        <v>2000</v>
      </c>
      <c r="H229" s="356">
        <f t="shared" si="207"/>
        <v>2000</v>
      </c>
      <c r="I229" s="446"/>
      <c r="J229" s="446"/>
      <c r="K229" s="449"/>
      <c r="L229" s="366">
        <f t="shared" si="208"/>
        <v>0</v>
      </c>
      <c r="M229" s="446"/>
      <c r="N229" s="449"/>
      <c r="O229" s="448"/>
      <c r="P229" s="356">
        <f t="shared" si="209"/>
        <v>2000</v>
      </c>
      <c r="Q229" s="383" t="s">
        <v>655</v>
      </c>
    </row>
    <row r="230" spans="1:17" x14ac:dyDescent="0.25">
      <c r="A230" s="375"/>
      <c r="B230" s="377" t="s">
        <v>871</v>
      </c>
      <c r="C230" s="446"/>
      <c r="D230" s="438"/>
      <c r="E230" s="438"/>
      <c r="F230" s="438"/>
      <c r="G230" s="447"/>
      <c r="H230" s="356">
        <f t="shared" ref="H230:H232" si="213">SUM(C230:G230)</f>
        <v>0</v>
      </c>
      <c r="I230" s="446"/>
      <c r="J230" s="446"/>
      <c r="K230" s="449"/>
      <c r="L230" s="366">
        <f t="shared" ref="L230:L234" si="214">SUM(I230:K230)</f>
        <v>0</v>
      </c>
      <c r="M230" s="446"/>
      <c r="N230" s="449"/>
      <c r="O230" s="448"/>
      <c r="P230" s="356">
        <f t="shared" ref="P230:P232" si="215">O230+L230+H230</f>
        <v>0</v>
      </c>
    </row>
    <row r="231" spans="1:17" ht="63" x14ac:dyDescent="0.25">
      <c r="A231" s="375"/>
      <c r="B231" s="409" t="s">
        <v>1082</v>
      </c>
      <c r="C231" s="446"/>
      <c r="D231" s="438"/>
      <c r="E231" s="438"/>
      <c r="F231" s="438"/>
      <c r="G231" s="438">
        <v>-11355</v>
      </c>
      <c r="H231" s="356">
        <f t="shared" si="213"/>
        <v>-11355</v>
      </c>
      <c r="I231" s="446"/>
      <c r="J231" s="446"/>
      <c r="K231" s="449"/>
      <c r="L231" s="366">
        <f t="shared" si="214"/>
        <v>0</v>
      </c>
      <c r="M231" s="446"/>
      <c r="N231" s="449"/>
      <c r="O231" s="448"/>
      <c r="P231" s="356">
        <f t="shared" si="215"/>
        <v>-11355</v>
      </c>
      <c r="Q231" s="383" t="s">
        <v>654</v>
      </c>
    </row>
    <row r="232" spans="1:17" ht="47.25" x14ac:dyDescent="0.25">
      <c r="A232" s="375"/>
      <c r="B232" s="409" t="s">
        <v>1081</v>
      </c>
      <c r="C232" s="446"/>
      <c r="D232" s="438"/>
      <c r="E232" s="438">
        <v>-100000</v>
      </c>
      <c r="F232" s="438"/>
      <c r="G232" s="438"/>
      <c r="H232" s="356">
        <f t="shared" si="213"/>
        <v>-100000</v>
      </c>
      <c r="I232" s="446"/>
      <c r="J232" s="446"/>
      <c r="K232" s="449"/>
      <c r="L232" s="366">
        <f t="shared" si="214"/>
        <v>0</v>
      </c>
      <c r="M232" s="446"/>
      <c r="N232" s="449"/>
      <c r="O232" s="448"/>
      <c r="P232" s="356">
        <f t="shared" si="215"/>
        <v>-100000</v>
      </c>
      <c r="Q232" s="383" t="s">
        <v>654</v>
      </c>
    </row>
    <row r="233" spans="1:17" ht="31.5" x14ac:dyDescent="0.25">
      <c r="A233" s="375"/>
      <c r="B233" s="377" t="s">
        <v>565</v>
      </c>
      <c r="C233" s="446"/>
      <c r="D233" s="438"/>
      <c r="E233" s="438"/>
      <c r="F233" s="438"/>
      <c r="G233" s="447"/>
      <c r="H233" s="356"/>
      <c r="I233" s="446"/>
      <c r="J233" s="446"/>
      <c r="K233" s="449"/>
      <c r="L233" s="366">
        <f t="shared" si="214"/>
        <v>0</v>
      </c>
      <c r="M233" s="446"/>
      <c r="N233" s="449"/>
      <c r="O233" s="448"/>
      <c r="P233" s="356"/>
    </row>
    <row r="234" spans="1:17" ht="31.5" x14ac:dyDescent="0.25">
      <c r="A234" s="375"/>
      <c r="B234" s="409" t="s">
        <v>834</v>
      </c>
      <c r="C234" s="446"/>
      <c r="D234" s="438"/>
      <c r="E234" s="438"/>
      <c r="F234" s="438"/>
      <c r="G234" s="447">
        <v>8000</v>
      </c>
      <c r="H234" s="356">
        <f t="shared" ref="H234" si="216">SUM(C234:G234)</f>
        <v>8000</v>
      </c>
      <c r="I234" s="446"/>
      <c r="J234" s="446"/>
      <c r="K234" s="449"/>
      <c r="L234" s="366">
        <f t="shared" si="214"/>
        <v>0</v>
      </c>
      <c r="M234" s="446"/>
      <c r="N234" s="449"/>
      <c r="O234" s="448"/>
      <c r="P234" s="356">
        <f t="shared" ref="P234" si="217">O234+L234+H234</f>
        <v>8000</v>
      </c>
      <c r="Q234" s="383" t="s">
        <v>655</v>
      </c>
    </row>
    <row r="235" spans="1:17" x14ac:dyDescent="0.25">
      <c r="A235" s="375"/>
      <c r="B235" s="378" t="s">
        <v>95</v>
      </c>
      <c r="C235" s="446"/>
      <c r="D235" s="438"/>
      <c r="E235" s="438"/>
      <c r="F235" s="438"/>
      <c r="G235" s="447"/>
      <c r="H235" s="356"/>
      <c r="I235" s="446"/>
      <c r="J235" s="446"/>
      <c r="K235" s="449"/>
      <c r="L235" s="366"/>
      <c r="M235" s="446"/>
      <c r="N235" s="449"/>
      <c r="O235" s="448"/>
      <c r="P235" s="356"/>
    </row>
    <row r="236" spans="1:17" x14ac:dyDescent="0.25">
      <c r="A236" s="375"/>
      <c r="B236" s="377" t="s">
        <v>671</v>
      </c>
      <c r="C236" s="446"/>
      <c r="D236" s="438"/>
      <c r="E236" s="438"/>
      <c r="F236" s="438"/>
      <c r="G236" s="447"/>
      <c r="H236" s="356"/>
      <c r="I236" s="446"/>
      <c r="J236" s="446"/>
      <c r="K236" s="449"/>
      <c r="L236" s="366"/>
      <c r="M236" s="446"/>
      <c r="N236" s="449"/>
      <c r="O236" s="448"/>
      <c r="P236" s="356"/>
    </row>
    <row r="237" spans="1:17" x14ac:dyDescent="0.25">
      <c r="A237" s="375"/>
      <c r="B237" s="409" t="s">
        <v>861</v>
      </c>
      <c r="C237" s="446">
        <f>-2064-4000</f>
        <v>-6064</v>
      </c>
      <c r="D237" s="438">
        <f>-303-1000</f>
        <v>-1303</v>
      </c>
      <c r="E237" s="438">
        <v>-11000</v>
      </c>
      <c r="F237" s="438"/>
      <c r="G237" s="447"/>
      <c r="H237" s="356">
        <f t="shared" ref="H237" si="218">SUM(C237:G237)</f>
        <v>-18367</v>
      </c>
      <c r="I237" s="446"/>
      <c r="J237" s="446"/>
      <c r="K237" s="449"/>
      <c r="L237" s="366">
        <f t="shared" ref="L237" si="219">SUM(I237:K237)</f>
        <v>0</v>
      </c>
      <c r="M237" s="446"/>
      <c r="N237" s="449"/>
      <c r="O237" s="448"/>
      <c r="P237" s="356">
        <f t="shared" ref="P237" si="220">O237+L237+H237</f>
        <v>-18367</v>
      </c>
      <c r="Q237" s="383" t="s">
        <v>658</v>
      </c>
    </row>
    <row r="238" spans="1:17" x14ac:dyDescent="0.25">
      <c r="A238" s="375"/>
      <c r="B238" s="409" t="s">
        <v>1212</v>
      </c>
      <c r="C238" s="446">
        <v>-1500</v>
      </c>
      <c r="D238" s="438">
        <v>-300</v>
      </c>
      <c r="E238" s="438">
        <v>-1600</v>
      </c>
      <c r="F238" s="438"/>
      <c r="G238" s="447"/>
      <c r="H238" s="356">
        <f t="shared" ref="H238" si="221">SUM(C238:G238)</f>
        <v>-3400</v>
      </c>
      <c r="I238" s="446"/>
      <c r="J238" s="446"/>
      <c r="K238" s="449"/>
      <c r="L238" s="366">
        <f t="shared" ref="L238" si="222">SUM(I238:K238)</f>
        <v>0</v>
      </c>
      <c r="M238" s="446"/>
      <c r="N238" s="449"/>
      <c r="O238" s="448"/>
      <c r="P238" s="356">
        <f t="shared" ref="P238" si="223">O238+L238+H238</f>
        <v>-3400</v>
      </c>
      <c r="Q238" s="383" t="s">
        <v>658</v>
      </c>
    </row>
    <row r="239" spans="1:17" ht="31.5" x14ac:dyDescent="0.25">
      <c r="A239" s="375"/>
      <c r="B239" s="378" t="s">
        <v>238</v>
      </c>
      <c r="C239" s="446"/>
      <c r="D239" s="438"/>
      <c r="E239" s="438"/>
      <c r="F239" s="438"/>
      <c r="G239" s="447"/>
      <c r="H239" s="356"/>
      <c r="I239" s="446"/>
      <c r="J239" s="446"/>
      <c r="K239" s="449"/>
      <c r="L239" s="366"/>
      <c r="M239" s="446"/>
      <c r="N239" s="449"/>
      <c r="O239" s="448"/>
      <c r="P239" s="356"/>
    </row>
    <row r="240" spans="1:17" x14ac:dyDescent="0.25">
      <c r="A240" s="375"/>
      <c r="B240" s="377" t="s">
        <v>671</v>
      </c>
      <c r="C240" s="446"/>
      <c r="D240" s="438"/>
      <c r="E240" s="438"/>
      <c r="F240" s="438"/>
      <c r="G240" s="447"/>
      <c r="H240" s="356"/>
      <c r="I240" s="446"/>
      <c r="J240" s="446"/>
      <c r="K240" s="449"/>
      <c r="L240" s="366"/>
      <c r="M240" s="446"/>
      <c r="N240" s="449"/>
      <c r="O240" s="448"/>
      <c r="P240" s="356"/>
    </row>
    <row r="241" spans="1:17" x14ac:dyDescent="0.25">
      <c r="A241" s="375"/>
      <c r="B241" s="409" t="s">
        <v>1150</v>
      </c>
      <c r="C241" s="446"/>
      <c r="D241" s="438"/>
      <c r="E241" s="438"/>
      <c r="F241" s="438"/>
      <c r="G241" s="898">
        <v>60000</v>
      </c>
      <c r="H241" s="356">
        <f t="shared" ref="H241" si="224">SUM(C241:G241)</f>
        <v>60000</v>
      </c>
      <c r="I241" s="446"/>
      <c r="J241" s="446"/>
      <c r="K241" s="449"/>
      <c r="L241" s="366">
        <f t="shared" ref="L241" si="225">SUM(I241:K241)</f>
        <v>0</v>
      </c>
      <c r="M241" s="446"/>
      <c r="N241" s="449"/>
      <c r="O241" s="448"/>
      <c r="P241" s="356">
        <f t="shared" ref="P241" si="226">O241+L241+H241</f>
        <v>60000</v>
      </c>
      <c r="Q241" s="383" t="s">
        <v>783</v>
      </c>
    </row>
    <row r="242" spans="1:17" x14ac:dyDescent="0.25">
      <c r="A242" s="375"/>
      <c r="B242" s="378" t="s">
        <v>134</v>
      </c>
      <c r="C242" s="446"/>
      <c r="D242" s="438"/>
      <c r="E242" s="438"/>
      <c r="F242" s="438"/>
      <c r="G242" s="447"/>
      <c r="H242" s="356"/>
      <c r="I242" s="446"/>
      <c r="J242" s="446"/>
      <c r="K242" s="449"/>
      <c r="L242" s="366"/>
      <c r="M242" s="446"/>
      <c r="N242" s="449"/>
      <c r="O242" s="448"/>
      <c r="P242" s="356"/>
    </row>
    <row r="243" spans="1:17" x14ac:dyDescent="0.25">
      <c r="A243" s="375"/>
      <c r="B243" s="385" t="s">
        <v>239</v>
      </c>
      <c r="C243" s="446"/>
      <c r="D243" s="438"/>
      <c r="E243" s="438"/>
      <c r="F243" s="438"/>
      <c r="G243" s="447"/>
      <c r="H243" s="356"/>
      <c r="I243" s="446"/>
      <c r="J243" s="446"/>
      <c r="K243" s="449"/>
      <c r="L243" s="366"/>
      <c r="M243" s="446"/>
      <c r="N243" s="449"/>
      <c r="O243" s="448"/>
      <c r="P243" s="356"/>
    </row>
    <row r="244" spans="1:17" x14ac:dyDescent="0.25">
      <c r="A244" s="375"/>
      <c r="B244" s="377" t="s">
        <v>671</v>
      </c>
      <c r="C244" s="446"/>
      <c r="D244" s="438"/>
      <c r="E244" s="438"/>
      <c r="F244" s="438"/>
      <c r="G244" s="447"/>
      <c r="H244" s="356"/>
      <c r="I244" s="446"/>
      <c r="J244" s="446"/>
      <c r="K244" s="449"/>
      <c r="L244" s="366"/>
      <c r="M244" s="446"/>
      <c r="N244" s="449"/>
      <c r="O244" s="448"/>
      <c r="P244" s="356"/>
    </row>
    <row r="245" spans="1:17" ht="47.25" x14ac:dyDescent="0.25">
      <c r="A245" s="375"/>
      <c r="B245" s="409" t="s">
        <v>1110</v>
      </c>
      <c r="C245" s="446"/>
      <c r="D245" s="438"/>
      <c r="E245" s="438"/>
      <c r="F245" s="438"/>
      <c r="G245" s="438">
        <v>-31802</v>
      </c>
      <c r="H245" s="356">
        <f t="shared" ref="H245" si="227">SUM(C245:G245)</f>
        <v>-31802</v>
      </c>
      <c r="I245" s="446"/>
      <c r="J245" s="446"/>
      <c r="K245" s="449"/>
      <c r="L245" s="366">
        <f t="shared" ref="L245" si="228">SUM(I245:K245)</f>
        <v>0</v>
      </c>
      <c r="M245" s="446"/>
      <c r="N245" s="449"/>
      <c r="O245" s="448"/>
      <c r="P245" s="356">
        <f t="shared" ref="P245" si="229">O245+L245+H245</f>
        <v>-31802</v>
      </c>
      <c r="Q245" s="383" t="s">
        <v>783</v>
      </c>
    </row>
    <row r="246" spans="1:17" ht="31.5" x14ac:dyDescent="0.25">
      <c r="A246" s="375"/>
      <c r="B246" s="377" t="s">
        <v>565</v>
      </c>
      <c r="C246" s="446"/>
      <c r="D246" s="438"/>
      <c r="E246" s="438"/>
      <c r="F246" s="438"/>
      <c r="G246" s="438"/>
      <c r="H246" s="356">
        <f t="shared" ref="H246:H247" si="230">SUM(C246:G246)</f>
        <v>0</v>
      </c>
      <c r="I246" s="446"/>
      <c r="J246" s="446"/>
      <c r="K246" s="449"/>
      <c r="L246" s="366">
        <f t="shared" ref="L246:L247" si="231">SUM(I246:K246)</f>
        <v>0</v>
      </c>
      <c r="M246" s="446"/>
      <c r="N246" s="449"/>
      <c r="O246" s="448"/>
      <c r="P246" s="356">
        <f t="shared" ref="P246:P247" si="232">O246+L246+H246</f>
        <v>0</v>
      </c>
    </row>
    <row r="247" spans="1:17" x14ac:dyDescent="0.25">
      <c r="A247" s="375"/>
      <c r="B247" s="409" t="s">
        <v>784</v>
      </c>
      <c r="C247" s="446"/>
      <c r="D247" s="438"/>
      <c r="E247" s="438"/>
      <c r="F247" s="438"/>
      <c r="G247" s="438">
        <f>-8000-15000</f>
        <v>-23000</v>
      </c>
      <c r="H247" s="356">
        <f t="shared" si="230"/>
        <v>-23000</v>
      </c>
      <c r="I247" s="446"/>
      <c r="J247" s="446"/>
      <c r="K247" s="449"/>
      <c r="L247" s="366">
        <f t="shared" si="231"/>
        <v>0</v>
      </c>
      <c r="M247" s="446"/>
      <c r="N247" s="449"/>
      <c r="O247" s="448"/>
      <c r="P247" s="356">
        <f t="shared" si="232"/>
        <v>-23000</v>
      </c>
      <c r="Q247" s="383" t="s">
        <v>655</v>
      </c>
    </row>
    <row r="248" spans="1:17" x14ac:dyDescent="0.25">
      <c r="A248" s="375"/>
      <c r="B248" s="409"/>
      <c r="C248" s="446"/>
      <c r="D248" s="438"/>
      <c r="E248" s="438"/>
      <c r="F248" s="438"/>
      <c r="G248" s="438"/>
      <c r="H248" s="356">
        <f t="shared" ref="H248" si="233">SUM(C248:G248)</f>
        <v>0</v>
      </c>
      <c r="I248" s="446"/>
      <c r="J248" s="446"/>
      <c r="K248" s="449"/>
      <c r="L248" s="366">
        <f t="shared" ref="L248" si="234">SUM(I248:K248)</f>
        <v>0</v>
      </c>
      <c r="M248" s="446"/>
      <c r="N248" s="449"/>
      <c r="O248" s="448"/>
      <c r="P248" s="356">
        <f t="shared" ref="P248" si="235">O248+L248+H248</f>
        <v>0</v>
      </c>
    </row>
    <row r="249" spans="1:17" x14ac:dyDescent="0.25">
      <c r="A249" s="375" t="s">
        <v>96</v>
      </c>
      <c r="B249" s="385" t="s">
        <v>839</v>
      </c>
      <c r="C249" s="446"/>
      <c r="D249" s="438"/>
      <c r="E249" s="438"/>
      <c r="F249" s="438"/>
      <c r="G249" s="447"/>
      <c r="H249" s="356"/>
      <c r="I249" s="446"/>
      <c r="J249" s="446"/>
      <c r="K249" s="449"/>
      <c r="L249" s="366"/>
      <c r="M249" s="446"/>
      <c r="N249" s="449"/>
      <c r="O249" s="448"/>
      <c r="P249" s="356"/>
    </row>
    <row r="250" spans="1:17" x14ac:dyDescent="0.25">
      <c r="A250" s="375"/>
      <c r="B250" s="377" t="s">
        <v>671</v>
      </c>
      <c r="C250" s="446"/>
      <c r="D250" s="438"/>
      <c r="E250" s="438"/>
      <c r="F250" s="438"/>
      <c r="G250" s="447"/>
      <c r="H250" s="356"/>
      <c r="I250" s="446"/>
      <c r="J250" s="446"/>
      <c r="K250" s="449"/>
      <c r="L250" s="366"/>
      <c r="M250" s="446"/>
      <c r="N250" s="449"/>
      <c r="O250" s="448"/>
      <c r="P250" s="356"/>
    </row>
    <row r="251" spans="1:17" x14ac:dyDescent="0.25">
      <c r="A251" s="375"/>
      <c r="B251" s="409" t="s">
        <v>838</v>
      </c>
      <c r="C251" s="446"/>
      <c r="D251" s="438"/>
      <c r="E251" s="438"/>
      <c r="F251" s="438"/>
      <c r="G251" s="438"/>
      <c r="H251" s="356">
        <f t="shared" ref="H251" si="236">SUM(C251:G251)</f>
        <v>0</v>
      </c>
      <c r="I251" s="446"/>
      <c r="J251" s="446"/>
      <c r="K251" s="449"/>
      <c r="L251" s="366">
        <f t="shared" ref="L251" si="237">SUM(I251:K251)</f>
        <v>0</v>
      </c>
      <c r="M251" s="446"/>
      <c r="N251" s="449"/>
      <c r="O251" s="448"/>
      <c r="P251" s="356">
        <f t="shared" ref="P251" si="238">O251+L251+H251</f>
        <v>0</v>
      </c>
      <c r="Q251" s="383" t="s">
        <v>658</v>
      </c>
    </row>
    <row r="252" spans="1:17" x14ac:dyDescent="0.25">
      <c r="A252" s="375" t="s">
        <v>97</v>
      </c>
      <c r="B252" s="385" t="s">
        <v>304</v>
      </c>
      <c r="C252" s="446"/>
      <c r="D252" s="438"/>
      <c r="E252" s="438"/>
      <c r="F252" s="438"/>
      <c r="G252" s="447"/>
      <c r="H252" s="356"/>
      <c r="I252" s="446"/>
      <c r="J252" s="446"/>
      <c r="K252" s="449"/>
      <c r="L252" s="366"/>
      <c r="M252" s="446"/>
      <c r="N252" s="449"/>
      <c r="O252" s="448"/>
      <c r="P252" s="356"/>
    </row>
    <row r="253" spans="1:17" x14ac:dyDescent="0.25">
      <c r="A253" s="375"/>
      <c r="B253" s="385" t="s">
        <v>1087</v>
      </c>
      <c r="C253" s="446"/>
      <c r="D253" s="438"/>
      <c r="E253" s="438"/>
      <c r="F253" s="438"/>
      <c r="G253" s="447"/>
      <c r="H253" s="356"/>
      <c r="I253" s="446"/>
      <c r="J253" s="446"/>
      <c r="K253" s="449"/>
      <c r="L253" s="366"/>
      <c r="M253" s="446"/>
      <c r="N253" s="449"/>
      <c r="O253" s="448"/>
      <c r="P253" s="356"/>
    </row>
    <row r="254" spans="1:17" x14ac:dyDescent="0.25">
      <c r="A254" s="375"/>
      <c r="B254" s="377" t="s">
        <v>671</v>
      </c>
      <c r="C254" s="446"/>
      <c r="D254" s="438"/>
      <c r="E254" s="438"/>
      <c r="F254" s="438"/>
      <c r="G254" s="447"/>
      <c r="H254" s="356"/>
      <c r="I254" s="446"/>
      <c r="J254" s="446"/>
      <c r="K254" s="449"/>
      <c r="L254" s="366"/>
      <c r="M254" s="446"/>
      <c r="N254" s="449"/>
      <c r="O254" s="448"/>
      <c r="P254" s="356"/>
    </row>
    <row r="255" spans="1:17" x14ac:dyDescent="0.25">
      <c r="A255" s="375"/>
      <c r="B255" s="409" t="s">
        <v>1088</v>
      </c>
      <c r="C255" s="446"/>
      <c r="D255" s="438"/>
      <c r="E255" s="438">
        <v>-3005</v>
      </c>
      <c r="F255" s="438"/>
      <c r="G255" s="438"/>
      <c r="H255" s="356">
        <f t="shared" ref="H255" si="239">SUM(C255:G255)</f>
        <v>-3005</v>
      </c>
      <c r="I255" s="446">
        <v>3005</v>
      </c>
      <c r="J255" s="446"/>
      <c r="K255" s="449"/>
      <c r="L255" s="366">
        <f t="shared" ref="L255" si="240">SUM(I255:K255)</f>
        <v>3005</v>
      </c>
      <c r="M255" s="446"/>
      <c r="N255" s="449"/>
      <c r="O255" s="448"/>
      <c r="P255" s="356">
        <f t="shared" ref="P255" si="241">O255+L255+H255</f>
        <v>0</v>
      </c>
      <c r="Q255" s="383" t="s">
        <v>658</v>
      </c>
    </row>
    <row r="256" spans="1:17" x14ac:dyDescent="0.25">
      <c r="A256" s="375"/>
      <c r="B256" s="409" t="s">
        <v>1088</v>
      </c>
      <c r="C256" s="446"/>
      <c r="D256" s="438"/>
      <c r="E256" s="438">
        <v>1500</v>
      </c>
      <c r="F256" s="438"/>
      <c r="G256" s="438"/>
      <c r="H256" s="356">
        <f t="shared" ref="H256" si="242">SUM(C256:G256)</f>
        <v>1500</v>
      </c>
      <c r="I256" s="446">
        <v>-10000</v>
      </c>
      <c r="J256" s="446"/>
      <c r="K256" s="449"/>
      <c r="L256" s="366">
        <f t="shared" ref="L256" si="243">SUM(I256:K256)</f>
        <v>-10000</v>
      </c>
      <c r="M256" s="446"/>
      <c r="N256" s="449"/>
      <c r="O256" s="448"/>
      <c r="P256" s="356">
        <f t="shared" ref="P256" si="244">O256+L256+H256</f>
        <v>-8500</v>
      </c>
      <c r="Q256" s="383" t="s">
        <v>1112</v>
      </c>
    </row>
    <row r="257" spans="1:17" x14ac:dyDescent="0.25">
      <c r="A257" s="375"/>
      <c r="B257" s="377" t="s">
        <v>1114</v>
      </c>
      <c r="C257" s="446"/>
      <c r="D257" s="438"/>
      <c r="E257" s="438"/>
      <c r="F257" s="438"/>
      <c r="G257" s="447"/>
      <c r="H257" s="356"/>
      <c r="I257" s="446"/>
      <c r="J257" s="446"/>
      <c r="K257" s="449"/>
      <c r="L257" s="366"/>
      <c r="M257" s="446"/>
      <c r="N257" s="449"/>
      <c r="O257" s="448"/>
      <c r="P257" s="356"/>
    </row>
    <row r="258" spans="1:17" x14ac:dyDescent="0.25">
      <c r="A258" s="375"/>
      <c r="B258" s="409" t="s">
        <v>1088</v>
      </c>
      <c r="C258" s="446"/>
      <c r="D258" s="438"/>
      <c r="E258" s="438">
        <f>-600+5</f>
        <v>-595</v>
      </c>
      <c r="F258" s="438"/>
      <c r="G258" s="438"/>
      <c r="H258" s="356">
        <f t="shared" ref="H258" si="245">SUM(C258:G258)</f>
        <v>-595</v>
      </c>
      <c r="I258" s="446">
        <v>-3920</v>
      </c>
      <c r="J258" s="446"/>
      <c r="K258" s="449"/>
      <c r="L258" s="366">
        <f t="shared" ref="L258" si="246">SUM(I258:K258)</f>
        <v>-3920</v>
      </c>
      <c r="M258" s="446"/>
      <c r="N258" s="449"/>
      <c r="O258" s="448"/>
      <c r="P258" s="356">
        <f t="shared" ref="P258" si="247">O258+L258+H258</f>
        <v>-4515</v>
      </c>
      <c r="Q258" s="383" t="s">
        <v>658</v>
      </c>
    </row>
    <row r="259" spans="1:17" x14ac:dyDescent="0.25">
      <c r="A259" s="375"/>
      <c r="B259" s="409"/>
      <c r="C259" s="446"/>
      <c r="D259" s="438"/>
      <c r="E259" s="438"/>
      <c r="F259" s="438"/>
      <c r="G259" s="447"/>
      <c r="H259" s="356"/>
      <c r="I259" s="446"/>
      <c r="J259" s="446"/>
      <c r="K259" s="449"/>
      <c r="L259" s="366"/>
      <c r="M259" s="446"/>
      <c r="N259" s="449"/>
      <c r="O259" s="448"/>
      <c r="P259" s="356"/>
    </row>
    <row r="260" spans="1:17" x14ac:dyDescent="0.25">
      <c r="A260" s="375"/>
      <c r="B260" s="385" t="s">
        <v>620</v>
      </c>
      <c r="C260" s="446"/>
      <c r="D260" s="438"/>
      <c r="E260" s="438"/>
      <c r="F260" s="438"/>
      <c r="G260" s="447"/>
      <c r="H260" s="356"/>
      <c r="I260" s="446"/>
      <c r="J260" s="446"/>
      <c r="K260" s="449"/>
      <c r="L260" s="366"/>
      <c r="M260" s="446"/>
      <c r="N260" s="449"/>
      <c r="O260" s="448"/>
      <c r="P260" s="356"/>
    </row>
    <row r="261" spans="1:17" ht="31.5" x14ac:dyDescent="0.25">
      <c r="A261" s="375"/>
      <c r="B261" s="377" t="s">
        <v>565</v>
      </c>
      <c r="C261" s="446"/>
      <c r="D261" s="438"/>
      <c r="E261" s="438"/>
      <c r="F261" s="438"/>
      <c r="G261" s="447"/>
      <c r="H261" s="356"/>
      <c r="I261" s="446"/>
      <c r="J261" s="446"/>
      <c r="K261" s="449"/>
      <c r="L261" s="366"/>
      <c r="M261" s="446"/>
      <c r="N261" s="449"/>
      <c r="O261" s="448"/>
      <c r="P261" s="356"/>
    </row>
    <row r="262" spans="1:17" x14ac:dyDescent="0.25">
      <c r="A262" s="375"/>
      <c r="B262" s="409" t="s">
        <v>859</v>
      </c>
      <c r="C262" s="446"/>
      <c r="D262" s="438"/>
      <c r="E262" s="438"/>
      <c r="F262" s="438"/>
      <c r="G262" s="438">
        <v>15000</v>
      </c>
      <c r="H262" s="356">
        <f t="shared" ref="H262" si="248">SUM(C262:G262)</f>
        <v>15000</v>
      </c>
      <c r="I262" s="446"/>
      <c r="J262" s="446"/>
      <c r="K262" s="449"/>
      <c r="L262" s="366">
        <f t="shared" ref="L262" si="249">SUM(I262:K262)</f>
        <v>0</v>
      </c>
      <c r="M262" s="446"/>
      <c r="N262" s="449"/>
      <c r="O262" s="448"/>
      <c r="P262" s="356">
        <f t="shared" ref="P262" si="250">O262+L262+H262</f>
        <v>15000</v>
      </c>
      <c r="Q262" s="383" t="s">
        <v>655</v>
      </c>
    </row>
    <row r="263" spans="1:17" x14ac:dyDescent="0.25">
      <c r="A263" s="375"/>
      <c r="B263" s="409"/>
      <c r="C263" s="446"/>
      <c r="D263" s="438"/>
      <c r="E263" s="438"/>
      <c r="F263" s="438"/>
      <c r="G263" s="438"/>
      <c r="H263" s="356">
        <f t="shared" ref="H263" si="251">SUM(C263:G263)</f>
        <v>0</v>
      </c>
      <c r="I263" s="446"/>
      <c r="J263" s="446"/>
      <c r="K263" s="449"/>
      <c r="L263" s="366">
        <f t="shared" ref="L263" si="252">SUM(I263:K263)</f>
        <v>0</v>
      </c>
      <c r="M263" s="446"/>
      <c r="N263" s="449"/>
      <c r="O263" s="448"/>
      <c r="P263" s="356">
        <f t="shared" ref="P263" si="253">O263+L263+H263</f>
        <v>0</v>
      </c>
      <c r="Q263" s="383" t="s">
        <v>658</v>
      </c>
    </row>
    <row r="264" spans="1:17" x14ac:dyDescent="0.25">
      <c r="A264" s="375"/>
      <c r="B264" s="385" t="s">
        <v>1086</v>
      </c>
      <c r="C264" s="446"/>
      <c r="D264" s="438"/>
      <c r="E264" s="438"/>
      <c r="F264" s="438"/>
      <c r="G264" s="447"/>
      <c r="H264" s="356"/>
      <c r="I264" s="446"/>
      <c r="J264" s="446"/>
      <c r="K264" s="449"/>
      <c r="L264" s="366"/>
      <c r="M264" s="446"/>
      <c r="N264" s="449"/>
      <c r="O264" s="448"/>
      <c r="P264" s="356"/>
    </row>
    <row r="265" spans="1:17" ht="31.5" x14ac:dyDescent="0.25">
      <c r="A265" s="375"/>
      <c r="B265" s="377" t="s">
        <v>565</v>
      </c>
      <c r="C265" s="446"/>
      <c r="D265" s="438"/>
      <c r="E265" s="438"/>
      <c r="F265" s="438"/>
      <c r="G265" s="447"/>
      <c r="H265" s="356"/>
      <c r="I265" s="446"/>
      <c r="J265" s="446"/>
      <c r="K265" s="449"/>
      <c r="L265" s="366"/>
      <c r="M265" s="446"/>
      <c r="N265" s="449"/>
      <c r="O265" s="448"/>
      <c r="P265" s="356"/>
    </row>
    <row r="266" spans="1:17" x14ac:dyDescent="0.25">
      <c r="A266" s="375"/>
      <c r="B266" s="409" t="s">
        <v>1020</v>
      </c>
      <c r="C266" s="446"/>
      <c r="D266" s="438"/>
      <c r="E266" s="438"/>
      <c r="F266" s="438"/>
      <c r="G266" s="438">
        <v>5000</v>
      </c>
      <c r="H266" s="356">
        <f t="shared" ref="H266" si="254">SUM(C266:G266)</f>
        <v>5000</v>
      </c>
      <c r="I266" s="446"/>
      <c r="J266" s="446"/>
      <c r="K266" s="449"/>
      <c r="L266" s="366">
        <f t="shared" ref="L266" si="255">SUM(I266:K266)</f>
        <v>0</v>
      </c>
      <c r="M266" s="446"/>
      <c r="N266" s="449"/>
      <c r="O266" s="448"/>
      <c r="P266" s="356">
        <f t="shared" ref="P266" si="256">O266+L266+H266</f>
        <v>5000</v>
      </c>
      <c r="Q266" s="383" t="s">
        <v>783</v>
      </c>
    </row>
    <row r="267" spans="1:17" x14ac:dyDescent="0.25">
      <c r="A267" s="375"/>
      <c r="B267" s="385" t="s">
        <v>69</v>
      </c>
      <c r="C267" s="446"/>
      <c r="D267" s="438"/>
      <c r="E267" s="438"/>
      <c r="F267" s="438"/>
      <c r="G267" s="447"/>
      <c r="H267" s="356"/>
      <c r="I267" s="446"/>
      <c r="J267" s="446"/>
      <c r="K267" s="449"/>
      <c r="L267" s="366"/>
      <c r="M267" s="446"/>
      <c r="N267" s="449"/>
      <c r="O267" s="448"/>
      <c r="P267" s="356"/>
    </row>
    <row r="268" spans="1:17" x14ac:dyDescent="0.25">
      <c r="A268" s="375"/>
      <c r="B268" s="377" t="s">
        <v>671</v>
      </c>
      <c r="C268" s="446"/>
      <c r="D268" s="438"/>
      <c r="E268" s="438"/>
      <c r="F268" s="438"/>
      <c r="G268" s="447"/>
      <c r="H268" s="356"/>
      <c r="I268" s="446"/>
      <c r="J268" s="446"/>
      <c r="K268" s="449"/>
      <c r="L268" s="366"/>
      <c r="M268" s="446"/>
      <c r="N268" s="449"/>
      <c r="O268" s="448"/>
      <c r="P268" s="356"/>
    </row>
    <row r="269" spans="1:17" x14ac:dyDescent="0.25">
      <c r="A269" s="375"/>
      <c r="B269" s="409" t="s">
        <v>1089</v>
      </c>
      <c r="C269" s="446"/>
      <c r="D269" s="438"/>
      <c r="E269" s="438"/>
      <c r="F269" s="438"/>
      <c r="G269" s="438">
        <v>-1000</v>
      </c>
      <c r="H269" s="356">
        <f t="shared" ref="H269" si="257">SUM(C269:G269)</f>
        <v>-1000</v>
      </c>
      <c r="I269" s="446"/>
      <c r="J269" s="446"/>
      <c r="K269" s="449">
        <v>1000</v>
      </c>
      <c r="L269" s="366">
        <f t="shared" ref="L269" si="258">SUM(I269:K269)</f>
        <v>1000</v>
      </c>
      <c r="M269" s="446"/>
      <c r="N269" s="449"/>
      <c r="O269" s="448"/>
      <c r="P269" s="356">
        <f t="shared" ref="P269" si="259">O269+L269+H269</f>
        <v>0</v>
      </c>
      <c r="Q269" s="383" t="s">
        <v>658</v>
      </c>
    </row>
    <row r="270" spans="1:17" x14ac:dyDescent="0.25">
      <c r="A270" s="375"/>
      <c r="B270" s="409"/>
      <c r="C270" s="446"/>
      <c r="D270" s="438"/>
      <c r="E270" s="438"/>
      <c r="F270" s="438"/>
      <c r="G270" s="447"/>
      <c r="H270" s="356"/>
      <c r="I270" s="446"/>
      <c r="J270" s="446"/>
      <c r="K270" s="449"/>
      <c r="L270" s="366"/>
      <c r="M270" s="446"/>
      <c r="N270" s="449"/>
      <c r="O270" s="448"/>
      <c r="P270" s="356"/>
    </row>
    <row r="271" spans="1:17" x14ac:dyDescent="0.25">
      <c r="A271" s="375"/>
      <c r="B271" s="385" t="s">
        <v>98</v>
      </c>
      <c r="C271" s="446"/>
      <c r="D271" s="438"/>
      <c r="E271" s="438"/>
      <c r="F271" s="438"/>
      <c r="G271" s="447"/>
      <c r="H271" s="356"/>
      <c r="I271" s="446"/>
      <c r="J271" s="446"/>
      <c r="K271" s="449"/>
      <c r="L271" s="366"/>
      <c r="M271" s="446"/>
      <c r="N271" s="449"/>
      <c r="O271" s="448"/>
      <c r="P271" s="356"/>
    </row>
    <row r="272" spans="1:17" x14ac:dyDescent="0.25">
      <c r="A272" s="375"/>
      <c r="B272" s="377" t="s">
        <v>955</v>
      </c>
      <c r="C272" s="446"/>
      <c r="D272" s="438"/>
      <c r="E272" s="438"/>
      <c r="F272" s="438"/>
      <c r="G272" s="447"/>
      <c r="H272" s="356"/>
      <c r="I272" s="446"/>
      <c r="J272" s="446"/>
      <c r="K272" s="449"/>
      <c r="L272" s="366"/>
      <c r="M272" s="446"/>
      <c r="N272" s="449"/>
      <c r="O272" s="448"/>
      <c r="P272" s="356"/>
    </row>
    <row r="273" spans="1:17" x14ac:dyDescent="0.25">
      <c r="A273" s="375"/>
      <c r="B273" s="409"/>
      <c r="C273" s="446"/>
      <c r="D273" s="438"/>
      <c r="E273" s="438"/>
      <c r="F273" s="438"/>
      <c r="G273" s="438"/>
      <c r="H273" s="356">
        <f t="shared" ref="H273" si="260">SUM(C273:G273)</f>
        <v>0</v>
      </c>
      <c r="I273" s="446"/>
      <c r="J273" s="446"/>
      <c r="K273" s="449"/>
      <c r="L273" s="366">
        <f t="shared" ref="L273" si="261">SUM(I273:K273)</f>
        <v>0</v>
      </c>
      <c r="M273" s="446"/>
      <c r="N273" s="449"/>
      <c r="O273" s="448"/>
      <c r="P273" s="356">
        <f t="shared" ref="P273" si="262">O273+L273+H273</f>
        <v>0</v>
      </c>
      <c r="Q273" s="383" t="s">
        <v>783</v>
      </c>
    </row>
    <row r="274" spans="1:17" x14ac:dyDescent="0.25">
      <c r="A274" s="375"/>
      <c r="B274" s="409"/>
      <c r="C274" s="446"/>
      <c r="D274" s="438"/>
      <c r="E274" s="438"/>
      <c r="F274" s="438"/>
      <c r="G274" s="438"/>
      <c r="H274" s="356">
        <f t="shared" ref="H274" si="263">SUM(C274:G274)</f>
        <v>0</v>
      </c>
      <c r="I274" s="446"/>
      <c r="J274" s="446"/>
      <c r="K274" s="449"/>
      <c r="L274" s="366">
        <f t="shared" ref="L274" si="264">SUM(I274:K274)</f>
        <v>0</v>
      </c>
      <c r="M274" s="446"/>
      <c r="N274" s="449"/>
      <c r="O274" s="448"/>
      <c r="P274" s="356">
        <f t="shared" ref="P274" si="265">O274+L274+H274</f>
        <v>0</v>
      </c>
      <c r="Q274" s="383" t="s">
        <v>783</v>
      </c>
    </row>
    <row r="275" spans="1:17" x14ac:dyDescent="0.25">
      <c r="A275" s="375"/>
      <c r="B275" s="409"/>
      <c r="C275" s="446"/>
      <c r="D275" s="438"/>
      <c r="E275" s="438"/>
      <c r="F275" s="438"/>
      <c r="G275" s="447"/>
      <c r="H275" s="356"/>
      <c r="I275" s="446"/>
      <c r="J275" s="446"/>
      <c r="K275" s="449"/>
      <c r="L275" s="366"/>
      <c r="M275" s="446"/>
      <c r="N275" s="449"/>
      <c r="O275" s="448"/>
      <c r="P275" s="356"/>
    </row>
    <row r="276" spans="1:17" x14ac:dyDescent="0.25">
      <c r="A276" s="375"/>
      <c r="B276" s="385" t="s">
        <v>99</v>
      </c>
      <c r="C276" s="446"/>
      <c r="D276" s="438"/>
      <c r="E276" s="438"/>
      <c r="F276" s="438"/>
      <c r="G276" s="447"/>
      <c r="H276" s="356"/>
      <c r="I276" s="446"/>
      <c r="J276" s="446"/>
      <c r="K276" s="449"/>
      <c r="L276" s="366"/>
      <c r="M276" s="446"/>
      <c r="N276" s="449"/>
      <c r="O276" s="448"/>
      <c r="P276" s="356"/>
    </row>
    <row r="277" spans="1:17" x14ac:dyDescent="0.25">
      <c r="A277" s="375"/>
      <c r="B277" s="377" t="s">
        <v>671</v>
      </c>
      <c r="C277" s="446"/>
      <c r="D277" s="438"/>
      <c r="E277" s="438"/>
      <c r="F277" s="438"/>
      <c r="G277" s="447"/>
      <c r="H277" s="356"/>
      <c r="I277" s="446"/>
      <c r="J277" s="446"/>
      <c r="K277" s="449"/>
      <c r="L277" s="366"/>
      <c r="M277" s="446"/>
      <c r="N277" s="449"/>
      <c r="O277" s="448"/>
      <c r="P277" s="356"/>
    </row>
    <row r="278" spans="1:17" x14ac:dyDescent="0.25">
      <c r="A278" s="375"/>
      <c r="B278" s="409" t="s">
        <v>1111</v>
      </c>
      <c r="C278" s="446"/>
      <c r="D278" s="438"/>
      <c r="E278" s="438"/>
      <c r="F278" s="438"/>
      <c r="G278" s="438">
        <v>-1500</v>
      </c>
      <c r="H278" s="356">
        <f t="shared" ref="H278" si="266">SUM(C278:G278)</f>
        <v>-1500</v>
      </c>
      <c r="I278" s="446"/>
      <c r="J278" s="446"/>
      <c r="K278" s="449"/>
      <c r="L278" s="366">
        <f t="shared" ref="L278" si="267">SUM(I278:K278)</f>
        <v>0</v>
      </c>
      <c r="M278" s="446"/>
      <c r="N278" s="449"/>
      <c r="O278" s="448"/>
      <c r="P278" s="356">
        <f t="shared" ref="P278" si="268">O278+L278+H278</f>
        <v>-1500</v>
      </c>
      <c r="Q278" s="383" t="s">
        <v>783</v>
      </c>
    </row>
    <row r="279" spans="1:17" x14ac:dyDescent="0.25">
      <c r="A279" s="375"/>
      <c r="B279" s="409"/>
      <c r="C279" s="446"/>
      <c r="D279" s="438"/>
      <c r="E279" s="438"/>
      <c r="F279" s="438"/>
      <c r="G279" s="438"/>
      <c r="H279" s="356">
        <f t="shared" ref="H279" si="269">SUM(C279:G279)</f>
        <v>0</v>
      </c>
      <c r="I279" s="446"/>
      <c r="J279" s="446"/>
      <c r="K279" s="449"/>
      <c r="L279" s="366">
        <f t="shared" ref="L279" si="270">SUM(I279:K279)</f>
        <v>0</v>
      </c>
      <c r="M279" s="446"/>
      <c r="N279" s="449"/>
      <c r="O279" s="448"/>
      <c r="P279" s="356">
        <f t="shared" ref="P279" si="271">O279+L279+H279</f>
        <v>0</v>
      </c>
      <c r="Q279" s="383" t="s">
        <v>783</v>
      </c>
    </row>
    <row r="280" spans="1:17" x14ac:dyDescent="0.25">
      <c r="A280" s="375"/>
      <c r="B280" s="409"/>
      <c r="C280" s="446"/>
      <c r="D280" s="438"/>
      <c r="E280" s="438"/>
      <c r="F280" s="438"/>
      <c r="G280" s="438"/>
      <c r="H280" s="356">
        <f t="shared" ref="H280:H281" si="272">SUM(C280:G280)</f>
        <v>0</v>
      </c>
      <c r="I280" s="446"/>
      <c r="J280" s="446"/>
      <c r="K280" s="449"/>
      <c r="L280" s="366">
        <f t="shared" ref="L280:L281" si="273">SUM(I280:K280)</f>
        <v>0</v>
      </c>
      <c r="M280" s="446"/>
      <c r="N280" s="449"/>
      <c r="O280" s="448"/>
      <c r="P280" s="356">
        <f t="shared" ref="P280:P281" si="274">O280+L280+H280</f>
        <v>0</v>
      </c>
      <c r="Q280" s="383" t="s">
        <v>783</v>
      </c>
    </row>
    <row r="281" spans="1:17" x14ac:dyDescent="0.25">
      <c r="A281" s="375"/>
      <c r="B281" s="377"/>
      <c r="C281" s="446"/>
      <c r="D281" s="438"/>
      <c r="E281" s="438"/>
      <c r="F281" s="438"/>
      <c r="G281" s="438"/>
      <c r="H281" s="356">
        <f t="shared" si="272"/>
        <v>0</v>
      </c>
      <c r="I281" s="446"/>
      <c r="J281" s="446"/>
      <c r="K281" s="449"/>
      <c r="L281" s="366">
        <f t="shared" si="273"/>
        <v>0</v>
      </c>
      <c r="M281" s="446"/>
      <c r="N281" s="449"/>
      <c r="O281" s="448"/>
      <c r="P281" s="356">
        <f t="shared" si="274"/>
        <v>0</v>
      </c>
      <c r="Q281" s="383" t="s">
        <v>783</v>
      </c>
    </row>
    <row r="282" spans="1:17" x14ac:dyDescent="0.25">
      <c r="A282" s="375"/>
      <c r="B282" s="377" t="s">
        <v>955</v>
      </c>
      <c r="C282" s="446"/>
      <c r="D282" s="438"/>
      <c r="E282" s="438"/>
      <c r="F282" s="438"/>
      <c r="G282" s="447"/>
      <c r="H282" s="356"/>
      <c r="I282" s="446"/>
      <c r="J282" s="446"/>
      <c r="K282" s="449"/>
      <c r="L282" s="366"/>
      <c r="M282" s="446"/>
      <c r="N282" s="449"/>
      <c r="O282" s="448"/>
      <c r="P282" s="356"/>
    </row>
    <row r="283" spans="1:17" ht="31.5" x14ac:dyDescent="0.25">
      <c r="A283" s="375"/>
      <c r="B283" s="409" t="s">
        <v>1271</v>
      </c>
      <c r="C283" s="446"/>
      <c r="D283" s="438"/>
      <c r="E283" s="438"/>
      <c r="F283" s="438"/>
      <c r="G283" s="447">
        <v>-50</v>
      </c>
      <c r="H283" s="356">
        <f t="shared" ref="H283:H289" si="275">SUM(C283:G283)</f>
        <v>-50</v>
      </c>
      <c r="I283" s="446"/>
      <c r="J283" s="446"/>
      <c r="K283" s="449"/>
      <c r="L283" s="366">
        <f t="shared" ref="L283:L289" si="276">SUM(I283:K283)</f>
        <v>0</v>
      </c>
      <c r="M283" s="446"/>
      <c r="N283" s="449"/>
      <c r="O283" s="448"/>
      <c r="P283" s="356">
        <f t="shared" ref="P283:P289" si="277">O283+L283+H283</f>
        <v>-50</v>
      </c>
      <c r="Q283" s="383" t="s">
        <v>783</v>
      </c>
    </row>
    <row r="284" spans="1:17" x14ac:dyDescent="0.25">
      <c r="A284" s="375"/>
      <c r="B284" s="409" t="s">
        <v>1272</v>
      </c>
      <c r="C284" s="446"/>
      <c r="D284" s="438"/>
      <c r="E284" s="438"/>
      <c r="F284" s="438"/>
      <c r="G284" s="447">
        <f>-20-15-20-70-20-100-20-20</f>
        <v>-285</v>
      </c>
      <c r="H284" s="356">
        <f t="shared" si="275"/>
        <v>-285</v>
      </c>
      <c r="I284" s="446"/>
      <c r="J284" s="446"/>
      <c r="K284" s="449"/>
      <c r="L284" s="366">
        <f t="shared" si="276"/>
        <v>0</v>
      </c>
      <c r="M284" s="446"/>
      <c r="N284" s="449"/>
      <c r="O284" s="448"/>
      <c r="P284" s="356">
        <f t="shared" si="277"/>
        <v>-285</v>
      </c>
      <c r="Q284" s="383" t="s">
        <v>783</v>
      </c>
    </row>
    <row r="285" spans="1:17" x14ac:dyDescent="0.25">
      <c r="A285" s="375"/>
      <c r="B285" s="409" t="s">
        <v>1273</v>
      </c>
      <c r="C285" s="446"/>
      <c r="D285" s="438"/>
      <c r="E285" s="438"/>
      <c r="F285" s="438"/>
      <c r="G285" s="447">
        <f>-100-30-50-15-200-35-30-35-40-130-15-100-30-100-100-40-40-30-50-15-15-40-30</f>
        <v>-1270</v>
      </c>
      <c r="H285" s="356">
        <f t="shared" si="275"/>
        <v>-1270</v>
      </c>
      <c r="I285" s="446"/>
      <c r="J285" s="446"/>
      <c r="K285" s="449"/>
      <c r="L285" s="366">
        <f t="shared" si="276"/>
        <v>0</v>
      </c>
      <c r="M285" s="446"/>
      <c r="N285" s="449"/>
      <c r="O285" s="448"/>
      <c r="P285" s="356">
        <f t="shared" si="277"/>
        <v>-1270</v>
      </c>
      <c r="Q285" s="383" t="s">
        <v>783</v>
      </c>
    </row>
    <row r="286" spans="1:17" ht="33" customHeight="1" x14ac:dyDescent="0.25">
      <c r="A286" s="375"/>
      <c r="B286" s="409" t="s">
        <v>1274</v>
      </c>
      <c r="C286" s="446"/>
      <c r="D286" s="438"/>
      <c r="E286" s="438"/>
      <c r="F286" s="438"/>
      <c r="G286" s="447">
        <v>-140</v>
      </c>
      <c r="H286" s="356">
        <f t="shared" si="275"/>
        <v>-140</v>
      </c>
      <c r="I286" s="446"/>
      <c r="J286" s="446"/>
      <c r="K286" s="449"/>
      <c r="L286" s="366">
        <f t="shared" si="276"/>
        <v>0</v>
      </c>
      <c r="M286" s="446"/>
      <c r="N286" s="449"/>
      <c r="O286" s="448"/>
      <c r="P286" s="356">
        <f t="shared" si="277"/>
        <v>-140</v>
      </c>
      <c r="Q286" s="383" t="s">
        <v>783</v>
      </c>
    </row>
    <row r="287" spans="1:17" ht="31.5" x14ac:dyDescent="0.25">
      <c r="A287" s="375"/>
      <c r="B287" s="409" t="s">
        <v>1275</v>
      </c>
      <c r="C287" s="446"/>
      <c r="D287" s="438"/>
      <c r="E287" s="438"/>
      <c r="F287" s="438"/>
      <c r="G287" s="447">
        <v>-400</v>
      </c>
      <c r="H287" s="356">
        <f t="shared" si="275"/>
        <v>-400</v>
      </c>
      <c r="I287" s="446"/>
      <c r="J287" s="446"/>
      <c r="K287" s="449"/>
      <c r="L287" s="366">
        <f t="shared" si="276"/>
        <v>0</v>
      </c>
      <c r="M287" s="446"/>
      <c r="N287" s="449"/>
      <c r="O287" s="448"/>
      <c r="P287" s="356">
        <f t="shared" si="277"/>
        <v>-400</v>
      </c>
      <c r="Q287" s="383" t="s">
        <v>783</v>
      </c>
    </row>
    <row r="288" spans="1:17" ht="31.5" x14ac:dyDescent="0.25">
      <c r="A288" s="375"/>
      <c r="B288" s="409" t="s">
        <v>1276</v>
      </c>
      <c r="C288" s="446"/>
      <c r="D288" s="438"/>
      <c r="E288" s="438"/>
      <c r="F288" s="438"/>
      <c r="G288" s="447">
        <v>-50</v>
      </c>
      <c r="H288" s="356">
        <f t="shared" si="275"/>
        <v>-50</v>
      </c>
      <c r="I288" s="446"/>
      <c r="J288" s="446"/>
      <c r="K288" s="449"/>
      <c r="L288" s="366">
        <f t="shared" si="276"/>
        <v>0</v>
      </c>
      <c r="M288" s="446"/>
      <c r="N288" s="449"/>
      <c r="O288" s="448"/>
      <c r="P288" s="356">
        <f t="shared" si="277"/>
        <v>-50</v>
      </c>
      <c r="Q288" s="383" t="s">
        <v>783</v>
      </c>
    </row>
    <row r="289" spans="1:17" x14ac:dyDescent="0.25">
      <c r="A289" s="375"/>
      <c r="B289" s="409" t="s">
        <v>1277</v>
      </c>
      <c r="C289" s="446"/>
      <c r="D289" s="438"/>
      <c r="E289" s="438"/>
      <c r="F289" s="438"/>
      <c r="G289" s="447">
        <v>-45</v>
      </c>
      <c r="H289" s="356">
        <f t="shared" si="275"/>
        <v>-45</v>
      </c>
      <c r="I289" s="446"/>
      <c r="J289" s="446"/>
      <c r="K289" s="449"/>
      <c r="L289" s="366">
        <f t="shared" si="276"/>
        <v>0</v>
      </c>
      <c r="M289" s="446"/>
      <c r="N289" s="449"/>
      <c r="O289" s="448"/>
      <c r="P289" s="356">
        <f t="shared" si="277"/>
        <v>-45</v>
      </c>
      <c r="Q289" s="383" t="s">
        <v>783</v>
      </c>
    </row>
    <row r="290" spans="1:17" ht="31.5" x14ac:dyDescent="0.25">
      <c r="A290" s="375"/>
      <c r="B290" s="409" t="s">
        <v>1270</v>
      </c>
      <c r="C290" s="446"/>
      <c r="D290" s="438"/>
      <c r="E290" s="438"/>
      <c r="F290" s="438"/>
      <c r="G290" s="447">
        <f>-40-30-200-250-100-90-150-50-200-400</f>
        <v>-1510</v>
      </c>
      <c r="H290" s="356">
        <f t="shared" ref="H290" si="278">SUM(C290:G290)</f>
        <v>-1510</v>
      </c>
      <c r="I290" s="446"/>
      <c r="J290" s="446"/>
      <c r="K290" s="449"/>
      <c r="L290" s="366">
        <f t="shared" ref="L290" si="279">SUM(I290:K290)</f>
        <v>0</v>
      </c>
      <c r="M290" s="446"/>
      <c r="N290" s="449"/>
      <c r="O290" s="448"/>
      <c r="P290" s="356">
        <f t="shared" ref="P290" si="280">O290+L290+H290</f>
        <v>-1510</v>
      </c>
      <c r="Q290" s="383" t="s">
        <v>783</v>
      </c>
    </row>
    <row r="291" spans="1:17" ht="16.5" thickBot="1" x14ac:dyDescent="0.3">
      <c r="A291" s="375"/>
      <c r="B291" s="376"/>
      <c r="C291" s="446"/>
      <c r="D291" s="438"/>
      <c r="E291" s="438"/>
      <c r="F291" s="438"/>
      <c r="G291" s="447"/>
      <c r="H291" s="356"/>
      <c r="I291" s="446"/>
      <c r="J291" s="446"/>
      <c r="K291" s="449"/>
      <c r="L291" s="366"/>
      <c r="M291" s="446"/>
      <c r="N291" s="449"/>
      <c r="O291" s="448"/>
      <c r="P291" s="356"/>
    </row>
    <row r="292" spans="1:17" ht="16.5" thickBot="1" x14ac:dyDescent="0.3">
      <c r="A292" s="386" t="s">
        <v>44</v>
      </c>
      <c r="B292" s="387" t="s">
        <v>45</v>
      </c>
      <c r="C292" s="388">
        <f t="shared" ref="C292:P292" si="281">SUM(C10:C291)</f>
        <v>370953</v>
      </c>
      <c r="D292" s="388">
        <f t="shared" si="281"/>
        <v>95857</v>
      </c>
      <c r="E292" s="388">
        <f t="shared" si="281"/>
        <v>8722673</v>
      </c>
      <c r="F292" s="388">
        <f t="shared" si="281"/>
        <v>220983</v>
      </c>
      <c r="G292" s="388">
        <f t="shared" si="281"/>
        <v>12229534</v>
      </c>
      <c r="H292" s="388">
        <f t="shared" si="281"/>
        <v>21640000</v>
      </c>
      <c r="I292" s="388">
        <f t="shared" si="281"/>
        <v>20632963</v>
      </c>
      <c r="J292" s="388">
        <f t="shared" si="281"/>
        <v>366351</v>
      </c>
      <c r="K292" s="388">
        <f t="shared" si="281"/>
        <v>2688635</v>
      </c>
      <c r="L292" s="388">
        <f t="shared" si="281"/>
        <v>23687949</v>
      </c>
      <c r="M292" s="388">
        <f t="shared" si="281"/>
        <v>272459</v>
      </c>
      <c r="N292" s="388">
        <f t="shared" si="281"/>
        <v>2811406</v>
      </c>
      <c r="O292" s="388">
        <f t="shared" si="281"/>
        <v>3083865</v>
      </c>
      <c r="P292" s="388">
        <f t="shared" si="281"/>
        <v>48411814</v>
      </c>
    </row>
    <row r="293" spans="1:17" x14ac:dyDescent="0.25">
      <c r="A293" s="450"/>
      <c r="B293" s="367" t="s">
        <v>74</v>
      </c>
      <c r="C293" s="410"/>
      <c r="D293" s="443"/>
      <c r="E293" s="443"/>
      <c r="F293" s="444"/>
      <c r="G293" s="444"/>
      <c r="H293" s="356"/>
      <c r="I293" s="410"/>
      <c r="J293" s="410"/>
      <c r="K293" s="444"/>
      <c r="L293" s="356"/>
      <c r="M293" s="354"/>
      <c r="N293" s="444"/>
      <c r="O293" s="445"/>
      <c r="P293" s="356"/>
      <c r="Q293" s="383" t="s">
        <v>860</v>
      </c>
    </row>
    <row r="294" spans="1:17" ht="31.5" x14ac:dyDescent="0.25">
      <c r="A294" s="375"/>
      <c r="B294" s="377" t="s">
        <v>836</v>
      </c>
      <c r="C294" s="446"/>
      <c r="D294" s="438"/>
      <c r="E294" s="438"/>
      <c r="F294" s="438"/>
      <c r="G294" s="447"/>
      <c r="H294" s="356">
        <f t="shared" ref="H294:H296" si="282">SUM(C294:G294)</f>
        <v>0</v>
      </c>
      <c r="I294" s="446"/>
      <c r="J294" s="446"/>
      <c r="K294" s="449"/>
      <c r="L294" s="366">
        <f t="shared" ref="L294:L296" si="283">SUM(I294:K294)</f>
        <v>0</v>
      </c>
      <c r="M294" s="446"/>
      <c r="N294" s="449"/>
      <c r="O294" s="448"/>
      <c r="P294" s="356">
        <f t="shared" ref="P294:P296" si="284">O294+L294+H294</f>
        <v>0</v>
      </c>
    </row>
    <row r="295" spans="1:17" ht="47.25" x14ac:dyDescent="0.25">
      <c r="A295" s="375"/>
      <c r="B295" s="409" t="s">
        <v>1017</v>
      </c>
      <c r="C295" s="446"/>
      <c r="D295" s="438"/>
      <c r="E295" s="438"/>
      <c r="F295" s="438"/>
      <c r="G295" s="447"/>
      <c r="H295" s="356">
        <f t="shared" si="282"/>
        <v>0</v>
      </c>
      <c r="I295" s="446"/>
      <c r="J295" s="446"/>
      <c r="K295" s="449"/>
      <c r="L295" s="366">
        <f t="shared" si="283"/>
        <v>0</v>
      </c>
      <c r="M295" s="446">
        <v>-482</v>
      </c>
      <c r="N295" s="449"/>
      <c r="O295" s="448"/>
      <c r="P295" s="356">
        <f t="shared" si="284"/>
        <v>0</v>
      </c>
    </row>
    <row r="296" spans="1:17" ht="31.5" x14ac:dyDescent="0.25">
      <c r="A296" s="375"/>
      <c r="B296" s="409" t="s">
        <v>1018</v>
      </c>
      <c r="C296" s="446"/>
      <c r="D296" s="438"/>
      <c r="E296" s="438"/>
      <c r="F296" s="438"/>
      <c r="G296" s="447"/>
      <c r="H296" s="356">
        <f t="shared" si="282"/>
        <v>0</v>
      </c>
      <c r="I296" s="446"/>
      <c r="J296" s="446"/>
      <c r="K296" s="449"/>
      <c r="L296" s="366">
        <f t="shared" si="283"/>
        <v>0</v>
      </c>
      <c r="M296" s="446">
        <v>-635</v>
      </c>
      <c r="N296" s="449"/>
      <c r="O296" s="448"/>
      <c r="P296" s="356">
        <f t="shared" si="284"/>
        <v>0</v>
      </c>
    </row>
    <row r="297" spans="1:17" x14ac:dyDescent="0.25">
      <c r="A297" s="375"/>
      <c r="B297" s="409" t="s">
        <v>1020</v>
      </c>
      <c r="C297" s="446"/>
      <c r="D297" s="438"/>
      <c r="E297" s="438"/>
      <c r="F297" s="438"/>
      <c r="G297" s="447"/>
      <c r="H297" s="356">
        <f t="shared" ref="H297:H298" si="285">SUM(C297:G297)</f>
        <v>0</v>
      </c>
      <c r="I297" s="446"/>
      <c r="J297" s="446"/>
      <c r="K297" s="449"/>
      <c r="L297" s="366">
        <f t="shared" ref="L297:L298" si="286">SUM(I297:K297)</f>
        <v>0</v>
      </c>
      <c r="M297" s="446">
        <v>-5000</v>
      </c>
      <c r="N297" s="449"/>
      <c r="O297" s="448"/>
      <c r="P297" s="356">
        <f t="shared" ref="P297:P298" si="287">O297+L297+H297</f>
        <v>0</v>
      </c>
    </row>
    <row r="298" spans="1:17" x14ac:dyDescent="0.25">
      <c r="A298" s="375"/>
      <c r="B298" s="409" t="s">
        <v>1021</v>
      </c>
      <c r="C298" s="446"/>
      <c r="D298" s="438"/>
      <c r="E298" s="438"/>
      <c r="F298" s="438"/>
      <c r="G298" s="447"/>
      <c r="H298" s="356">
        <f t="shared" si="285"/>
        <v>0</v>
      </c>
      <c r="I298" s="446"/>
      <c r="J298" s="446"/>
      <c r="K298" s="449"/>
      <c r="L298" s="366">
        <f t="shared" si="286"/>
        <v>0</v>
      </c>
      <c r="M298" s="446">
        <v>-45</v>
      </c>
      <c r="N298" s="449"/>
      <c r="O298" s="448"/>
      <c r="P298" s="356">
        <f t="shared" si="287"/>
        <v>0</v>
      </c>
    </row>
    <row r="299" spans="1:17" ht="78.75" x14ac:dyDescent="0.25">
      <c r="A299" s="375"/>
      <c r="B299" s="409" t="s">
        <v>1030</v>
      </c>
      <c r="C299" s="446"/>
      <c r="D299" s="438"/>
      <c r="E299" s="438"/>
      <c r="F299" s="438"/>
      <c r="G299" s="447"/>
      <c r="H299" s="356">
        <f t="shared" ref="H299" si="288">SUM(C299:G299)</f>
        <v>0</v>
      </c>
      <c r="I299" s="446"/>
      <c r="J299" s="446"/>
      <c r="K299" s="449"/>
      <c r="L299" s="366">
        <f t="shared" ref="L299" si="289">SUM(I299:K299)</f>
        <v>0</v>
      </c>
      <c r="M299" s="446">
        <v>-9586</v>
      </c>
      <c r="N299" s="449"/>
      <c r="O299" s="448"/>
      <c r="P299" s="356">
        <f t="shared" ref="P299" si="290">O299+L299+H299</f>
        <v>0</v>
      </c>
    </row>
    <row r="300" spans="1:17" ht="31.5" x14ac:dyDescent="0.25">
      <c r="A300" s="375"/>
      <c r="B300" s="409" t="s">
        <v>1029</v>
      </c>
      <c r="C300" s="446"/>
      <c r="D300" s="438"/>
      <c r="E300" s="438"/>
      <c r="F300" s="438"/>
      <c r="G300" s="447"/>
      <c r="H300" s="356">
        <f t="shared" ref="H300" si="291">SUM(C300:G300)</f>
        <v>0</v>
      </c>
      <c r="I300" s="446"/>
      <c r="J300" s="446"/>
      <c r="K300" s="449"/>
      <c r="L300" s="366">
        <f t="shared" ref="L300" si="292">SUM(I300:K300)</f>
        <v>0</v>
      </c>
      <c r="M300" s="446">
        <v>-6677</v>
      </c>
      <c r="N300" s="449"/>
      <c r="O300" s="448"/>
      <c r="P300" s="356">
        <f t="shared" ref="P300" si="293">O300+L300+H300</f>
        <v>0</v>
      </c>
    </row>
    <row r="301" spans="1:17" x14ac:dyDescent="0.25">
      <c r="A301" s="375"/>
      <c r="B301" s="409" t="s">
        <v>949</v>
      </c>
      <c r="C301" s="446"/>
      <c r="D301" s="438"/>
      <c r="E301" s="438"/>
      <c r="F301" s="438"/>
      <c r="G301" s="447"/>
      <c r="H301" s="356">
        <f t="shared" ref="H301:H303" si="294">SUM(C301:G301)</f>
        <v>0</v>
      </c>
      <c r="I301" s="446"/>
      <c r="J301" s="446"/>
      <c r="K301" s="449"/>
      <c r="L301" s="366">
        <f t="shared" ref="L301:L304" si="295">SUM(I301:K301)</f>
        <v>0</v>
      </c>
      <c r="M301" s="446">
        <v>-36739</v>
      </c>
      <c r="N301" s="449"/>
      <c r="O301" s="448"/>
      <c r="P301" s="356">
        <f t="shared" ref="P301" si="296">O301+L301+H301</f>
        <v>0</v>
      </c>
      <c r="Q301" s="383" t="s">
        <v>655</v>
      </c>
    </row>
    <row r="302" spans="1:17" ht="31.5" x14ac:dyDescent="0.25">
      <c r="A302" s="450"/>
      <c r="B302" s="376" t="s">
        <v>1040</v>
      </c>
      <c r="C302" s="410"/>
      <c r="D302" s="443"/>
      <c r="E302" s="443"/>
      <c r="F302" s="444"/>
      <c r="G302" s="444"/>
      <c r="H302" s="356">
        <f t="shared" si="294"/>
        <v>0</v>
      </c>
      <c r="I302" s="410"/>
      <c r="J302" s="410"/>
      <c r="K302" s="444"/>
      <c r="L302" s="366">
        <f t="shared" si="295"/>
        <v>0</v>
      </c>
      <c r="M302" s="410">
        <v>-3993</v>
      </c>
      <c r="N302" s="444"/>
      <c r="O302" s="445"/>
      <c r="P302" s="445"/>
      <c r="Q302" s="383" t="s">
        <v>655</v>
      </c>
    </row>
    <row r="303" spans="1:17" ht="31.5" x14ac:dyDescent="0.25">
      <c r="A303" s="452"/>
      <c r="B303" s="376" t="s">
        <v>1042</v>
      </c>
      <c r="C303" s="446"/>
      <c r="D303" s="438"/>
      <c r="E303" s="438"/>
      <c r="F303" s="449"/>
      <c r="G303" s="449"/>
      <c r="H303" s="356">
        <f t="shared" si="294"/>
        <v>0</v>
      </c>
      <c r="I303" s="446"/>
      <c r="J303" s="446"/>
      <c r="K303" s="449"/>
      <c r="L303" s="366">
        <f t="shared" si="295"/>
        <v>0</v>
      </c>
      <c r="M303" s="446">
        <v>-233</v>
      </c>
      <c r="N303" s="449"/>
      <c r="O303" s="448"/>
      <c r="P303" s="356"/>
      <c r="Q303" s="383" t="s">
        <v>655</v>
      </c>
    </row>
    <row r="304" spans="1:17" ht="31.5" x14ac:dyDescent="0.25">
      <c r="A304" s="375"/>
      <c r="B304" s="409" t="s">
        <v>1048</v>
      </c>
      <c r="C304" s="446"/>
      <c r="D304" s="438"/>
      <c r="E304" s="438"/>
      <c r="F304" s="438"/>
      <c r="G304" s="447"/>
      <c r="H304" s="356">
        <f t="shared" ref="H304" si="297">SUM(C304:G304)</f>
        <v>0</v>
      </c>
      <c r="I304" s="446"/>
      <c r="J304" s="446"/>
      <c r="K304" s="449"/>
      <c r="L304" s="366">
        <f t="shared" si="295"/>
        <v>0</v>
      </c>
      <c r="M304" s="446">
        <v>4000</v>
      </c>
      <c r="N304" s="449"/>
      <c r="O304" s="448"/>
      <c r="P304" s="356">
        <f t="shared" ref="P304" si="298">O304+L304+H304</f>
        <v>0</v>
      </c>
      <c r="Q304" s="383" t="s">
        <v>658</v>
      </c>
    </row>
    <row r="305" spans="1:17" ht="31.5" x14ac:dyDescent="0.25">
      <c r="A305" s="375"/>
      <c r="B305" s="409" t="s">
        <v>1049</v>
      </c>
      <c r="C305" s="446"/>
      <c r="D305" s="438"/>
      <c r="E305" s="438"/>
      <c r="F305" s="438"/>
      <c r="G305" s="447"/>
      <c r="H305" s="356">
        <f t="shared" ref="H305" si="299">SUM(C305:G305)</f>
        <v>0</v>
      </c>
      <c r="I305" s="446"/>
      <c r="J305" s="446"/>
      <c r="K305" s="449"/>
      <c r="L305" s="366">
        <f t="shared" ref="L305" si="300">SUM(I305:K305)</f>
        <v>0</v>
      </c>
      <c r="M305" s="446">
        <v>55000</v>
      </c>
      <c r="N305" s="449"/>
      <c r="O305" s="448"/>
      <c r="P305" s="356">
        <f t="shared" ref="P305" si="301">O305+L305+H305</f>
        <v>0</v>
      </c>
      <c r="Q305" s="383" t="s">
        <v>655</v>
      </c>
    </row>
    <row r="306" spans="1:17" ht="31.5" x14ac:dyDescent="0.25">
      <c r="A306" s="452"/>
      <c r="B306" s="376" t="s">
        <v>1058</v>
      </c>
      <c r="C306" s="446"/>
      <c r="D306" s="438"/>
      <c r="E306" s="438"/>
      <c r="F306" s="449"/>
      <c r="G306" s="449"/>
      <c r="H306" s="366"/>
      <c r="I306" s="446"/>
      <c r="J306" s="446"/>
      <c r="K306" s="449"/>
      <c r="L306" s="366"/>
      <c r="M306" s="410">
        <v>2367</v>
      </c>
      <c r="N306" s="449"/>
      <c r="O306" s="448"/>
      <c r="P306" s="356">
        <f t="shared" ref="P306" si="302">SUM(O306)</f>
        <v>0</v>
      </c>
      <c r="Q306" s="383" t="s">
        <v>655</v>
      </c>
    </row>
    <row r="307" spans="1:17" ht="31.5" x14ac:dyDescent="0.25">
      <c r="A307" s="450"/>
      <c r="B307" s="376" t="s">
        <v>1118</v>
      </c>
      <c r="C307" s="410"/>
      <c r="D307" s="443"/>
      <c r="E307" s="443"/>
      <c r="F307" s="444"/>
      <c r="G307" s="444"/>
      <c r="H307" s="445"/>
      <c r="I307" s="410"/>
      <c r="J307" s="410"/>
      <c r="K307" s="444"/>
      <c r="L307" s="445"/>
      <c r="M307" s="410">
        <v>-10000</v>
      </c>
      <c r="N307" s="444"/>
      <c r="O307" s="445"/>
      <c r="P307" s="445"/>
    </row>
    <row r="308" spans="1:17" ht="31.5" x14ac:dyDescent="0.25">
      <c r="A308" s="450"/>
      <c r="B308" s="376" t="s">
        <v>1122</v>
      </c>
      <c r="C308" s="410"/>
      <c r="D308" s="443"/>
      <c r="E308" s="443"/>
      <c r="F308" s="444"/>
      <c r="G308" s="444"/>
      <c r="H308" s="445"/>
      <c r="I308" s="410"/>
      <c r="J308" s="410"/>
      <c r="K308" s="444"/>
      <c r="L308" s="445"/>
      <c r="M308" s="410">
        <v>-2000</v>
      </c>
      <c r="N308" s="444"/>
      <c r="O308" s="445"/>
      <c r="P308" s="445"/>
    </row>
    <row r="309" spans="1:17" ht="31.5" x14ac:dyDescent="0.25">
      <c r="A309" s="450"/>
      <c r="B309" s="376" t="s">
        <v>1123</v>
      </c>
      <c r="C309" s="410"/>
      <c r="D309" s="443"/>
      <c r="E309" s="443"/>
      <c r="F309" s="444"/>
      <c r="G309" s="444"/>
      <c r="H309" s="445"/>
      <c r="I309" s="410"/>
      <c r="J309" s="410"/>
      <c r="K309" s="444"/>
      <c r="L309" s="445"/>
      <c r="M309" s="410">
        <v>-2000</v>
      </c>
      <c r="N309" s="444"/>
      <c r="O309" s="445"/>
      <c r="P309" s="445"/>
    </row>
    <row r="310" spans="1:17" ht="31.5" x14ac:dyDescent="0.25">
      <c r="A310" s="450"/>
      <c r="B310" s="376" t="s">
        <v>1124</v>
      </c>
      <c r="C310" s="410"/>
      <c r="D310" s="443"/>
      <c r="E310" s="443"/>
      <c r="F310" s="444"/>
      <c r="G310" s="444"/>
      <c r="H310" s="445"/>
      <c r="I310" s="410"/>
      <c r="J310" s="410"/>
      <c r="K310" s="444"/>
      <c r="L310" s="445"/>
      <c r="M310" s="410">
        <v>-2000</v>
      </c>
      <c r="N310" s="444"/>
      <c r="O310" s="445"/>
      <c r="P310" s="445"/>
    </row>
    <row r="311" spans="1:17" ht="31.5" x14ac:dyDescent="0.25">
      <c r="A311" s="450"/>
      <c r="B311" s="376" t="s">
        <v>1125</v>
      </c>
      <c r="C311" s="410"/>
      <c r="D311" s="443"/>
      <c r="E311" s="443"/>
      <c r="F311" s="444"/>
      <c r="G311" s="444"/>
      <c r="H311" s="445"/>
      <c r="I311" s="410"/>
      <c r="J311" s="410"/>
      <c r="K311" s="444"/>
      <c r="L311" s="445"/>
      <c r="M311" s="410">
        <v>-2500</v>
      </c>
      <c r="N311" s="444"/>
      <c r="O311" s="445"/>
      <c r="P311" s="445"/>
    </row>
    <row r="312" spans="1:17" ht="31.5" x14ac:dyDescent="0.25">
      <c r="A312" s="450"/>
      <c r="B312" s="376" t="s">
        <v>1126</v>
      </c>
      <c r="C312" s="410"/>
      <c r="D312" s="443"/>
      <c r="E312" s="443"/>
      <c r="F312" s="444"/>
      <c r="G312" s="444"/>
      <c r="H312" s="445"/>
      <c r="I312" s="410"/>
      <c r="J312" s="410"/>
      <c r="K312" s="444"/>
      <c r="L312" s="445"/>
      <c r="M312" s="410">
        <v>-2000</v>
      </c>
      <c r="N312" s="444"/>
      <c r="O312" s="445"/>
      <c r="P312" s="445"/>
    </row>
    <row r="313" spans="1:17" ht="31.5" x14ac:dyDescent="0.25">
      <c r="A313" s="450"/>
      <c r="B313" s="376" t="s">
        <v>1127</v>
      </c>
      <c r="C313" s="410"/>
      <c r="D313" s="443"/>
      <c r="E313" s="443"/>
      <c r="F313" s="444"/>
      <c r="G313" s="444"/>
      <c r="H313" s="445"/>
      <c r="I313" s="410"/>
      <c r="J313" s="410"/>
      <c r="K313" s="444"/>
      <c r="L313" s="445"/>
      <c r="M313" s="410">
        <v>-1000</v>
      </c>
      <c r="N313" s="444"/>
      <c r="O313" s="445"/>
      <c r="P313" s="445"/>
    </row>
    <row r="314" spans="1:17" ht="31.5" x14ac:dyDescent="0.25">
      <c r="A314" s="450"/>
      <c r="B314" s="376" t="s">
        <v>1128</v>
      </c>
      <c r="C314" s="410"/>
      <c r="D314" s="443"/>
      <c r="E314" s="443"/>
      <c r="F314" s="444"/>
      <c r="G314" s="444"/>
      <c r="H314" s="445"/>
      <c r="I314" s="410"/>
      <c r="J314" s="410"/>
      <c r="K314" s="444"/>
      <c r="L314" s="445"/>
      <c r="M314" s="410">
        <v>-2000</v>
      </c>
      <c r="N314" s="444"/>
      <c r="O314" s="445"/>
      <c r="P314" s="445"/>
    </row>
    <row r="315" spans="1:17" ht="31.5" x14ac:dyDescent="0.25">
      <c r="A315" s="450"/>
      <c r="B315" s="376" t="s">
        <v>1129</v>
      </c>
      <c r="C315" s="410"/>
      <c r="D315" s="443"/>
      <c r="E315" s="443"/>
      <c r="F315" s="444"/>
      <c r="G315" s="444"/>
      <c r="H315" s="445"/>
      <c r="I315" s="410"/>
      <c r="J315" s="410"/>
      <c r="K315" s="444"/>
      <c r="L315" s="445"/>
      <c r="M315" s="410">
        <v>-3000</v>
      </c>
      <c r="N315" s="444"/>
      <c r="O315" s="445"/>
      <c r="P315" s="445"/>
    </row>
    <row r="316" spans="1:17" ht="47.25" x14ac:dyDescent="0.25">
      <c r="A316" s="450"/>
      <c r="B316" s="376" t="s">
        <v>1142</v>
      </c>
      <c r="C316" s="410"/>
      <c r="D316" s="443"/>
      <c r="E316" s="443"/>
      <c r="F316" s="444"/>
      <c r="G316" s="444"/>
      <c r="H316" s="445"/>
      <c r="I316" s="410"/>
      <c r="J316" s="410"/>
      <c r="K316" s="444"/>
      <c r="L316" s="445"/>
      <c r="M316" s="410">
        <v>-423</v>
      </c>
      <c r="N316" s="444"/>
      <c r="O316" s="445"/>
      <c r="P316" s="445"/>
    </row>
    <row r="317" spans="1:17" ht="63" x14ac:dyDescent="0.25">
      <c r="A317" s="450"/>
      <c r="B317" s="376" t="s">
        <v>1143</v>
      </c>
      <c r="C317" s="410"/>
      <c r="D317" s="443"/>
      <c r="E317" s="443"/>
      <c r="F317" s="444"/>
      <c r="G317" s="444"/>
      <c r="H317" s="445"/>
      <c r="I317" s="410"/>
      <c r="J317" s="410"/>
      <c r="K317" s="444"/>
      <c r="L317" s="445"/>
      <c r="M317" s="410">
        <v>-1000</v>
      </c>
      <c r="N317" s="444"/>
      <c r="O317" s="445"/>
      <c r="P317" s="445"/>
    </row>
    <row r="318" spans="1:17" ht="63" x14ac:dyDescent="0.25">
      <c r="A318" s="450"/>
      <c r="B318" s="376" t="s">
        <v>1144</v>
      </c>
      <c r="C318" s="410"/>
      <c r="D318" s="443"/>
      <c r="E318" s="443"/>
      <c r="F318" s="444"/>
      <c r="G318" s="444"/>
      <c r="H318" s="445"/>
      <c r="I318" s="410"/>
      <c r="J318" s="410"/>
      <c r="K318" s="444"/>
      <c r="L318" s="445"/>
      <c r="M318" s="410">
        <v>-18660</v>
      </c>
      <c r="N318" s="444"/>
      <c r="O318" s="445"/>
      <c r="P318" s="445"/>
    </row>
    <row r="319" spans="1:17" ht="47.25" x14ac:dyDescent="0.25">
      <c r="A319" s="450"/>
      <c r="B319" s="376" t="s">
        <v>1148</v>
      </c>
      <c r="C319" s="410"/>
      <c r="D319" s="443"/>
      <c r="E319" s="443"/>
      <c r="F319" s="444"/>
      <c r="G319" s="444"/>
      <c r="H319" s="445"/>
      <c r="I319" s="410"/>
      <c r="J319" s="410"/>
      <c r="K319" s="444"/>
      <c r="L319" s="445"/>
      <c r="M319" s="410">
        <v>-2000</v>
      </c>
      <c r="N319" s="444"/>
      <c r="O319" s="445"/>
      <c r="P319" s="445"/>
    </row>
    <row r="320" spans="1:17" ht="31.5" x14ac:dyDescent="0.25">
      <c r="A320" s="450"/>
      <c r="B320" s="376" t="s">
        <v>1244</v>
      </c>
      <c r="C320" s="410"/>
      <c r="D320" s="443"/>
      <c r="E320" s="443"/>
      <c r="F320" s="444"/>
      <c r="G320" s="444"/>
      <c r="H320" s="445"/>
      <c r="I320" s="410"/>
      <c r="J320" s="410"/>
      <c r="K320" s="444"/>
      <c r="L320" s="445"/>
      <c r="M320" s="410">
        <v>-3</v>
      </c>
      <c r="N320" s="444"/>
      <c r="O320" s="445"/>
      <c r="P320" s="445"/>
    </row>
    <row r="321" spans="1:16" x14ac:dyDescent="0.25">
      <c r="A321" s="452"/>
      <c r="B321" s="439"/>
      <c r="C321" s="446"/>
      <c r="D321" s="438"/>
      <c r="E321" s="438"/>
      <c r="F321" s="449"/>
      <c r="G321" s="449"/>
      <c r="H321" s="366"/>
      <c r="I321" s="446"/>
      <c r="J321" s="446"/>
      <c r="K321" s="449"/>
      <c r="L321" s="366"/>
      <c r="M321" s="446"/>
      <c r="N321" s="449"/>
      <c r="O321" s="448"/>
      <c r="P321" s="356"/>
    </row>
    <row r="322" spans="1:16" x14ac:dyDescent="0.25">
      <c r="A322" s="452"/>
      <c r="B322" s="379" t="s">
        <v>46</v>
      </c>
      <c r="C322" s="446"/>
      <c r="D322" s="438"/>
      <c r="E322" s="438"/>
      <c r="F322" s="449"/>
      <c r="G322" s="449"/>
      <c r="H322" s="366"/>
      <c r="I322" s="446"/>
      <c r="J322" s="446"/>
      <c r="K322" s="449"/>
      <c r="L322" s="366"/>
      <c r="M322" s="446"/>
      <c r="N322" s="389"/>
      <c r="O322" s="366"/>
      <c r="P322" s="356"/>
    </row>
    <row r="323" spans="1:16" x14ac:dyDescent="0.25">
      <c r="A323" s="452"/>
      <c r="B323" s="972" t="s">
        <v>1159</v>
      </c>
      <c r="C323" s="446"/>
      <c r="D323" s="438"/>
      <c r="E323" s="438"/>
      <c r="F323" s="449"/>
      <c r="G323" s="449"/>
      <c r="H323" s="366"/>
      <c r="I323" s="446"/>
      <c r="J323" s="446"/>
      <c r="K323" s="449"/>
      <c r="L323" s="366"/>
      <c r="M323" s="446"/>
      <c r="N323" s="449"/>
      <c r="O323" s="448"/>
      <c r="P323" s="356"/>
    </row>
    <row r="324" spans="1:16" ht="50.25" customHeight="1" x14ac:dyDescent="0.25">
      <c r="A324" s="452"/>
      <c r="B324" s="439" t="s">
        <v>1294</v>
      </c>
      <c r="C324" s="446"/>
      <c r="D324" s="438"/>
      <c r="E324" s="438"/>
      <c r="F324" s="449"/>
      <c r="G324" s="449"/>
      <c r="H324" s="366"/>
      <c r="I324" s="446"/>
      <c r="J324" s="446"/>
      <c r="K324" s="449"/>
      <c r="L324" s="366"/>
      <c r="M324" s="446"/>
      <c r="N324" s="898">
        <v>280</v>
      </c>
      <c r="O324" s="448"/>
      <c r="P324" s="356"/>
    </row>
    <row r="325" spans="1:16" ht="47.25" x14ac:dyDescent="0.25">
      <c r="A325" s="452"/>
      <c r="B325" s="439" t="s">
        <v>1295</v>
      </c>
      <c r="C325" s="446"/>
      <c r="D325" s="438"/>
      <c r="E325" s="438"/>
      <c r="F325" s="449"/>
      <c r="G325" s="449"/>
      <c r="H325" s="366"/>
      <c r="I325" s="446"/>
      <c r="J325" s="446"/>
      <c r="K325" s="449"/>
      <c r="L325" s="366"/>
      <c r="M325" s="446"/>
      <c r="N325" s="898">
        <f>6434+5465</f>
        <v>11899</v>
      </c>
      <c r="O325" s="448"/>
      <c r="P325" s="356"/>
    </row>
    <row r="326" spans="1:16" ht="49.5" customHeight="1" x14ac:dyDescent="0.25">
      <c r="A326" s="452"/>
      <c r="B326" s="439" t="s">
        <v>1296</v>
      </c>
      <c r="C326" s="446"/>
      <c r="D326" s="438"/>
      <c r="E326" s="438"/>
      <c r="F326" s="449"/>
      <c r="G326" s="449"/>
      <c r="H326" s="366"/>
      <c r="I326" s="446"/>
      <c r="J326" s="446"/>
      <c r="K326" s="449"/>
      <c r="L326" s="366"/>
      <c r="M326" s="446"/>
      <c r="N326" s="898">
        <f>-90292-45634</f>
        <v>-135926</v>
      </c>
      <c r="O326" s="448"/>
      <c r="P326" s="356"/>
    </row>
    <row r="327" spans="1:16" ht="63" customHeight="1" x14ac:dyDescent="0.25">
      <c r="A327" s="452"/>
      <c r="B327" s="439" t="s">
        <v>1297</v>
      </c>
      <c r="C327" s="446"/>
      <c r="D327" s="438"/>
      <c r="E327" s="438"/>
      <c r="F327" s="449"/>
      <c r="G327" s="449"/>
      <c r="H327" s="366"/>
      <c r="I327" s="446"/>
      <c r="J327" s="446"/>
      <c r="K327" s="449"/>
      <c r="L327" s="366"/>
      <c r="M327" s="446"/>
      <c r="N327" s="898">
        <f>91670+20159</f>
        <v>111829</v>
      </c>
      <c r="O327" s="448"/>
      <c r="P327" s="356"/>
    </row>
    <row r="328" spans="1:16" ht="64.5" customHeight="1" x14ac:dyDescent="0.25">
      <c r="A328" s="452"/>
      <c r="B328" s="439" t="s">
        <v>1298</v>
      </c>
      <c r="C328" s="446"/>
      <c r="D328" s="438"/>
      <c r="E328" s="438"/>
      <c r="F328" s="449"/>
      <c r="G328" s="449"/>
      <c r="H328" s="366"/>
      <c r="I328" s="446"/>
      <c r="J328" s="446"/>
      <c r="K328" s="449"/>
      <c r="L328" s="366"/>
      <c r="M328" s="446"/>
      <c r="N328" s="898">
        <v>14070</v>
      </c>
      <c r="O328" s="448"/>
      <c r="P328" s="356"/>
    </row>
    <row r="329" spans="1:16" ht="47.25" x14ac:dyDescent="0.25">
      <c r="A329" s="452"/>
      <c r="B329" s="439" t="s">
        <v>1268</v>
      </c>
      <c r="C329" s="446"/>
      <c r="D329" s="438"/>
      <c r="E329" s="438"/>
      <c r="F329" s="449"/>
      <c r="G329" s="449"/>
      <c r="H329" s="366"/>
      <c r="I329" s="446"/>
      <c r="J329" s="446"/>
      <c r="K329" s="449"/>
      <c r="L329" s="366"/>
      <c r="M329" s="446"/>
      <c r="N329" s="449">
        <v>71521</v>
      </c>
      <c r="O329" s="448"/>
      <c r="P329" s="356"/>
    </row>
    <row r="330" spans="1:16" ht="47.25" x14ac:dyDescent="0.25">
      <c r="A330" s="452"/>
      <c r="B330" s="439" t="s">
        <v>1098</v>
      </c>
      <c r="C330" s="446"/>
      <c r="D330" s="438"/>
      <c r="E330" s="438"/>
      <c r="F330" s="449"/>
      <c r="G330" s="449"/>
      <c r="H330" s="366"/>
      <c r="I330" s="446"/>
      <c r="J330" s="446"/>
      <c r="K330" s="449"/>
      <c r="L330" s="366"/>
      <c r="M330" s="446"/>
      <c r="N330" s="449">
        <f>2619+14682</f>
        <v>17301</v>
      </c>
      <c r="O330" s="448"/>
      <c r="P330" s="356"/>
    </row>
    <row r="331" spans="1:16" ht="31.5" x14ac:dyDescent="0.25">
      <c r="A331" s="452"/>
      <c r="B331" s="439" t="s">
        <v>1097</v>
      </c>
      <c r="C331" s="446"/>
      <c r="D331" s="438"/>
      <c r="E331" s="438"/>
      <c r="F331" s="449"/>
      <c r="G331" s="449"/>
      <c r="H331" s="366"/>
      <c r="I331" s="446"/>
      <c r="J331" s="446"/>
      <c r="K331" s="449"/>
      <c r="L331" s="366"/>
      <c r="M331" s="446"/>
      <c r="N331" s="449">
        <v>41835</v>
      </c>
      <c r="O331" s="448"/>
      <c r="P331" s="356"/>
    </row>
    <row r="332" spans="1:16" ht="47.25" x14ac:dyDescent="0.25">
      <c r="A332" s="452"/>
      <c r="B332" s="439" t="s">
        <v>1158</v>
      </c>
      <c r="C332" s="446"/>
      <c r="D332" s="438"/>
      <c r="E332" s="438"/>
      <c r="F332" s="449"/>
      <c r="G332" s="449"/>
      <c r="H332" s="366"/>
      <c r="I332" s="446"/>
      <c r="J332" s="446"/>
      <c r="K332" s="449"/>
      <c r="L332" s="366"/>
      <c r="M332" s="446"/>
      <c r="N332" s="449">
        <v>2494</v>
      </c>
      <c r="O332" s="448"/>
      <c r="P332" s="356"/>
    </row>
    <row r="333" spans="1:16" ht="67.150000000000006" customHeight="1" x14ac:dyDescent="0.25">
      <c r="A333" s="452"/>
      <c r="B333" s="439" t="s">
        <v>1054</v>
      </c>
      <c r="C333" s="446"/>
      <c r="D333" s="438"/>
      <c r="E333" s="438"/>
      <c r="F333" s="449"/>
      <c r="G333" s="449"/>
      <c r="H333" s="366"/>
      <c r="I333" s="446"/>
      <c r="J333" s="446"/>
      <c r="K333" s="449"/>
      <c r="L333" s="366"/>
      <c r="M333" s="446"/>
      <c r="N333" s="449">
        <v>-1287</v>
      </c>
      <c r="O333" s="448"/>
      <c r="P333" s="356"/>
    </row>
    <row r="334" spans="1:16" ht="47.25" x14ac:dyDescent="0.25">
      <c r="A334" s="452"/>
      <c r="B334" s="439" t="s">
        <v>1160</v>
      </c>
      <c r="C334" s="446"/>
      <c r="D334" s="438"/>
      <c r="E334" s="438"/>
      <c r="F334" s="449"/>
      <c r="G334" s="449"/>
      <c r="H334" s="366"/>
      <c r="I334" s="446"/>
      <c r="J334" s="446"/>
      <c r="K334" s="449"/>
      <c r="L334" s="366"/>
      <c r="M334" s="446"/>
      <c r="N334" s="449">
        <v>130</v>
      </c>
      <c r="O334" s="448"/>
      <c r="P334" s="356"/>
    </row>
    <row r="335" spans="1:16" ht="31.5" x14ac:dyDescent="0.25">
      <c r="A335" s="452"/>
      <c r="B335" s="439" t="s">
        <v>1161</v>
      </c>
      <c r="C335" s="446"/>
      <c r="D335" s="438"/>
      <c r="E335" s="438"/>
      <c r="F335" s="449"/>
      <c r="G335" s="449"/>
      <c r="H335" s="366"/>
      <c r="I335" s="446"/>
      <c r="J335" s="446"/>
      <c r="K335" s="449"/>
      <c r="L335" s="366"/>
      <c r="M335" s="446"/>
      <c r="N335" s="449">
        <v>1402195</v>
      </c>
      <c r="O335" s="448"/>
      <c r="P335" s="356"/>
    </row>
    <row r="336" spans="1:16" ht="31.5" x14ac:dyDescent="0.25">
      <c r="A336" s="452"/>
      <c r="B336" s="439" t="s">
        <v>1162</v>
      </c>
      <c r="C336" s="446"/>
      <c r="D336" s="438"/>
      <c r="E336" s="438"/>
      <c r="F336" s="449"/>
      <c r="G336" s="449"/>
      <c r="H336" s="366"/>
      <c r="I336" s="446"/>
      <c r="J336" s="446"/>
      <c r="K336" s="449"/>
      <c r="L336" s="366"/>
      <c r="M336" s="446"/>
      <c r="N336" s="449">
        <v>2384</v>
      </c>
      <c r="O336" s="448"/>
      <c r="P336" s="356"/>
    </row>
    <row r="337" spans="1:16" ht="47.25" x14ac:dyDescent="0.25">
      <c r="A337" s="452"/>
      <c r="B337" s="439" t="s">
        <v>1163</v>
      </c>
      <c r="C337" s="446"/>
      <c r="D337" s="438"/>
      <c r="E337" s="438"/>
      <c r="F337" s="449"/>
      <c r="G337" s="449"/>
      <c r="H337" s="366"/>
      <c r="I337" s="446"/>
      <c r="J337" s="446"/>
      <c r="K337" s="449"/>
      <c r="L337" s="366"/>
      <c r="M337" s="446"/>
      <c r="N337" s="449">
        <v>-2000</v>
      </c>
      <c r="O337" s="448"/>
      <c r="P337" s="356"/>
    </row>
    <row r="338" spans="1:16" ht="47.25" x14ac:dyDescent="0.25">
      <c r="A338" s="452"/>
      <c r="B338" s="439" t="s">
        <v>1164</v>
      </c>
      <c r="C338" s="446"/>
      <c r="D338" s="438"/>
      <c r="E338" s="438"/>
      <c r="F338" s="449"/>
      <c r="G338" s="449"/>
      <c r="H338" s="366"/>
      <c r="I338" s="446"/>
      <c r="J338" s="446"/>
      <c r="K338" s="449"/>
      <c r="L338" s="366"/>
      <c r="M338" s="446"/>
      <c r="N338" s="449">
        <v>-700</v>
      </c>
      <c r="O338" s="448"/>
      <c r="P338" s="356"/>
    </row>
    <row r="339" spans="1:16" ht="31.5" x14ac:dyDescent="0.25">
      <c r="A339" s="452"/>
      <c r="B339" s="439" t="s">
        <v>1165</v>
      </c>
      <c r="C339" s="446"/>
      <c r="D339" s="438"/>
      <c r="E339" s="438"/>
      <c r="F339" s="449"/>
      <c r="G339" s="449"/>
      <c r="H339" s="366"/>
      <c r="I339" s="446"/>
      <c r="J339" s="446"/>
      <c r="K339" s="449"/>
      <c r="L339" s="366"/>
      <c r="M339" s="446"/>
      <c r="N339" s="449">
        <v>35000</v>
      </c>
      <c r="O339" s="448"/>
      <c r="P339" s="356"/>
    </row>
    <row r="340" spans="1:16" ht="31.5" x14ac:dyDescent="0.25">
      <c r="A340" s="452"/>
      <c r="B340" s="439" t="s">
        <v>1166</v>
      </c>
      <c r="C340" s="446"/>
      <c r="D340" s="438"/>
      <c r="E340" s="438"/>
      <c r="F340" s="449"/>
      <c r="G340" s="449"/>
      <c r="H340" s="366"/>
      <c r="I340" s="446"/>
      <c r="J340" s="446"/>
      <c r="K340" s="449"/>
      <c r="L340" s="366"/>
      <c r="M340" s="446"/>
      <c r="N340" s="449">
        <v>1000</v>
      </c>
      <c r="O340" s="448"/>
      <c r="P340" s="356"/>
    </row>
    <row r="341" spans="1:16" ht="31.5" x14ac:dyDescent="0.25">
      <c r="A341" s="452"/>
      <c r="B341" s="439" t="s">
        <v>1167</v>
      </c>
      <c r="C341" s="446"/>
      <c r="D341" s="438"/>
      <c r="E341" s="438"/>
      <c r="F341" s="449"/>
      <c r="G341" s="449"/>
      <c r="H341" s="366"/>
      <c r="I341" s="446"/>
      <c r="J341" s="446"/>
      <c r="K341" s="449"/>
      <c r="L341" s="366"/>
      <c r="M341" s="446"/>
      <c r="N341" s="449">
        <f>630+170</f>
        <v>800</v>
      </c>
      <c r="O341" s="448"/>
      <c r="P341" s="356"/>
    </row>
    <row r="342" spans="1:16" ht="31.5" x14ac:dyDescent="0.25">
      <c r="A342" s="452"/>
      <c r="B342" s="439" t="s">
        <v>1172</v>
      </c>
      <c r="C342" s="446"/>
      <c r="D342" s="438"/>
      <c r="E342" s="438"/>
      <c r="F342" s="449"/>
      <c r="G342" s="449"/>
      <c r="H342" s="366"/>
      <c r="I342" s="446"/>
      <c r="J342" s="446"/>
      <c r="K342" s="449"/>
      <c r="L342" s="366"/>
      <c r="M342" s="446"/>
      <c r="N342" s="449">
        <v>1120</v>
      </c>
      <c r="O342" s="448"/>
      <c r="P342" s="356"/>
    </row>
    <row r="343" spans="1:16" ht="47.25" x14ac:dyDescent="0.25">
      <c r="A343" s="452"/>
      <c r="B343" s="439" t="s">
        <v>1173</v>
      </c>
      <c r="C343" s="446"/>
      <c r="D343" s="438"/>
      <c r="E343" s="438"/>
      <c r="F343" s="449"/>
      <c r="G343" s="449"/>
      <c r="H343" s="366"/>
      <c r="I343" s="446"/>
      <c r="J343" s="446"/>
      <c r="K343" s="449"/>
      <c r="L343" s="366"/>
      <c r="M343" s="446"/>
      <c r="N343" s="449">
        <v>855</v>
      </c>
      <c r="O343" s="448"/>
      <c r="P343" s="356"/>
    </row>
    <row r="344" spans="1:16" ht="31.5" x14ac:dyDescent="0.25">
      <c r="A344" s="452"/>
      <c r="B344" s="439" t="s">
        <v>1174</v>
      </c>
      <c r="C344" s="446"/>
      <c r="D344" s="438"/>
      <c r="E344" s="438"/>
      <c r="F344" s="449"/>
      <c r="G344" s="449"/>
      <c r="H344" s="366"/>
      <c r="I344" s="446"/>
      <c r="J344" s="446"/>
      <c r="K344" s="449"/>
      <c r="L344" s="366"/>
      <c r="M344" s="446"/>
      <c r="N344" s="449">
        <v>15386</v>
      </c>
      <c r="O344" s="448"/>
      <c r="P344" s="356"/>
    </row>
    <row r="345" spans="1:16" ht="33" customHeight="1" x14ac:dyDescent="0.25">
      <c r="A345" s="452"/>
      <c r="B345" s="439" t="s">
        <v>1175</v>
      </c>
      <c r="C345" s="446"/>
      <c r="D345" s="438"/>
      <c r="E345" s="438"/>
      <c r="F345" s="449"/>
      <c r="G345" s="449"/>
      <c r="H345" s="366"/>
      <c r="I345" s="446"/>
      <c r="J345" s="446"/>
      <c r="K345" s="449"/>
      <c r="L345" s="366"/>
      <c r="M345" s="446"/>
      <c r="N345" s="449">
        <v>-119649</v>
      </c>
      <c r="O345" s="448"/>
      <c r="P345" s="356"/>
    </row>
    <row r="346" spans="1:16" ht="47.25" x14ac:dyDescent="0.25">
      <c r="A346" s="452"/>
      <c r="B346" s="439" t="s">
        <v>1178</v>
      </c>
      <c r="C346" s="446"/>
      <c r="D346" s="438"/>
      <c r="E346" s="438"/>
      <c r="F346" s="449"/>
      <c r="G346" s="449"/>
      <c r="H346" s="366"/>
      <c r="I346" s="446"/>
      <c r="J346" s="446"/>
      <c r="K346" s="449"/>
      <c r="L346" s="366"/>
      <c r="M346" s="446"/>
      <c r="N346" s="449">
        <v>-1780</v>
      </c>
      <c r="O346" s="448"/>
      <c r="P346" s="356"/>
    </row>
    <row r="347" spans="1:16" ht="47.25" x14ac:dyDescent="0.25">
      <c r="A347" s="452"/>
      <c r="B347" s="439" t="s">
        <v>1179</v>
      </c>
      <c r="C347" s="446"/>
      <c r="D347" s="438"/>
      <c r="E347" s="438"/>
      <c r="F347" s="449"/>
      <c r="G347" s="449"/>
      <c r="H347" s="366"/>
      <c r="I347" s="446"/>
      <c r="J347" s="446"/>
      <c r="K347" s="449"/>
      <c r="L347" s="366"/>
      <c r="M347" s="446"/>
      <c r="N347" s="449">
        <v>8212</v>
      </c>
      <c r="O347" s="448"/>
      <c r="P347" s="356"/>
    </row>
    <row r="348" spans="1:16" ht="47.25" x14ac:dyDescent="0.25">
      <c r="A348" s="452"/>
      <c r="B348" s="439" t="s">
        <v>1180</v>
      </c>
      <c r="C348" s="446"/>
      <c r="D348" s="438"/>
      <c r="E348" s="438"/>
      <c r="F348" s="449"/>
      <c r="G348" s="449"/>
      <c r="H348" s="366"/>
      <c r="I348" s="446"/>
      <c r="J348" s="446"/>
      <c r="K348" s="449"/>
      <c r="L348" s="366"/>
      <c r="M348" s="446"/>
      <c r="N348" s="449">
        <v>765</v>
      </c>
      <c r="O348" s="448"/>
      <c r="P348" s="356"/>
    </row>
    <row r="349" spans="1:16" ht="47.25" x14ac:dyDescent="0.25">
      <c r="A349" s="452"/>
      <c r="B349" s="439" t="s">
        <v>1181</v>
      </c>
      <c r="C349" s="446"/>
      <c r="D349" s="438"/>
      <c r="E349" s="438"/>
      <c r="F349" s="449"/>
      <c r="G349" s="449"/>
      <c r="H349" s="366"/>
      <c r="I349" s="446"/>
      <c r="J349" s="446"/>
      <c r="K349" s="449"/>
      <c r="L349" s="366"/>
      <c r="M349" s="446"/>
      <c r="N349" s="449">
        <v>-312</v>
      </c>
      <c r="O349" s="448"/>
      <c r="P349" s="356"/>
    </row>
    <row r="350" spans="1:16" ht="63" x14ac:dyDescent="0.25">
      <c r="A350" s="452"/>
      <c r="B350" s="439" t="s">
        <v>1182</v>
      </c>
      <c r="C350" s="446"/>
      <c r="D350" s="438"/>
      <c r="E350" s="438"/>
      <c r="F350" s="449"/>
      <c r="G350" s="449"/>
      <c r="H350" s="366"/>
      <c r="I350" s="446"/>
      <c r="J350" s="446"/>
      <c r="K350" s="449"/>
      <c r="L350" s="366"/>
      <c r="M350" s="446"/>
      <c r="N350" s="449">
        <f>18309+4943</f>
        <v>23252</v>
      </c>
      <c r="O350" s="448"/>
      <c r="P350" s="356"/>
    </row>
    <row r="351" spans="1:16" ht="63" x14ac:dyDescent="0.25">
      <c r="A351" s="452"/>
      <c r="B351" s="439" t="s">
        <v>1183</v>
      </c>
      <c r="C351" s="446"/>
      <c r="D351" s="438"/>
      <c r="E351" s="438"/>
      <c r="F351" s="449"/>
      <c r="G351" s="449"/>
      <c r="H351" s="366"/>
      <c r="I351" s="446"/>
      <c r="J351" s="446"/>
      <c r="K351" s="449"/>
      <c r="L351" s="366"/>
      <c r="M351" s="446"/>
      <c r="N351" s="449">
        <f>4178+1128</f>
        <v>5306</v>
      </c>
      <c r="O351" s="448"/>
      <c r="P351" s="356"/>
    </row>
    <row r="352" spans="1:16" ht="63" x14ac:dyDescent="0.25">
      <c r="A352" s="452"/>
      <c r="B352" s="439" t="s">
        <v>1184</v>
      </c>
      <c r="C352" s="446"/>
      <c r="D352" s="438"/>
      <c r="E352" s="438"/>
      <c r="F352" s="449"/>
      <c r="G352" s="449"/>
      <c r="H352" s="366"/>
      <c r="I352" s="446"/>
      <c r="J352" s="446"/>
      <c r="K352" s="449"/>
      <c r="L352" s="366"/>
      <c r="M352" s="446"/>
      <c r="N352" s="449">
        <v>20701</v>
      </c>
      <c r="O352" s="448"/>
      <c r="P352" s="356"/>
    </row>
    <row r="353" spans="1:16" ht="31.5" x14ac:dyDescent="0.25">
      <c r="A353" s="452"/>
      <c r="B353" s="439" t="s">
        <v>1185</v>
      </c>
      <c r="C353" s="446"/>
      <c r="D353" s="438"/>
      <c r="E353" s="438"/>
      <c r="F353" s="449"/>
      <c r="G353" s="449"/>
      <c r="H353" s="366"/>
      <c r="I353" s="446"/>
      <c r="J353" s="446"/>
      <c r="K353" s="449"/>
      <c r="L353" s="366"/>
      <c r="M353" s="446"/>
      <c r="N353" s="449">
        <f>7720+2084</f>
        <v>9804</v>
      </c>
      <c r="O353" s="448"/>
      <c r="P353" s="356"/>
    </row>
    <row r="354" spans="1:16" ht="47.25" x14ac:dyDescent="0.25">
      <c r="A354" s="452"/>
      <c r="B354" s="439" t="s">
        <v>1186</v>
      </c>
      <c r="C354" s="446"/>
      <c r="D354" s="438"/>
      <c r="E354" s="438"/>
      <c r="F354" s="449"/>
      <c r="G354" s="449"/>
      <c r="H354" s="366"/>
      <c r="I354" s="446"/>
      <c r="J354" s="446"/>
      <c r="K354" s="449"/>
      <c r="L354" s="366"/>
      <c r="M354" s="446"/>
      <c r="N354" s="449">
        <f>-21500-5805</f>
        <v>-27305</v>
      </c>
      <c r="O354" s="448"/>
      <c r="P354" s="356"/>
    </row>
    <row r="355" spans="1:16" ht="47.25" x14ac:dyDescent="0.25">
      <c r="A355" s="452"/>
      <c r="B355" s="439" t="s">
        <v>1187</v>
      </c>
      <c r="C355" s="446"/>
      <c r="D355" s="438"/>
      <c r="E355" s="438"/>
      <c r="F355" s="449"/>
      <c r="G355" s="449"/>
      <c r="H355" s="366"/>
      <c r="I355" s="446"/>
      <c r="J355" s="446"/>
      <c r="K355" s="449"/>
      <c r="L355" s="366"/>
      <c r="M355" s="446"/>
      <c r="N355" s="449">
        <f>-7000-700</f>
        <v>-7700</v>
      </c>
      <c r="O355" s="448"/>
      <c r="P355" s="356"/>
    </row>
    <row r="356" spans="1:16" ht="47.25" x14ac:dyDescent="0.25">
      <c r="A356" s="452"/>
      <c r="B356" s="439" t="s">
        <v>1188</v>
      </c>
      <c r="C356" s="446"/>
      <c r="D356" s="438"/>
      <c r="E356" s="438"/>
      <c r="F356" s="449"/>
      <c r="G356" s="449"/>
      <c r="H356" s="366"/>
      <c r="I356" s="446"/>
      <c r="J356" s="446"/>
      <c r="K356" s="449"/>
      <c r="L356" s="366"/>
      <c r="M356" s="446"/>
      <c r="N356" s="449">
        <f>-6387-1322</f>
        <v>-7709</v>
      </c>
      <c r="O356" s="448"/>
      <c r="P356" s="356"/>
    </row>
    <row r="357" spans="1:16" ht="47.25" x14ac:dyDescent="0.25">
      <c r="A357" s="452"/>
      <c r="B357" s="439" t="s">
        <v>1189</v>
      </c>
      <c r="C357" s="446"/>
      <c r="D357" s="438"/>
      <c r="E357" s="438"/>
      <c r="F357" s="449"/>
      <c r="G357" s="449"/>
      <c r="H357" s="366"/>
      <c r="I357" s="446"/>
      <c r="J357" s="446"/>
      <c r="K357" s="449"/>
      <c r="L357" s="366"/>
      <c r="M357" s="446"/>
      <c r="N357" s="449">
        <v>19390</v>
      </c>
      <c r="O357" s="448"/>
      <c r="P357" s="356"/>
    </row>
    <row r="358" spans="1:16" ht="63" x14ac:dyDescent="0.25">
      <c r="A358" s="452"/>
      <c r="B358" s="439" t="s">
        <v>1190</v>
      </c>
      <c r="C358" s="446"/>
      <c r="D358" s="438"/>
      <c r="E358" s="438"/>
      <c r="F358" s="449"/>
      <c r="G358" s="449"/>
      <c r="H358" s="366"/>
      <c r="I358" s="446"/>
      <c r="J358" s="446"/>
      <c r="K358" s="449"/>
      <c r="L358" s="366"/>
      <c r="M358" s="446"/>
      <c r="N358" s="449">
        <f>2907+786</f>
        <v>3693</v>
      </c>
      <c r="O358" s="448"/>
      <c r="P358" s="356"/>
    </row>
    <row r="359" spans="1:16" ht="47.25" x14ac:dyDescent="0.25">
      <c r="A359" s="452"/>
      <c r="B359" s="439" t="s">
        <v>1215</v>
      </c>
      <c r="C359" s="446"/>
      <c r="D359" s="438"/>
      <c r="E359" s="438"/>
      <c r="F359" s="449"/>
      <c r="G359" s="449"/>
      <c r="H359" s="366"/>
      <c r="I359" s="446"/>
      <c r="J359" s="446"/>
      <c r="K359" s="449"/>
      <c r="L359" s="366"/>
      <c r="M359" s="446"/>
      <c r="N359" s="449">
        <v>-843705</v>
      </c>
      <c r="O359" s="448"/>
      <c r="P359" s="356"/>
    </row>
    <row r="360" spans="1:16" ht="47.25" x14ac:dyDescent="0.25">
      <c r="A360" s="452"/>
      <c r="B360" s="439" t="s">
        <v>1216</v>
      </c>
      <c r="C360" s="446"/>
      <c r="D360" s="438"/>
      <c r="E360" s="438"/>
      <c r="F360" s="449"/>
      <c r="G360" s="449"/>
      <c r="H360" s="366"/>
      <c r="I360" s="446"/>
      <c r="J360" s="446"/>
      <c r="K360" s="449"/>
      <c r="L360" s="366"/>
      <c r="M360" s="446"/>
      <c r="N360" s="449">
        <v>-13570</v>
      </c>
      <c r="O360" s="448"/>
      <c r="P360" s="356"/>
    </row>
    <row r="361" spans="1:16" ht="47.25" x14ac:dyDescent="0.25">
      <c r="A361" s="452"/>
      <c r="B361" s="439" t="s">
        <v>1219</v>
      </c>
      <c r="C361" s="446"/>
      <c r="D361" s="438"/>
      <c r="E361" s="438"/>
      <c r="F361" s="449"/>
      <c r="G361" s="449"/>
      <c r="H361" s="366"/>
      <c r="I361" s="446"/>
      <c r="J361" s="446"/>
      <c r="K361" s="449"/>
      <c r="L361" s="366"/>
      <c r="M361" s="446"/>
      <c r="N361" s="449">
        <v>-2832</v>
      </c>
      <c r="O361" s="448"/>
      <c r="P361" s="356"/>
    </row>
    <row r="362" spans="1:16" ht="47.25" x14ac:dyDescent="0.25">
      <c r="A362" s="452"/>
      <c r="B362" s="439" t="s">
        <v>1220</v>
      </c>
      <c r="C362" s="446"/>
      <c r="D362" s="438"/>
      <c r="E362" s="438"/>
      <c r="F362" s="449"/>
      <c r="G362" s="449"/>
      <c r="H362" s="366"/>
      <c r="I362" s="446"/>
      <c r="J362" s="446"/>
      <c r="K362" s="449"/>
      <c r="L362" s="366"/>
      <c r="M362" s="446"/>
      <c r="N362" s="449">
        <v>-68063</v>
      </c>
      <c r="O362" s="448"/>
      <c r="P362" s="356"/>
    </row>
    <row r="363" spans="1:16" ht="47.25" x14ac:dyDescent="0.25">
      <c r="A363" s="452"/>
      <c r="B363" s="439" t="s">
        <v>1222</v>
      </c>
      <c r="C363" s="446"/>
      <c r="D363" s="438"/>
      <c r="E363" s="438"/>
      <c r="F363" s="449"/>
      <c r="G363" s="449"/>
      <c r="H363" s="366"/>
      <c r="I363" s="446"/>
      <c r="J363" s="446"/>
      <c r="K363" s="449"/>
      <c r="L363" s="366"/>
      <c r="M363" s="446"/>
      <c r="N363" s="449">
        <v>-1</v>
      </c>
      <c r="O363" s="448"/>
      <c r="P363" s="356"/>
    </row>
    <row r="364" spans="1:16" ht="63" x14ac:dyDescent="0.25">
      <c r="A364" s="452"/>
      <c r="B364" s="439" t="s">
        <v>1225</v>
      </c>
      <c r="C364" s="446"/>
      <c r="D364" s="438"/>
      <c r="E364" s="438"/>
      <c r="F364" s="449"/>
      <c r="G364" s="449"/>
      <c r="H364" s="366"/>
      <c r="I364" s="446"/>
      <c r="J364" s="446"/>
      <c r="K364" s="449"/>
      <c r="L364" s="366"/>
      <c r="M364" s="446"/>
      <c r="N364" s="449">
        <v>-1740</v>
      </c>
      <c r="O364" s="448"/>
      <c r="P364" s="356"/>
    </row>
    <row r="365" spans="1:16" ht="78.75" x14ac:dyDescent="0.25">
      <c r="A365" s="452"/>
      <c r="B365" s="439" t="s">
        <v>1227</v>
      </c>
      <c r="C365" s="446"/>
      <c r="D365" s="438"/>
      <c r="E365" s="438"/>
      <c r="F365" s="449"/>
      <c r="G365" s="449"/>
      <c r="H365" s="366"/>
      <c r="I365" s="446"/>
      <c r="J365" s="446"/>
      <c r="K365" s="449"/>
      <c r="L365" s="366"/>
      <c r="M365" s="446"/>
      <c r="N365" s="449">
        <v>-69000</v>
      </c>
      <c r="O365" s="448"/>
      <c r="P365" s="356"/>
    </row>
    <row r="366" spans="1:16" ht="63" x14ac:dyDescent="0.25">
      <c r="A366" s="452"/>
      <c r="B366" s="439" t="s">
        <v>1228</v>
      </c>
      <c r="C366" s="446"/>
      <c r="D366" s="438"/>
      <c r="E366" s="438"/>
      <c r="F366" s="449"/>
      <c r="G366" s="449"/>
      <c r="H366" s="366"/>
      <c r="I366" s="446"/>
      <c r="J366" s="446"/>
      <c r="K366" s="449"/>
      <c r="L366" s="366"/>
      <c r="M366" s="446"/>
      <c r="N366" s="449">
        <v>-17268</v>
      </c>
      <c r="O366" s="448"/>
      <c r="P366" s="356"/>
    </row>
    <row r="367" spans="1:16" ht="47.25" x14ac:dyDescent="0.25">
      <c r="A367" s="452"/>
      <c r="B367" s="439" t="s">
        <v>1230</v>
      </c>
      <c r="C367" s="446"/>
      <c r="D367" s="438"/>
      <c r="E367" s="438"/>
      <c r="F367" s="449"/>
      <c r="G367" s="449"/>
      <c r="H367" s="366"/>
      <c r="I367" s="446"/>
      <c r="J367" s="446"/>
      <c r="K367" s="449"/>
      <c r="L367" s="366"/>
      <c r="M367" s="446"/>
      <c r="N367" s="449">
        <v>-4367</v>
      </c>
      <c r="O367" s="448"/>
      <c r="P367" s="356"/>
    </row>
    <row r="368" spans="1:16" ht="47.25" x14ac:dyDescent="0.25">
      <c r="A368" s="452"/>
      <c r="B368" s="439" t="s">
        <v>1232</v>
      </c>
      <c r="C368" s="446"/>
      <c r="D368" s="438"/>
      <c r="E368" s="438"/>
      <c r="F368" s="449"/>
      <c r="G368" s="449"/>
      <c r="H368" s="366"/>
      <c r="I368" s="446"/>
      <c r="J368" s="446"/>
      <c r="K368" s="449"/>
      <c r="L368" s="366"/>
      <c r="M368" s="446"/>
      <c r="N368" s="449">
        <v>-8678</v>
      </c>
      <c r="O368" s="448"/>
      <c r="P368" s="356"/>
    </row>
    <row r="369" spans="1:17" ht="69.75" customHeight="1" x14ac:dyDescent="0.25">
      <c r="A369" s="452"/>
      <c r="B369" s="439" t="s">
        <v>1231</v>
      </c>
      <c r="C369" s="446"/>
      <c r="D369" s="438"/>
      <c r="E369" s="438"/>
      <c r="F369" s="449"/>
      <c r="G369" s="449"/>
      <c r="H369" s="366"/>
      <c r="I369" s="446"/>
      <c r="J369" s="446"/>
      <c r="K369" s="449"/>
      <c r="L369" s="366"/>
      <c r="M369" s="446"/>
      <c r="N369" s="449">
        <v>-1844</v>
      </c>
      <c r="O369" s="448"/>
      <c r="P369" s="356"/>
    </row>
    <row r="370" spans="1:17" ht="78.75" x14ac:dyDescent="0.25">
      <c r="A370" s="452"/>
      <c r="B370" s="439" t="s">
        <v>1238</v>
      </c>
      <c r="C370" s="446"/>
      <c r="D370" s="438"/>
      <c r="E370" s="438"/>
      <c r="F370" s="449"/>
      <c r="G370" s="449"/>
      <c r="H370" s="366"/>
      <c r="I370" s="446"/>
      <c r="J370" s="446"/>
      <c r="K370" s="449"/>
      <c r="L370" s="366"/>
      <c r="M370" s="446"/>
      <c r="N370" s="449">
        <v>250500</v>
      </c>
      <c r="O370" s="448"/>
      <c r="P370" s="356"/>
    </row>
    <row r="371" spans="1:17" x14ac:dyDescent="0.25">
      <c r="A371" s="452"/>
      <c r="B371" s="439"/>
      <c r="C371" s="446"/>
      <c r="D371" s="438"/>
      <c r="E371" s="438"/>
      <c r="F371" s="449"/>
      <c r="G371" s="449"/>
      <c r="H371" s="366"/>
      <c r="I371" s="446"/>
      <c r="J371" s="446"/>
      <c r="K371" s="449"/>
      <c r="L371" s="366"/>
      <c r="M371" s="446"/>
      <c r="N371" s="449"/>
      <c r="O371" s="448"/>
      <c r="P371" s="356"/>
    </row>
    <row r="372" spans="1:17" ht="31.5" x14ac:dyDescent="0.25">
      <c r="A372" s="452"/>
      <c r="B372" s="377" t="s">
        <v>565</v>
      </c>
      <c r="C372" s="446"/>
      <c r="D372" s="438"/>
      <c r="E372" s="438"/>
      <c r="F372" s="449"/>
      <c r="G372" s="449"/>
      <c r="H372" s="366"/>
      <c r="I372" s="446"/>
      <c r="J372" s="446"/>
      <c r="K372" s="449"/>
      <c r="L372" s="366"/>
      <c r="M372" s="446"/>
      <c r="N372" s="449"/>
      <c r="O372" s="448"/>
      <c r="P372" s="356"/>
    </row>
    <row r="373" spans="1:17" ht="47.25" x14ac:dyDescent="0.25">
      <c r="A373" s="452"/>
      <c r="B373" s="439" t="s">
        <v>1010</v>
      </c>
      <c r="C373" s="446"/>
      <c r="D373" s="438"/>
      <c r="E373" s="438"/>
      <c r="F373" s="449"/>
      <c r="G373" s="449"/>
      <c r="H373" s="366"/>
      <c r="I373" s="446"/>
      <c r="J373" s="446"/>
      <c r="K373" s="449"/>
      <c r="L373" s="366"/>
      <c r="M373" s="446"/>
      <c r="N373" s="449">
        <v>4420</v>
      </c>
      <c r="O373" s="448"/>
      <c r="P373" s="356">
        <f t="shared" ref="P373" si="303">SUM(O373)</f>
        <v>0</v>
      </c>
      <c r="Q373" s="383" t="s">
        <v>658</v>
      </c>
    </row>
    <row r="374" spans="1:17" ht="47.25" x14ac:dyDescent="0.25">
      <c r="A374" s="452"/>
      <c r="B374" s="439" t="s">
        <v>1009</v>
      </c>
      <c r="C374" s="446"/>
      <c r="D374" s="438"/>
      <c r="E374" s="438"/>
      <c r="F374" s="449"/>
      <c r="G374" s="449"/>
      <c r="H374" s="366"/>
      <c r="I374" s="446"/>
      <c r="J374" s="446"/>
      <c r="K374" s="449"/>
      <c r="L374" s="366"/>
      <c r="M374" s="446"/>
      <c r="N374" s="449">
        <f>-225739+64873</f>
        <v>-160866</v>
      </c>
      <c r="O374" s="448"/>
      <c r="P374" s="356">
        <f t="shared" ref="P374" si="304">SUM(O374)</f>
        <v>0</v>
      </c>
      <c r="Q374" s="383" t="s">
        <v>658</v>
      </c>
    </row>
    <row r="375" spans="1:17" ht="113.25" customHeight="1" x14ac:dyDescent="0.25">
      <c r="A375" s="452"/>
      <c r="B375" s="439" t="s">
        <v>1014</v>
      </c>
      <c r="C375" s="446"/>
      <c r="D375" s="438"/>
      <c r="E375" s="438"/>
      <c r="F375" s="449"/>
      <c r="G375" s="449"/>
      <c r="H375" s="366"/>
      <c r="I375" s="446"/>
      <c r="J375" s="446"/>
      <c r="K375" s="449"/>
      <c r="L375" s="366"/>
      <c r="M375" s="446"/>
      <c r="N375" s="449">
        <v>-12000</v>
      </c>
      <c r="O375" s="448"/>
      <c r="P375" s="356">
        <f t="shared" ref="P375:P377" si="305">SUM(O375)</f>
        <v>0</v>
      </c>
      <c r="Q375" s="383" t="s">
        <v>658</v>
      </c>
    </row>
    <row r="376" spans="1:17" ht="83.25" customHeight="1" x14ac:dyDescent="0.25">
      <c r="A376" s="452"/>
      <c r="B376" s="439" t="s">
        <v>1019</v>
      </c>
      <c r="C376" s="446"/>
      <c r="D376" s="438"/>
      <c r="E376" s="438"/>
      <c r="F376" s="449"/>
      <c r="G376" s="449"/>
      <c r="H376" s="366"/>
      <c r="I376" s="446"/>
      <c r="J376" s="446"/>
      <c r="K376" s="449"/>
      <c r="L376" s="366"/>
      <c r="M376" s="446"/>
      <c r="N376" s="449">
        <v>-3953</v>
      </c>
      <c r="O376" s="448"/>
      <c r="P376" s="356">
        <f t="shared" si="305"/>
        <v>0</v>
      </c>
      <c r="Q376" s="383" t="s">
        <v>658</v>
      </c>
    </row>
    <row r="377" spans="1:17" ht="47.25" x14ac:dyDescent="0.25">
      <c r="A377" s="452"/>
      <c r="B377" s="439" t="s">
        <v>1051</v>
      </c>
      <c r="C377" s="446"/>
      <c r="D377" s="438"/>
      <c r="E377" s="438"/>
      <c r="F377" s="449"/>
      <c r="G377" s="449"/>
      <c r="H377" s="366"/>
      <c r="I377" s="446"/>
      <c r="J377" s="446"/>
      <c r="K377" s="449"/>
      <c r="L377" s="366"/>
      <c r="M377" s="446"/>
      <c r="N377" s="449">
        <v>-116134</v>
      </c>
      <c r="O377" s="448"/>
      <c r="P377" s="356">
        <f t="shared" si="305"/>
        <v>0</v>
      </c>
      <c r="Q377" s="383" t="s">
        <v>658</v>
      </c>
    </row>
    <row r="378" spans="1:17" ht="63" x14ac:dyDescent="0.25">
      <c r="A378" s="452"/>
      <c r="B378" s="439" t="s">
        <v>1050</v>
      </c>
      <c r="C378" s="446"/>
      <c r="D378" s="438"/>
      <c r="E378" s="438"/>
      <c r="F378" s="449"/>
      <c r="G378" s="449"/>
      <c r="H378" s="366"/>
      <c r="I378" s="446"/>
      <c r="J378" s="446"/>
      <c r="K378" s="449"/>
      <c r="L378" s="366"/>
      <c r="M378" s="446"/>
      <c r="N378" s="449">
        <v>-7500</v>
      </c>
      <c r="O378" s="448"/>
      <c r="P378" s="356">
        <f t="shared" ref="P378" si="306">SUM(O378)</f>
        <v>0</v>
      </c>
      <c r="Q378" s="383" t="s">
        <v>658</v>
      </c>
    </row>
    <row r="379" spans="1:17" ht="47.25" x14ac:dyDescent="0.25">
      <c r="A379" s="452"/>
      <c r="B379" s="439" t="s">
        <v>1052</v>
      </c>
      <c r="C379" s="446"/>
      <c r="D379" s="438"/>
      <c r="E379" s="438"/>
      <c r="F379" s="449"/>
      <c r="G379" s="449"/>
      <c r="H379" s="366"/>
      <c r="I379" s="446"/>
      <c r="J379" s="446"/>
      <c r="K379" s="449"/>
      <c r="L379" s="366"/>
      <c r="M379" s="446"/>
      <c r="N379" s="449">
        <v>-5000</v>
      </c>
      <c r="O379" s="448"/>
      <c r="P379" s="356"/>
      <c r="Q379" s="383" t="s">
        <v>658</v>
      </c>
    </row>
    <row r="380" spans="1:17" ht="78.75" x14ac:dyDescent="0.25">
      <c r="A380" s="452"/>
      <c r="B380" s="439" t="s">
        <v>1053</v>
      </c>
      <c r="C380" s="446"/>
      <c r="D380" s="438"/>
      <c r="E380" s="438"/>
      <c r="F380" s="449"/>
      <c r="G380" s="449"/>
      <c r="H380" s="366"/>
      <c r="I380" s="446"/>
      <c r="J380" s="446"/>
      <c r="K380" s="449"/>
      <c r="L380" s="366"/>
      <c r="M380" s="446"/>
      <c r="N380" s="449">
        <v>-3240</v>
      </c>
      <c r="O380" s="448"/>
      <c r="P380" s="356"/>
    </row>
    <row r="381" spans="1:17" ht="62.25" customHeight="1" x14ac:dyDescent="0.25">
      <c r="A381" s="452"/>
      <c r="B381" s="439" t="s">
        <v>1055</v>
      </c>
      <c r="C381" s="446"/>
      <c r="D381" s="438"/>
      <c r="E381" s="438"/>
      <c r="F381" s="449"/>
      <c r="G381" s="449"/>
      <c r="H381" s="366"/>
      <c r="I381" s="446"/>
      <c r="J381" s="446"/>
      <c r="K381" s="449"/>
      <c r="L381" s="366"/>
      <c r="M381" s="446"/>
      <c r="N381" s="449">
        <v>-143082</v>
      </c>
      <c r="O381" s="448"/>
      <c r="P381" s="356"/>
    </row>
    <row r="382" spans="1:17" ht="47.25" x14ac:dyDescent="0.25">
      <c r="A382" s="452"/>
      <c r="B382" s="439" t="s">
        <v>1057</v>
      </c>
      <c r="C382" s="446"/>
      <c r="D382" s="438"/>
      <c r="E382" s="438"/>
      <c r="F382" s="449"/>
      <c r="G382" s="449"/>
      <c r="H382" s="366"/>
      <c r="I382" s="446"/>
      <c r="J382" s="446"/>
      <c r="K382" s="449"/>
      <c r="L382" s="366"/>
      <c r="M382" s="446"/>
      <c r="N382" s="449">
        <v>-19685</v>
      </c>
      <c r="O382" s="448"/>
      <c r="P382" s="356"/>
    </row>
    <row r="383" spans="1:17" x14ac:dyDescent="0.25">
      <c r="A383" s="452"/>
      <c r="B383" s="972" t="s">
        <v>1210</v>
      </c>
      <c r="C383" s="446"/>
      <c r="D383" s="438"/>
      <c r="E383" s="438"/>
      <c r="F383" s="449"/>
      <c r="G383" s="449"/>
      <c r="H383" s="366"/>
      <c r="I383" s="446"/>
      <c r="J383" s="446"/>
      <c r="K383" s="449"/>
      <c r="L383" s="366"/>
      <c r="M383" s="446"/>
      <c r="N383" s="449"/>
      <c r="O383" s="448"/>
      <c r="P383" s="356"/>
    </row>
    <row r="384" spans="1:17" ht="47.25" x14ac:dyDescent="0.25">
      <c r="A384" s="452"/>
      <c r="B384" s="439" t="s">
        <v>988</v>
      </c>
      <c r="C384" s="446"/>
      <c r="D384" s="438"/>
      <c r="E384" s="438"/>
      <c r="F384" s="449"/>
      <c r="G384" s="449"/>
      <c r="H384" s="366"/>
      <c r="I384" s="446"/>
      <c r="J384" s="446"/>
      <c r="K384" s="449"/>
      <c r="L384" s="366"/>
      <c r="M384" s="446"/>
      <c r="N384" s="449">
        <v>100000</v>
      </c>
      <c r="O384" s="448"/>
      <c r="P384" s="356"/>
    </row>
    <row r="385" spans="1:17" ht="72" customHeight="1" x14ac:dyDescent="0.25">
      <c r="A385" s="452"/>
      <c r="B385" s="439" t="s">
        <v>1157</v>
      </c>
      <c r="C385" s="446"/>
      <c r="D385" s="438"/>
      <c r="E385" s="438"/>
      <c r="F385" s="449"/>
      <c r="G385" s="449"/>
      <c r="H385" s="366"/>
      <c r="I385" s="446"/>
      <c r="J385" s="446"/>
      <c r="K385" s="449"/>
      <c r="L385" s="366"/>
      <c r="M385" s="446"/>
      <c r="N385" s="449">
        <v>11355</v>
      </c>
      <c r="O385" s="448"/>
      <c r="P385" s="356"/>
    </row>
    <row r="386" spans="1:17" ht="63" x14ac:dyDescent="0.25">
      <c r="A386" s="452"/>
      <c r="B386" s="439" t="s">
        <v>1152</v>
      </c>
      <c r="C386" s="446"/>
      <c r="D386" s="438"/>
      <c r="E386" s="438"/>
      <c r="F386" s="449"/>
      <c r="G386" s="449"/>
      <c r="H386" s="366"/>
      <c r="I386" s="446"/>
      <c r="J386" s="446"/>
      <c r="K386" s="449"/>
      <c r="L386" s="366"/>
      <c r="M386" s="446"/>
      <c r="N386" s="449">
        <v>-89801</v>
      </c>
      <c r="O386" s="448"/>
      <c r="P386" s="356"/>
    </row>
    <row r="387" spans="1:17" ht="63" x14ac:dyDescent="0.25">
      <c r="A387" s="452"/>
      <c r="B387" s="439" t="s">
        <v>1060</v>
      </c>
      <c r="C387" s="446"/>
      <c r="D387" s="438"/>
      <c r="E387" s="438"/>
      <c r="F387" s="449"/>
      <c r="G387" s="449"/>
      <c r="H387" s="366"/>
      <c r="I387" s="446"/>
      <c r="J387" s="446"/>
      <c r="K387" s="449"/>
      <c r="L387" s="366"/>
      <c r="M387" s="446"/>
      <c r="N387" s="449">
        <v>-36697</v>
      </c>
      <c r="O387" s="448"/>
      <c r="P387" s="356"/>
    </row>
    <row r="388" spans="1:17" ht="47.25" x14ac:dyDescent="0.25">
      <c r="A388" s="452"/>
      <c r="B388" s="439" t="s">
        <v>1107</v>
      </c>
      <c r="C388" s="446"/>
      <c r="D388" s="438"/>
      <c r="E388" s="438"/>
      <c r="F388" s="449"/>
      <c r="G388" s="449"/>
      <c r="H388" s="366"/>
      <c r="I388" s="446"/>
      <c r="J388" s="446"/>
      <c r="K388" s="449"/>
      <c r="L388" s="366"/>
      <c r="M388" s="446"/>
      <c r="N388" s="449">
        <f>22000-42000</f>
        <v>-20000</v>
      </c>
      <c r="O388" s="448"/>
      <c r="P388" s="356"/>
    </row>
    <row r="389" spans="1:17" ht="94.5" x14ac:dyDescent="0.25">
      <c r="A389" s="452"/>
      <c r="B389" s="439" t="s">
        <v>1109</v>
      </c>
      <c r="C389" s="446"/>
      <c r="D389" s="438"/>
      <c r="E389" s="438"/>
      <c r="F389" s="449"/>
      <c r="G389" s="449"/>
      <c r="H389" s="366"/>
      <c r="I389" s="446"/>
      <c r="J389" s="446"/>
      <c r="K389" s="449"/>
      <c r="L389" s="366"/>
      <c r="M389" s="446"/>
      <c r="N389" s="449">
        <v>31802</v>
      </c>
      <c r="O389" s="448"/>
      <c r="P389" s="356"/>
    </row>
    <row r="390" spans="1:17" ht="31.5" x14ac:dyDescent="0.25">
      <c r="A390" s="452"/>
      <c r="B390" s="439" t="s">
        <v>1149</v>
      </c>
      <c r="C390" s="446"/>
      <c r="D390" s="438"/>
      <c r="E390" s="438"/>
      <c r="F390" s="449"/>
      <c r="G390" s="449"/>
      <c r="H390" s="366"/>
      <c r="I390" s="446"/>
      <c r="J390" s="446"/>
      <c r="K390" s="449"/>
      <c r="L390" s="366"/>
      <c r="M390" s="446"/>
      <c r="N390" s="449">
        <v>-60000</v>
      </c>
      <c r="O390" s="448"/>
      <c r="P390" s="356"/>
    </row>
    <row r="391" spans="1:17" ht="47.25" x14ac:dyDescent="0.25">
      <c r="A391" s="452"/>
      <c r="B391" s="439" t="s">
        <v>1155</v>
      </c>
      <c r="C391" s="446"/>
      <c r="D391" s="438"/>
      <c r="E391" s="438"/>
      <c r="F391" s="449"/>
      <c r="G391" s="449"/>
      <c r="H391" s="366"/>
      <c r="I391" s="446"/>
      <c r="J391" s="446"/>
      <c r="K391" s="449"/>
      <c r="L391" s="366"/>
      <c r="M391" s="446"/>
      <c r="N391" s="449">
        <f>-30000+110470</f>
        <v>80470</v>
      </c>
      <c r="O391" s="448"/>
      <c r="P391" s="356"/>
    </row>
    <row r="392" spans="1:17" ht="47.25" x14ac:dyDescent="0.25">
      <c r="A392" s="452"/>
      <c r="B392" s="439" t="s">
        <v>1209</v>
      </c>
      <c r="C392" s="446"/>
      <c r="D392" s="438"/>
      <c r="E392" s="438"/>
      <c r="F392" s="449"/>
      <c r="G392" s="449"/>
      <c r="H392" s="366"/>
      <c r="I392" s="446"/>
      <c r="J392" s="446"/>
      <c r="K392" s="449"/>
      <c r="L392" s="366"/>
      <c r="M392" s="446"/>
      <c r="N392" s="449">
        <v>-140000</v>
      </c>
      <c r="O392" s="448"/>
      <c r="P392" s="356"/>
    </row>
    <row r="393" spans="1:17" ht="47.25" x14ac:dyDescent="0.25">
      <c r="A393" s="452"/>
      <c r="B393" s="439" t="s">
        <v>1211</v>
      </c>
      <c r="C393" s="446"/>
      <c r="D393" s="438"/>
      <c r="E393" s="438"/>
      <c r="F393" s="449"/>
      <c r="G393" s="449"/>
      <c r="H393" s="366"/>
      <c r="I393" s="446"/>
      <c r="J393" s="446"/>
      <c r="K393" s="449"/>
      <c r="L393" s="366"/>
      <c r="M393" s="446"/>
      <c r="N393" s="449">
        <v>19400</v>
      </c>
      <c r="O393" s="448"/>
      <c r="P393" s="356"/>
    </row>
    <row r="394" spans="1:17" ht="47.25" x14ac:dyDescent="0.25">
      <c r="A394" s="452"/>
      <c r="B394" s="439" t="s">
        <v>1235</v>
      </c>
      <c r="C394" s="446"/>
      <c r="D394" s="438"/>
      <c r="E394" s="438"/>
      <c r="F394" s="449"/>
      <c r="G394" s="449"/>
      <c r="H394" s="366"/>
      <c r="I394" s="446"/>
      <c r="J394" s="446"/>
      <c r="K394" s="449"/>
      <c r="L394" s="366"/>
      <c r="M394" s="446"/>
      <c r="N394" s="449">
        <v>30000</v>
      </c>
      <c r="O394" s="448"/>
      <c r="P394" s="356"/>
    </row>
    <row r="395" spans="1:17" ht="31.5" x14ac:dyDescent="0.25">
      <c r="A395" s="452"/>
      <c r="B395" s="439" t="s">
        <v>1156</v>
      </c>
      <c r="C395" s="446"/>
      <c r="D395" s="438"/>
      <c r="E395" s="438"/>
      <c r="F395" s="449"/>
      <c r="G395" s="449"/>
      <c r="H395" s="366"/>
      <c r="I395" s="446"/>
      <c r="J395" s="446"/>
      <c r="K395" s="449"/>
      <c r="L395" s="366"/>
      <c r="M395" s="446"/>
      <c r="N395" s="449"/>
      <c r="O395" s="448"/>
      <c r="P395" s="356"/>
    </row>
    <row r="396" spans="1:17" x14ac:dyDescent="0.25">
      <c r="A396" s="452"/>
      <c r="B396" s="439"/>
      <c r="C396" s="446"/>
      <c r="D396" s="438"/>
      <c r="E396" s="438"/>
      <c r="F396" s="449"/>
      <c r="G396" s="449"/>
      <c r="H396" s="366"/>
      <c r="I396" s="446"/>
      <c r="J396" s="446"/>
      <c r="K396" s="449"/>
      <c r="L396" s="366"/>
      <c r="M396" s="446"/>
      <c r="N396" s="449"/>
      <c r="O396" s="448"/>
      <c r="P396" s="356"/>
    </row>
    <row r="397" spans="1:17" ht="94.5" x14ac:dyDescent="0.25">
      <c r="A397" s="452"/>
      <c r="B397" s="439" t="s">
        <v>1034</v>
      </c>
      <c r="C397" s="446"/>
      <c r="D397" s="438"/>
      <c r="E397" s="438"/>
      <c r="F397" s="449"/>
      <c r="G397" s="449"/>
      <c r="H397" s="366"/>
      <c r="I397" s="446"/>
      <c r="J397" s="446"/>
      <c r="K397" s="449"/>
      <c r="L397" s="366"/>
      <c r="M397" s="446"/>
      <c r="N397" s="449">
        <v>-3000</v>
      </c>
      <c r="O397" s="448"/>
      <c r="P397" s="356">
        <f t="shared" ref="P397" si="307">SUM(O397)</f>
        <v>0</v>
      </c>
      <c r="Q397" s="383" t="s">
        <v>658</v>
      </c>
    </row>
    <row r="398" spans="1:17" ht="94.5" customHeight="1" x14ac:dyDescent="0.25">
      <c r="A398" s="452"/>
      <c r="B398" s="439" t="s">
        <v>1045</v>
      </c>
      <c r="C398" s="446"/>
      <c r="D398" s="438"/>
      <c r="E398" s="438"/>
      <c r="F398" s="449"/>
      <c r="G398" s="449"/>
      <c r="H398" s="366"/>
      <c r="I398" s="446"/>
      <c r="J398" s="446"/>
      <c r="K398" s="449"/>
      <c r="L398" s="366"/>
      <c r="M398" s="446"/>
      <c r="N398" s="449">
        <v>-110470</v>
      </c>
      <c r="O398" s="448"/>
      <c r="P398" s="356">
        <f t="shared" ref="P398" si="308">SUM(O398)</f>
        <v>0</v>
      </c>
      <c r="Q398" s="383" t="s">
        <v>658</v>
      </c>
    </row>
    <row r="399" spans="1:17" x14ac:dyDescent="0.25">
      <c r="A399" s="452"/>
      <c r="B399" s="377"/>
      <c r="C399" s="446"/>
      <c r="D399" s="438"/>
      <c r="E399" s="438"/>
      <c r="F399" s="449"/>
      <c r="G399" s="449"/>
      <c r="H399" s="366"/>
      <c r="I399" s="446"/>
      <c r="J399" s="446"/>
      <c r="K399" s="449"/>
      <c r="L399" s="366"/>
      <c r="M399" s="446"/>
      <c r="N399" s="449"/>
      <c r="O399" s="448"/>
      <c r="P399" s="356"/>
    </row>
    <row r="400" spans="1:17" x14ac:dyDescent="0.25">
      <c r="A400" s="452"/>
      <c r="B400" s="439" t="s">
        <v>949</v>
      </c>
      <c r="C400" s="446"/>
      <c r="D400" s="438"/>
      <c r="E400" s="438"/>
      <c r="F400" s="449"/>
      <c r="G400" s="449"/>
      <c r="H400" s="366"/>
      <c r="I400" s="446"/>
      <c r="J400" s="446"/>
      <c r="K400" s="449"/>
      <c r="L400" s="366"/>
      <c r="M400" s="446"/>
      <c r="N400" s="449">
        <v>36739</v>
      </c>
      <c r="O400" s="448"/>
      <c r="P400" s="356">
        <f t="shared" ref="P400" si="309">SUM(O400)</f>
        <v>0</v>
      </c>
      <c r="Q400" s="383" t="s">
        <v>658</v>
      </c>
    </row>
    <row r="401" spans="1:16" x14ac:dyDescent="0.25">
      <c r="A401" s="453"/>
      <c r="B401" s="457"/>
      <c r="C401" s="454"/>
      <c r="D401" s="455"/>
      <c r="E401" s="455"/>
      <c r="F401" s="456"/>
      <c r="G401" s="456"/>
      <c r="H401" s="390"/>
      <c r="I401" s="454"/>
      <c r="J401" s="454"/>
      <c r="K401" s="456"/>
      <c r="L401" s="390"/>
      <c r="M401" s="454"/>
      <c r="N401" s="456"/>
      <c r="O401" s="448"/>
      <c r="P401" s="356"/>
    </row>
    <row r="402" spans="1:16" x14ac:dyDescent="0.25">
      <c r="A402" s="453"/>
      <c r="B402" s="458" t="s">
        <v>452</v>
      </c>
      <c r="C402" s="454"/>
      <c r="D402" s="455"/>
      <c r="E402" s="455"/>
      <c r="F402" s="456"/>
      <c r="G402" s="456"/>
      <c r="H402" s="390"/>
      <c r="I402" s="454"/>
      <c r="J402" s="454"/>
      <c r="K402" s="456"/>
      <c r="L402" s="390"/>
      <c r="M402" s="454"/>
      <c r="N402" s="451"/>
      <c r="O402" s="448"/>
      <c r="P402" s="356"/>
    </row>
    <row r="403" spans="1:16" x14ac:dyDescent="0.25">
      <c r="A403" s="453"/>
      <c r="B403" s="457" t="s">
        <v>952</v>
      </c>
      <c r="C403" s="454"/>
      <c r="D403" s="455"/>
      <c r="E403" s="455"/>
      <c r="F403" s="456"/>
      <c r="G403" s="456"/>
      <c r="H403" s="390"/>
      <c r="I403" s="454"/>
      <c r="J403" s="454"/>
      <c r="K403" s="456"/>
      <c r="L403" s="390"/>
      <c r="M403" s="454"/>
      <c r="N403" s="338">
        <v>169953</v>
      </c>
      <c r="O403" s="448"/>
      <c r="P403" s="356"/>
    </row>
    <row r="404" spans="1:16" ht="47.25" x14ac:dyDescent="0.25">
      <c r="A404" s="453"/>
      <c r="B404" s="457" t="s">
        <v>953</v>
      </c>
      <c r="C404" s="454"/>
      <c r="D404" s="455"/>
      <c r="E404" s="455"/>
      <c r="F404" s="456"/>
      <c r="G404" s="456"/>
      <c r="H404" s="390"/>
      <c r="I404" s="454"/>
      <c r="J404" s="454"/>
      <c r="K404" s="456"/>
      <c r="L404" s="390"/>
      <c r="M404" s="454"/>
      <c r="N404" s="338">
        <v>4984</v>
      </c>
      <c r="O404" s="448"/>
      <c r="P404" s="356"/>
    </row>
    <row r="405" spans="1:16" ht="31.5" x14ac:dyDescent="0.25">
      <c r="A405" s="453"/>
      <c r="B405" s="457" t="s">
        <v>1519</v>
      </c>
      <c r="C405" s="454"/>
      <c r="D405" s="455"/>
      <c r="E405" s="455"/>
      <c r="F405" s="456"/>
      <c r="G405" s="456"/>
      <c r="H405" s="390"/>
      <c r="I405" s="454"/>
      <c r="J405" s="454"/>
      <c r="K405" s="456"/>
      <c r="L405" s="390"/>
      <c r="M405" s="454"/>
      <c r="N405" s="338">
        <v>65028</v>
      </c>
      <c r="O405" s="448"/>
      <c r="P405" s="356"/>
    </row>
    <row r="406" spans="1:16" ht="31.5" x14ac:dyDescent="0.25">
      <c r="A406" s="453"/>
      <c r="B406" s="457" t="s">
        <v>954</v>
      </c>
      <c r="C406" s="454"/>
      <c r="D406" s="455"/>
      <c r="E406" s="455"/>
      <c r="F406" s="456"/>
      <c r="G406" s="456"/>
      <c r="H406" s="390"/>
      <c r="I406" s="454"/>
      <c r="J406" s="454"/>
      <c r="K406" s="456"/>
      <c r="L406" s="390"/>
      <c r="M406" s="454"/>
      <c r="N406" s="338">
        <v>4969</v>
      </c>
      <c r="O406" s="448"/>
      <c r="P406" s="356"/>
    </row>
    <row r="407" spans="1:16" x14ac:dyDescent="0.25">
      <c r="A407" s="453"/>
      <c r="B407" s="973" t="s">
        <v>1283</v>
      </c>
      <c r="C407" s="454"/>
      <c r="D407" s="455"/>
      <c r="E407" s="455"/>
      <c r="F407" s="456"/>
      <c r="G407" s="456"/>
      <c r="H407" s="390"/>
      <c r="I407" s="454"/>
      <c r="J407" s="454"/>
      <c r="K407" s="456"/>
      <c r="L407" s="390"/>
      <c r="M407" s="454"/>
      <c r="N407" s="324"/>
      <c r="O407" s="448"/>
      <c r="P407" s="356"/>
    </row>
    <row r="408" spans="1:16" ht="31.5" x14ac:dyDescent="0.25">
      <c r="A408" s="453"/>
      <c r="B408" s="457" t="s">
        <v>1284</v>
      </c>
      <c r="C408" s="454"/>
      <c r="D408" s="455"/>
      <c r="E408" s="455"/>
      <c r="F408" s="456"/>
      <c r="G408" s="456"/>
      <c r="H408" s="390"/>
      <c r="I408" s="454"/>
      <c r="J408" s="454"/>
      <c r="K408" s="456"/>
      <c r="L408" s="390"/>
      <c r="M408" s="454"/>
      <c r="N408" s="898">
        <f>155961+6625</f>
        <v>162586</v>
      </c>
      <c r="O408" s="448"/>
      <c r="P408" s="356"/>
    </row>
    <row r="409" spans="1:16" x14ac:dyDescent="0.25">
      <c r="A409" s="453"/>
      <c r="B409" s="457" t="s">
        <v>1285</v>
      </c>
      <c r="C409" s="454"/>
      <c r="D409" s="455"/>
      <c r="E409" s="455"/>
      <c r="F409" s="456"/>
      <c r="G409" s="456"/>
      <c r="H409" s="390"/>
      <c r="I409" s="454"/>
      <c r="J409" s="454"/>
      <c r="K409" s="456"/>
      <c r="L409" s="390"/>
      <c r="M409" s="454"/>
      <c r="N409" s="898">
        <v>218221</v>
      </c>
      <c r="O409" s="448"/>
      <c r="P409" s="356"/>
    </row>
    <row r="410" spans="1:16" ht="47.25" x14ac:dyDescent="0.25">
      <c r="A410" s="453"/>
      <c r="B410" s="457" t="s">
        <v>1286</v>
      </c>
      <c r="C410" s="454"/>
      <c r="D410" s="455"/>
      <c r="E410" s="455"/>
      <c r="F410" s="456"/>
      <c r="G410" s="456"/>
      <c r="H410" s="390"/>
      <c r="I410" s="454"/>
      <c r="J410" s="454"/>
      <c r="K410" s="456"/>
      <c r="L410" s="390"/>
      <c r="M410" s="454"/>
      <c r="N410" s="898">
        <f>57404+8000</f>
        <v>65404</v>
      </c>
      <c r="O410" s="448"/>
      <c r="P410" s="356"/>
    </row>
    <row r="411" spans="1:16" ht="31.5" x14ac:dyDescent="0.25">
      <c r="A411" s="453"/>
      <c r="B411" s="457" t="s">
        <v>1287</v>
      </c>
      <c r="C411" s="454"/>
      <c r="D411" s="455"/>
      <c r="E411" s="455"/>
      <c r="F411" s="456"/>
      <c r="G411" s="456"/>
      <c r="H411" s="390"/>
      <c r="I411" s="454"/>
      <c r="J411" s="454"/>
      <c r="K411" s="456"/>
      <c r="L411" s="390"/>
      <c r="M411" s="454"/>
      <c r="N411" s="898">
        <v>9895</v>
      </c>
      <c r="O411" s="448"/>
      <c r="P411" s="356"/>
    </row>
    <row r="412" spans="1:16" ht="47.25" x14ac:dyDescent="0.25">
      <c r="A412" s="453"/>
      <c r="B412" s="457" t="s">
        <v>1288</v>
      </c>
      <c r="C412" s="454"/>
      <c r="D412" s="455"/>
      <c r="E412" s="455"/>
      <c r="F412" s="456"/>
      <c r="G412" s="456"/>
      <c r="H412" s="390"/>
      <c r="I412" s="454"/>
      <c r="J412" s="454"/>
      <c r="K412" s="456"/>
      <c r="L412" s="390"/>
      <c r="M412" s="454"/>
      <c r="N412" s="898">
        <v>1378</v>
      </c>
      <c r="O412" s="448"/>
      <c r="P412" s="356"/>
    </row>
    <row r="413" spans="1:16" ht="31.5" x14ac:dyDescent="0.25">
      <c r="A413" s="453"/>
      <c r="B413" s="457" t="s">
        <v>1289</v>
      </c>
      <c r="C413" s="454"/>
      <c r="D413" s="455"/>
      <c r="E413" s="455"/>
      <c r="F413" s="456"/>
      <c r="G413" s="456"/>
      <c r="H413" s="390"/>
      <c r="I413" s="454"/>
      <c r="J413" s="454"/>
      <c r="K413" s="456"/>
      <c r="L413" s="390"/>
      <c r="M413" s="454"/>
      <c r="N413" s="898">
        <v>156692</v>
      </c>
      <c r="O413" s="448"/>
      <c r="P413" s="356"/>
    </row>
    <row r="414" spans="1:16" ht="31.5" x14ac:dyDescent="0.25">
      <c r="A414" s="453"/>
      <c r="B414" s="457" t="s">
        <v>1290</v>
      </c>
      <c r="C414" s="454"/>
      <c r="D414" s="455"/>
      <c r="E414" s="455"/>
      <c r="F414" s="456"/>
      <c r="G414" s="456"/>
      <c r="H414" s="390"/>
      <c r="I414" s="454"/>
      <c r="J414" s="454"/>
      <c r="K414" s="456"/>
      <c r="L414" s="390"/>
      <c r="M414" s="454"/>
      <c r="N414" s="898">
        <v>190</v>
      </c>
      <c r="O414" s="448"/>
      <c r="P414" s="356"/>
    </row>
    <row r="415" spans="1:16" x14ac:dyDescent="0.25">
      <c r="A415" s="453"/>
      <c r="B415" s="972"/>
      <c r="C415" s="454"/>
      <c r="D415" s="455"/>
      <c r="E415" s="455"/>
      <c r="F415" s="456"/>
      <c r="G415" s="456"/>
      <c r="H415" s="390"/>
      <c r="I415" s="454"/>
      <c r="J415" s="454"/>
      <c r="K415" s="456"/>
      <c r="L415" s="390"/>
      <c r="M415" s="454"/>
      <c r="N415" s="338"/>
      <c r="O415" s="448"/>
      <c r="P415" s="356"/>
    </row>
    <row r="416" spans="1:16" x14ac:dyDescent="0.25">
      <c r="A416" s="452"/>
      <c r="B416" s="972" t="s">
        <v>948</v>
      </c>
      <c r="C416" s="446"/>
      <c r="D416" s="438"/>
      <c r="E416" s="438"/>
      <c r="F416" s="449"/>
      <c r="G416" s="449"/>
      <c r="H416" s="366"/>
      <c r="I416" s="446"/>
      <c r="J416" s="446"/>
      <c r="K416" s="449"/>
      <c r="L416" s="366"/>
      <c r="M416" s="446"/>
      <c r="N416" s="449"/>
      <c r="O416" s="448"/>
      <c r="P416" s="366"/>
    </row>
    <row r="417" spans="1:16" ht="47.25" x14ac:dyDescent="0.25">
      <c r="A417" s="453"/>
      <c r="B417" s="457" t="s">
        <v>951</v>
      </c>
      <c r="C417" s="454"/>
      <c r="D417" s="455"/>
      <c r="E417" s="455"/>
      <c r="F417" s="456"/>
      <c r="G417" s="456"/>
      <c r="H417" s="390"/>
      <c r="I417" s="454"/>
      <c r="J417" s="454"/>
      <c r="K417" s="456"/>
      <c r="L417" s="390"/>
      <c r="M417" s="454"/>
      <c r="N417" s="451">
        <v>-60562</v>
      </c>
      <c r="O417" s="448"/>
      <c r="P417" s="356"/>
    </row>
    <row r="418" spans="1:16" ht="125.25" customHeight="1" x14ac:dyDescent="0.25">
      <c r="A418" s="452"/>
      <c r="B418" s="457" t="s">
        <v>1282</v>
      </c>
      <c r="C418" s="446"/>
      <c r="D418" s="438"/>
      <c r="E418" s="438"/>
      <c r="F418" s="449"/>
      <c r="G418" s="449"/>
      <c r="H418" s="366"/>
      <c r="I418" s="446"/>
      <c r="J418" s="446"/>
      <c r="K418" s="449"/>
      <c r="L418" s="366"/>
      <c r="M418" s="446"/>
      <c r="N418" s="899">
        <f>-29016-4452</f>
        <v>-33468</v>
      </c>
      <c r="O418" s="448"/>
      <c r="P418" s="366"/>
    </row>
    <row r="419" spans="1:16" ht="144.75" customHeight="1" x14ac:dyDescent="0.25">
      <c r="A419" s="452"/>
      <c r="B419" s="457" t="s">
        <v>1278</v>
      </c>
      <c r="C419" s="446"/>
      <c r="D419" s="438"/>
      <c r="E419" s="438"/>
      <c r="F419" s="449"/>
      <c r="G419" s="449"/>
      <c r="H419" s="366"/>
      <c r="I419" s="446"/>
      <c r="J419" s="446"/>
      <c r="K419" s="449"/>
      <c r="L419" s="366"/>
      <c r="M419" s="446"/>
      <c r="N419" s="899">
        <v>-1424</v>
      </c>
      <c r="O419" s="448"/>
      <c r="P419" s="366"/>
    </row>
    <row r="420" spans="1:16" ht="110.25" x14ac:dyDescent="0.25">
      <c r="A420" s="452"/>
      <c r="B420" s="457" t="s">
        <v>1279</v>
      </c>
      <c r="C420" s="446"/>
      <c r="D420" s="438"/>
      <c r="E420" s="438"/>
      <c r="F420" s="449"/>
      <c r="G420" s="449"/>
      <c r="H420" s="366"/>
      <c r="I420" s="446"/>
      <c r="J420" s="446"/>
      <c r="K420" s="449"/>
      <c r="L420" s="366"/>
      <c r="M420" s="446"/>
      <c r="N420" s="899">
        <v>-3716</v>
      </c>
      <c r="O420" s="448"/>
      <c r="P420" s="366"/>
    </row>
    <row r="421" spans="1:16" ht="94.5" x14ac:dyDescent="0.25">
      <c r="A421" s="452"/>
      <c r="B421" s="457" t="s">
        <v>1280</v>
      </c>
      <c r="C421" s="446"/>
      <c r="D421" s="438"/>
      <c r="E421" s="438"/>
      <c r="F421" s="449"/>
      <c r="G421" s="449"/>
      <c r="H421" s="366"/>
      <c r="I421" s="446"/>
      <c r="J421" s="446"/>
      <c r="K421" s="449"/>
      <c r="L421" s="366"/>
      <c r="M421" s="446"/>
      <c r="N421" s="899">
        <v>-3437</v>
      </c>
      <c r="O421" s="448"/>
      <c r="P421" s="366"/>
    </row>
    <row r="422" spans="1:16" ht="110.25" x14ac:dyDescent="0.25">
      <c r="A422" s="452"/>
      <c r="B422" s="457" t="s">
        <v>1281</v>
      </c>
      <c r="C422" s="446"/>
      <c r="D422" s="438"/>
      <c r="E422" s="438"/>
      <c r="F422" s="449"/>
      <c r="G422" s="449"/>
      <c r="H422" s="366"/>
      <c r="I422" s="446"/>
      <c r="J422" s="446"/>
      <c r="K422" s="449"/>
      <c r="L422" s="366"/>
      <c r="M422" s="446"/>
      <c r="N422" s="449">
        <v>47570</v>
      </c>
      <c r="O422" s="448"/>
      <c r="P422" s="366"/>
    </row>
    <row r="423" spans="1:16" x14ac:dyDescent="0.25">
      <c r="A423" s="453"/>
      <c r="B423" s="457"/>
      <c r="C423" s="454"/>
      <c r="D423" s="455"/>
      <c r="E423" s="455"/>
      <c r="F423" s="456"/>
      <c r="G423" s="456"/>
      <c r="H423" s="390"/>
      <c r="I423" s="454"/>
      <c r="J423" s="454"/>
      <c r="K423" s="456"/>
      <c r="L423" s="390"/>
      <c r="M423" s="454"/>
      <c r="N423" s="456"/>
      <c r="O423" s="448"/>
      <c r="P423" s="356"/>
    </row>
    <row r="424" spans="1:16" x14ac:dyDescent="0.25">
      <c r="A424" s="453"/>
      <c r="B424" s="457"/>
      <c r="C424" s="454"/>
      <c r="D424" s="455"/>
      <c r="E424" s="455"/>
      <c r="F424" s="456"/>
      <c r="G424" s="456"/>
      <c r="H424" s="390"/>
      <c r="I424" s="454"/>
      <c r="J424" s="454"/>
      <c r="K424" s="456"/>
      <c r="L424" s="390"/>
      <c r="M424" s="454"/>
      <c r="N424" s="456"/>
      <c r="O424" s="448"/>
      <c r="P424" s="356"/>
    </row>
    <row r="425" spans="1:16" x14ac:dyDescent="0.25">
      <c r="A425" s="453"/>
      <c r="B425" s="457" t="s">
        <v>1269</v>
      </c>
      <c r="C425" s="454"/>
      <c r="D425" s="455"/>
      <c r="E425" s="455"/>
      <c r="F425" s="456"/>
      <c r="G425" s="456"/>
      <c r="H425" s="390"/>
      <c r="I425" s="454"/>
      <c r="J425" s="454"/>
      <c r="K425" s="456"/>
      <c r="L425" s="390"/>
      <c r="M425" s="454"/>
      <c r="N425" s="456">
        <v>-244</v>
      </c>
      <c r="O425" s="448"/>
      <c r="P425" s="356"/>
    </row>
    <row r="426" spans="1:16" ht="31.5" x14ac:dyDescent="0.25">
      <c r="A426" s="453"/>
      <c r="B426" s="457" t="s">
        <v>950</v>
      </c>
      <c r="C426" s="454"/>
      <c r="D426" s="455"/>
      <c r="E426" s="455"/>
      <c r="F426" s="456"/>
      <c r="G426" s="456"/>
      <c r="H426" s="390"/>
      <c r="I426" s="454"/>
      <c r="J426" s="454"/>
      <c r="K426" s="456"/>
      <c r="L426" s="390"/>
      <c r="M426" s="454"/>
      <c r="N426" s="456">
        <v>-29229</v>
      </c>
      <c r="O426" s="448"/>
      <c r="P426" s="356"/>
    </row>
    <row r="427" spans="1:16" x14ac:dyDescent="0.25">
      <c r="A427" s="453"/>
      <c r="B427" s="457" t="s">
        <v>949</v>
      </c>
      <c r="C427" s="454"/>
      <c r="D427" s="455"/>
      <c r="E427" s="455"/>
      <c r="F427" s="456"/>
      <c r="G427" s="456"/>
      <c r="H427" s="390"/>
      <c r="I427" s="454"/>
      <c r="J427" s="454"/>
      <c r="K427" s="456"/>
      <c r="L427" s="390"/>
      <c r="M427" s="454"/>
      <c r="N427" s="456">
        <v>-67705</v>
      </c>
      <c r="O427" s="448"/>
      <c r="P427" s="356"/>
    </row>
    <row r="428" spans="1:16" x14ac:dyDescent="0.25">
      <c r="A428" s="453"/>
      <c r="B428" s="457" t="s">
        <v>952</v>
      </c>
      <c r="C428" s="454"/>
      <c r="D428" s="455"/>
      <c r="E428" s="455"/>
      <c r="F428" s="456"/>
      <c r="G428" s="456"/>
      <c r="H428" s="390"/>
      <c r="I428" s="454"/>
      <c r="J428" s="454"/>
      <c r="K428" s="456"/>
      <c r="L428" s="390"/>
      <c r="M428" s="454"/>
      <c r="N428" s="456">
        <v>-169953</v>
      </c>
      <c r="O428" s="448"/>
      <c r="P428" s="356"/>
    </row>
    <row r="429" spans="1:16" ht="47.25" x14ac:dyDescent="0.25">
      <c r="A429" s="453"/>
      <c r="B429" s="457" t="s">
        <v>953</v>
      </c>
      <c r="C429" s="454"/>
      <c r="D429" s="455"/>
      <c r="E429" s="455"/>
      <c r="F429" s="456"/>
      <c r="G429" s="456"/>
      <c r="H429" s="390"/>
      <c r="I429" s="454"/>
      <c r="J429" s="454"/>
      <c r="K429" s="456"/>
      <c r="L429" s="390"/>
      <c r="M429" s="454"/>
      <c r="N429" s="456">
        <v>-4984</v>
      </c>
      <c r="O429" s="448"/>
      <c r="P429" s="356"/>
    </row>
    <row r="430" spans="1:16" ht="31.5" x14ac:dyDescent="0.25">
      <c r="A430" s="453"/>
      <c r="B430" s="457" t="s">
        <v>1519</v>
      </c>
      <c r="C430" s="454"/>
      <c r="D430" s="455"/>
      <c r="E430" s="455"/>
      <c r="F430" s="456"/>
      <c r="G430" s="456"/>
      <c r="H430" s="390"/>
      <c r="I430" s="454"/>
      <c r="J430" s="454"/>
      <c r="K430" s="456"/>
      <c r="L430" s="390"/>
      <c r="M430" s="454"/>
      <c r="N430" s="456">
        <v>-65028</v>
      </c>
      <c r="O430" s="448"/>
      <c r="P430" s="356"/>
    </row>
    <row r="431" spans="1:16" ht="31.5" x14ac:dyDescent="0.25">
      <c r="A431" s="453"/>
      <c r="B431" s="457" t="s">
        <v>954</v>
      </c>
      <c r="C431" s="454"/>
      <c r="D431" s="455"/>
      <c r="E431" s="455"/>
      <c r="F431" s="456"/>
      <c r="G431" s="456"/>
      <c r="H431" s="390"/>
      <c r="I431" s="454"/>
      <c r="J431" s="454"/>
      <c r="K431" s="456"/>
      <c r="L431" s="390"/>
      <c r="M431" s="454"/>
      <c r="N431" s="456">
        <v>-4969</v>
      </c>
      <c r="O431" s="448"/>
      <c r="P431" s="356"/>
    </row>
    <row r="432" spans="1:16" x14ac:dyDescent="0.25">
      <c r="A432" s="452"/>
      <c r="B432" s="439"/>
      <c r="C432" s="446"/>
      <c r="D432" s="438"/>
      <c r="E432" s="438"/>
      <c r="F432" s="449"/>
      <c r="G432" s="449"/>
      <c r="H432" s="366"/>
      <c r="I432" s="446"/>
      <c r="J432" s="446"/>
      <c r="K432" s="449"/>
      <c r="L432" s="366"/>
      <c r="M432" s="446"/>
      <c r="N432" s="556"/>
      <c r="O432" s="448"/>
      <c r="P432" s="366"/>
    </row>
    <row r="433" spans="1:16" x14ac:dyDescent="0.25">
      <c r="A433" s="452"/>
      <c r="B433" s="439"/>
      <c r="C433" s="446"/>
      <c r="D433" s="438"/>
      <c r="E433" s="438"/>
      <c r="F433" s="449"/>
      <c r="G433" s="449"/>
      <c r="H433" s="366"/>
      <c r="I433" s="446"/>
      <c r="J433" s="446"/>
      <c r="K433" s="449"/>
      <c r="L433" s="366"/>
      <c r="M433" s="446"/>
      <c r="N433" s="556"/>
      <c r="O433" s="448"/>
      <c r="P433" s="366"/>
    </row>
    <row r="434" spans="1:16" x14ac:dyDescent="0.25">
      <c r="A434" s="453"/>
      <c r="B434" s="457"/>
      <c r="C434" s="454"/>
      <c r="D434" s="455"/>
      <c r="E434" s="455"/>
      <c r="F434" s="456"/>
      <c r="G434" s="456"/>
      <c r="H434" s="390"/>
      <c r="I434" s="454"/>
      <c r="J434" s="454"/>
      <c r="K434" s="456"/>
      <c r="L434" s="390"/>
      <c r="M434" s="454"/>
      <c r="N434" s="459"/>
      <c r="O434" s="448"/>
      <c r="P434" s="356"/>
    </row>
    <row r="435" spans="1:16" x14ac:dyDescent="0.25">
      <c r="A435" s="453"/>
      <c r="B435" s="457"/>
      <c r="C435" s="454"/>
      <c r="D435" s="455"/>
      <c r="E435" s="455"/>
      <c r="F435" s="456"/>
      <c r="G435" s="456"/>
      <c r="H435" s="390"/>
      <c r="I435" s="454"/>
      <c r="J435" s="454"/>
      <c r="K435" s="456"/>
      <c r="L435" s="390"/>
      <c r="M435" s="454"/>
      <c r="N435" s="456"/>
      <c r="O435" s="448"/>
      <c r="P435" s="356"/>
    </row>
    <row r="436" spans="1:16" ht="16.5" thickBot="1" x14ac:dyDescent="0.3">
      <c r="A436" s="391" t="s">
        <v>47</v>
      </c>
      <c r="B436" s="392" t="s">
        <v>48</v>
      </c>
      <c r="C436" s="454"/>
      <c r="D436" s="455"/>
      <c r="E436" s="455"/>
      <c r="F436" s="456"/>
      <c r="G436" s="456"/>
      <c r="H436" s="390"/>
      <c r="I436" s="454"/>
      <c r="J436" s="454"/>
      <c r="K436" s="456"/>
      <c r="L436" s="390"/>
      <c r="M436" s="393">
        <f>SUM(M294:M435)</f>
        <v>-50609</v>
      </c>
      <c r="N436" s="394">
        <f>SUM(N323:N435)</f>
        <v>581195</v>
      </c>
      <c r="O436" s="390">
        <f>M436+N436</f>
        <v>530586</v>
      </c>
      <c r="P436" s="356">
        <f>SUM(O436)</f>
        <v>530586</v>
      </c>
    </row>
    <row r="437" spans="1:16" ht="17.25" thickTop="1" thickBot="1" x14ac:dyDescent="0.3">
      <c r="A437" s="395" t="s">
        <v>49</v>
      </c>
      <c r="B437" s="396" t="s">
        <v>50</v>
      </c>
      <c r="C437" s="397">
        <f>SUM(C292:C322)</f>
        <v>370953</v>
      </c>
      <c r="D437" s="397">
        <f t="shared" ref="D437:L437" si="310">SUM(D292:D436)</f>
        <v>95857</v>
      </c>
      <c r="E437" s="397">
        <f t="shared" si="310"/>
        <v>8722673</v>
      </c>
      <c r="F437" s="397">
        <f t="shared" si="310"/>
        <v>220983</v>
      </c>
      <c r="G437" s="397">
        <f t="shared" si="310"/>
        <v>12229534</v>
      </c>
      <c r="H437" s="397">
        <f t="shared" si="310"/>
        <v>21640000</v>
      </c>
      <c r="I437" s="397">
        <f t="shared" si="310"/>
        <v>20632963</v>
      </c>
      <c r="J437" s="397">
        <f t="shared" si="310"/>
        <v>366351</v>
      </c>
      <c r="K437" s="397">
        <f t="shared" si="310"/>
        <v>2688635</v>
      </c>
      <c r="L437" s="397">
        <f t="shared" si="310"/>
        <v>23687949</v>
      </c>
      <c r="M437" s="397">
        <f>SUM(M292+M436)</f>
        <v>221850</v>
      </c>
      <c r="N437" s="397">
        <f>SUM(N292+N436)</f>
        <v>3392601</v>
      </c>
      <c r="O437" s="397">
        <f>SUM(O292+O436)</f>
        <v>3614451</v>
      </c>
      <c r="P437" s="397">
        <f>SUM(P292+P436)</f>
        <v>48942400</v>
      </c>
    </row>
    <row r="438" spans="1:16" x14ac:dyDescent="0.25">
      <c r="B438" s="441"/>
    </row>
    <row r="439" spans="1:16" x14ac:dyDescent="0.25">
      <c r="B439" s="441"/>
      <c r="C439" s="383">
        <f t="shared" ref="C439:P439" si="311">SUM(C437-C10)</f>
        <v>-27296</v>
      </c>
      <c r="D439" s="383">
        <f t="shared" si="311"/>
        <v>-2212</v>
      </c>
      <c r="E439" s="383">
        <f t="shared" si="311"/>
        <v>-239286</v>
      </c>
      <c r="F439" s="383">
        <f t="shared" si="311"/>
        <v>613</v>
      </c>
      <c r="G439" s="383">
        <f t="shared" si="311"/>
        <v>509984</v>
      </c>
      <c r="H439" s="383">
        <f t="shared" si="311"/>
        <v>241803</v>
      </c>
      <c r="I439" s="383">
        <f t="shared" si="311"/>
        <v>-3112442</v>
      </c>
      <c r="J439" s="383">
        <f t="shared" si="311"/>
        <v>25692</v>
      </c>
      <c r="K439" s="383">
        <f t="shared" si="311"/>
        <v>1251681</v>
      </c>
      <c r="L439" s="383">
        <f t="shared" si="311"/>
        <v>-1835069</v>
      </c>
      <c r="M439" s="383">
        <f t="shared" si="311"/>
        <v>-50609</v>
      </c>
      <c r="N439" s="383">
        <f t="shared" si="311"/>
        <v>581195</v>
      </c>
      <c r="O439" s="383">
        <f t="shared" si="311"/>
        <v>530586</v>
      </c>
      <c r="P439" s="383">
        <f t="shared" si="311"/>
        <v>-1062680</v>
      </c>
    </row>
    <row r="440" spans="1:16" x14ac:dyDescent="0.25">
      <c r="B440" s="441"/>
    </row>
    <row r="441" spans="1:16" x14ac:dyDescent="0.25">
      <c r="B441" s="441"/>
    </row>
    <row r="442" spans="1:16" x14ac:dyDescent="0.25">
      <c r="B442" s="441"/>
    </row>
    <row r="443" spans="1:16" x14ac:dyDescent="0.25">
      <c r="B443" s="441"/>
    </row>
    <row r="444" spans="1:16" x14ac:dyDescent="0.25">
      <c r="B444" s="441"/>
    </row>
    <row r="445" spans="1:16" x14ac:dyDescent="0.25">
      <c r="B445" s="441"/>
    </row>
    <row r="446" spans="1:16" x14ac:dyDescent="0.25">
      <c r="B446" s="441"/>
    </row>
    <row r="447" spans="1:16" x14ac:dyDescent="0.25">
      <c r="B447" s="441"/>
    </row>
    <row r="448" spans="1:16" x14ac:dyDescent="0.25">
      <c r="B448" s="441"/>
    </row>
    <row r="449" spans="2:2" x14ac:dyDescent="0.25">
      <c r="B449" s="441"/>
    </row>
    <row r="450" spans="2:2" x14ac:dyDescent="0.25">
      <c r="B450" s="441"/>
    </row>
    <row r="451" spans="2:2" x14ac:dyDescent="0.25">
      <c r="B451" s="441"/>
    </row>
    <row r="452" spans="2:2" x14ac:dyDescent="0.25">
      <c r="B452" s="441"/>
    </row>
    <row r="453" spans="2:2" x14ac:dyDescent="0.25">
      <c r="B453" s="441"/>
    </row>
    <row r="454" spans="2:2" x14ac:dyDescent="0.25">
      <c r="B454" s="441"/>
    </row>
    <row r="455" spans="2:2" x14ac:dyDescent="0.25">
      <c r="B455" s="441"/>
    </row>
  </sheetData>
  <mergeCells count="1">
    <mergeCell ref="A1:P1"/>
  </mergeCells>
  <phoneticPr fontId="36" type="noConversion"/>
  <printOptions horizontalCentered="1"/>
  <pageMargins left="0.19685039370078741" right="0.15748031496062992" top="0.78740157480314965" bottom="0.39370078740157483" header="0.43307086614173229" footer="0.19685039370078741"/>
  <pageSetup paperSize="9" scale="54" fitToHeight="0" orientation="landscape" r:id="rId1"/>
  <headerFooter alignWithMargins="0">
    <oddHeader>&amp;R&amp;"Times New Roman CE,Félkövér"&amp;11 10.melléklet a 40/2020.(XI.30.) önkormányzati rendelethez&amp;12
&amp;"Times New Roman CE,Dőlt"&amp;10 10. melléklet
  az 5/2020.(II.17.) önkormányzati rendelethez</oddHeader>
  </headerFooter>
  <rowBreaks count="5" manualBreakCount="5">
    <brk id="122" max="15" man="1"/>
    <brk id="187" max="15" man="1"/>
    <brk id="215" max="15" man="1"/>
    <brk id="294" max="15" man="1"/>
    <brk id="383" max="1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60"/>
  <sheetViews>
    <sheetView view="pageBreakPreview" zoomScale="70" zoomScaleNormal="120" zoomScaleSheetLayoutView="70" workbookViewId="0">
      <pane ySplit="3" topLeftCell="A241" activePane="bottomLeft" state="frozen"/>
      <selection activeCell="D13" sqref="D13"/>
      <selection pane="bottomLeft" activeCell="B251" sqref="B251"/>
    </sheetView>
  </sheetViews>
  <sheetFormatPr defaultRowHeight="15.75" x14ac:dyDescent="0.25"/>
  <cols>
    <col min="1" max="1" width="4.875" style="461" bestFit="1" customWidth="1"/>
    <col min="2" max="2" width="65.75" style="461" customWidth="1"/>
    <col min="3" max="3" width="15.25" style="462" customWidth="1"/>
    <col min="4" max="5" width="13.25" style="462" customWidth="1"/>
    <col min="6" max="6" width="15.25" style="462" customWidth="1"/>
    <col min="7" max="8" width="13.25" style="462" customWidth="1"/>
    <col min="9" max="11" width="9.625" style="412" customWidth="1"/>
    <col min="12" max="218" width="8.75" style="461"/>
    <col min="219" max="219" width="4.875" style="461" bestFit="1" customWidth="1"/>
    <col min="220" max="220" width="65.75" style="461" customWidth="1"/>
    <col min="221" max="222" width="13.25" style="461" customWidth="1"/>
    <col min="223" max="223" width="17.125" style="461" customWidth="1"/>
    <col min="224" max="226" width="0" style="461" hidden="1" customWidth="1"/>
    <col min="227" max="474" width="8.75" style="461"/>
    <col min="475" max="475" width="4.875" style="461" bestFit="1" customWidth="1"/>
    <col min="476" max="476" width="65.75" style="461" customWidth="1"/>
    <col min="477" max="478" width="13.25" style="461" customWidth="1"/>
    <col min="479" max="479" width="17.125" style="461" customWidth="1"/>
    <col min="480" max="482" width="0" style="461" hidden="1" customWidth="1"/>
    <col min="483" max="730" width="8.75" style="461"/>
    <col min="731" max="731" width="4.875" style="461" bestFit="1" customWidth="1"/>
    <col min="732" max="732" width="65.75" style="461" customWidth="1"/>
    <col min="733" max="734" width="13.25" style="461" customWidth="1"/>
    <col min="735" max="735" width="17.125" style="461" customWidth="1"/>
    <col min="736" max="738" width="0" style="461" hidden="1" customWidth="1"/>
    <col min="739" max="986" width="8.75" style="461"/>
    <col min="987" max="987" width="4.875" style="461" bestFit="1" customWidth="1"/>
    <col min="988" max="988" width="65.75" style="461" customWidth="1"/>
    <col min="989" max="990" width="13.25" style="461" customWidth="1"/>
    <col min="991" max="991" width="17.125" style="461" customWidth="1"/>
    <col min="992" max="994" width="0" style="461" hidden="1" customWidth="1"/>
    <col min="995" max="1242" width="8.75" style="461"/>
    <col min="1243" max="1243" width="4.875" style="461" bestFit="1" customWidth="1"/>
    <col min="1244" max="1244" width="65.75" style="461" customWidth="1"/>
    <col min="1245" max="1246" width="13.25" style="461" customWidth="1"/>
    <col min="1247" max="1247" width="17.125" style="461" customWidth="1"/>
    <col min="1248" max="1250" width="0" style="461" hidden="1" customWidth="1"/>
    <col min="1251" max="1498" width="8.75" style="461"/>
    <col min="1499" max="1499" width="4.875" style="461" bestFit="1" customWidth="1"/>
    <col min="1500" max="1500" width="65.75" style="461" customWidth="1"/>
    <col min="1501" max="1502" width="13.25" style="461" customWidth="1"/>
    <col min="1503" max="1503" width="17.125" style="461" customWidth="1"/>
    <col min="1504" max="1506" width="0" style="461" hidden="1" customWidth="1"/>
    <col min="1507" max="1754" width="8.75" style="461"/>
    <col min="1755" max="1755" width="4.875" style="461" bestFit="1" customWidth="1"/>
    <col min="1756" max="1756" width="65.75" style="461" customWidth="1"/>
    <col min="1757" max="1758" width="13.25" style="461" customWidth="1"/>
    <col min="1759" max="1759" width="17.125" style="461" customWidth="1"/>
    <col min="1760" max="1762" width="0" style="461" hidden="1" customWidth="1"/>
    <col min="1763" max="2010" width="8.75" style="461"/>
    <col min="2011" max="2011" width="4.875" style="461" bestFit="1" customWidth="1"/>
    <col min="2012" max="2012" width="65.75" style="461" customWidth="1"/>
    <col min="2013" max="2014" width="13.25" style="461" customWidth="1"/>
    <col min="2015" max="2015" width="17.125" style="461" customWidth="1"/>
    <col min="2016" max="2018" width="0" style="461" hidden="1" customWidth="1"/>
    <col min="2019" max="2266" width="8.75" style="461"/>
    <col min="2267" max="2267" width="4.875" style="461" bestFit="1" customWidth="1"/>
    <col min="2268" max="2268" width="65.75" style="461" customWidth="1"/>
    <col min="2269" max="2270" width="13.25" style="461" customWidth="1"/>
    <col min="2271" max="2271" width="17.125" style="461" customWidth="1"/>
    <col min="2272" max="2274" width="0" style="461" hidden="1" customWidth="1"/>
    <col min="2275" max="2522" width="8.75" style="461"/>
    <col min="2523" max="2523" width="4.875" style="461" bestFit="1" customWidth="1"/>
    <col min="2524" max="2524" width="65.75" style="461" customWidth="1"/>
    <col min="2525" max="2526" width="13.25" style="461" customWidth="1"/>
    <col min="2527" max="2527" width="17.125" style="461" customWidth="1"/>
    <col min="2528" max="2530" width="0" style="461" hidden="1" customWidth="1"/>
    <col min="2531" max="2778" width="8.75" style="461"/>
    <col min="2779" max="2779" width="4.875" style="461" bestFit="1" customWidth="1"/>
    <col min="2780" max="2780" width="65.75" style="461" customWidth="1"/>
    <col min="2781" max="2782" width="13.25" style="461" customWidth="1"/>
    <col min="2783" max="2783" width="17.125" style="461" customWidth="1"/>
    <col min="2784" max="2786" width="0" style="461" hidden="1" customWidth="1"/>
    <col min="2787" max="3034" width="8.75" style="461"/>
    <col min="3035" max="3035" width="4.875" style="461" bestFit="1" customWidth="1"/>
    <col min="3036" max="3036" width="65.75" style="461" customWidth="1"/>
    <col min="3037" max="3038" width="13.25" style="461" customWidth="1"/>
    <col min="3039" max="3039" width="17.125" style="461" customWidth="1"/>
    <col min="3040" max="3042" width="0" style="461" hidden="1" customWidth="1"/>
    <col min="3043" max="3290" width="8.75" style="461"/>
    <col min="3291" max="3291" width="4.875" style="461" bestFit="1" customWidth="1"/>
    <col min="3292" max="3292" width="65.75" style="461" customWidth="1"/>
    <col min="3293" max="3294" width="13.25" style="461" customWidth="1"/>
    <col min="3295" max="3295" width="17.125" style="461" customWidth="1"/>
    <col min="3296" max="3298" width="0" style="461" hidden="1" customWidth="1"/>
    <col min="3299" max="3546" width="8.75" style="461"/>
    <col min="3547" max="3547" width="4.875" style="461" bestFit="1" customWidth="1"/>
    <col min="3548" max="3548" width="65.75" style="461" customWidth="1"/>
    <col min="3549" max="3550" width="13.25" style="461" customWidth="1"/>
    <col min="3551" max="3551" width="17.125" style="461" customWidth="1"/>
    <col min="3552" max="3554" width="0" style="461" hidden="1" customWidth="1"/>
    <col min="3555" max="3802" width="8.75" style="461"/>
    <col min="3803" max="3803" width="4.875" style="461" bestFit="1" customWidth="1"/>
    <col min="3804" max="3804" width="65.75" style="461" customWidth="1"/>
    <col min="3805" max="3806" width="13.25" style="461" customWidth="1"/>
    <col min="3807" max="3807" width="17.125" style="461" customWidth="1"/>
    <col min="3808" max="3810" width="0" style="461" hidden="1" customWidth="1"/>
    <col min="3811" max="4058" width="8.75" style="461"/>
    <col min="4059" max="4059" width="4.875" style="461" bestFit="1" customWidth="1"/>
    <col min="4060" max="4060" width="65.75" style="461" customWidth="1"/>
    <col min="4061" max="4062" width="13.25" style="461" customWidth="1"/>
    <col min="4063" max="4063" width="17.125" style="461" customWidth="1"/>
    <col min="4064" max="4066" width="0" style="461" hidden="1" customWidth="1"/>
    <col min="4067" max="4314" width="8.75" style="461"/>
    <col min="4315" max="4315" width="4.875" style="461" bestFit="1" customWidth="1"/>
    <col min="4316" max="4316" width="65.75" style="461" customWidth="1"/>
    <col min="4317" max="4318" width="13.25" style="461" customWidth="1"/>
    <col min="4319" max="4319" width="17.125" style="461" customWidth="1"/>
    <col min="4320" max="4322" width="0" style="461" hidden="1" customWidth="1"/>
    <col min="4323" max="4570" width="8.75" style="461"/>
    <col min="4571" max="4571" width="4.875" style="461" bestFit="1" customWidth="1"/>
    <col min="4572" max="4572" width="65.75" style="461" customWidth="1"/>
    <col min="4573" max="4574" width="13.25" style="461" customWidth="1"/>
    <col min="4575" max="4575" width="17.125" style="461" customWidth="1"/>
    <col min="4576" max="4578" width="0" style="461" hidden="1" customWidth="1"/>
    <col min="4579" max="4826" width="8.75" style="461"/>
    <col min="4827" max="4827" width="4.875" style="461" bestFit="1" customWidth="1"/>
    <col min="4828" max="4828" width="65.75" style="461" customWidth="1"/>
    <col min="4829" max="4830" width="13.25" style="461" customWidth="1"/>
    <col min="4831" max="4831" width="17.125" style="461" customWidth="1"/>
    <col min="4832" max="4834" width="0" style="461" hidden="1" customWidth="1"/>
    <col min="4835" max="5082" width="8.75" style="461"/>
    <col min="5083" max="5083" width="4.875" style="461" bestFit="1" customWidth="1"/>
    <col min="5084" max="5084" width="65.75" style="461" customWidth="1"/>
    <col min="5085" max="5086" width="13.25" style="461" customWidth="1"/>
    <col min="5087" max="5087" width="17.125" style="461" customWidth="1"/>
    <col min="5088" max="5090" width="0" style="461" hidden="1" customWidth="1"/>
    <col min="5091" max="5338" width="8.75" style="461"/>
    <col min="5339" max="5339" width="4.875" style="461" bestFit="1" customWidth="1"/>
    <col min="5340" max="5340" width="65.75" style="461" customWidth="1"/>
    <col min="5341" max="5342" width="13.25" style="461" customWidth="1"/>
    <col min="5343" max="5343" width="17.125" style="461" customWidth="1"/>
    <col min="5344" max="5346" width="0" style="461" hidden="1" customWidth="1"/>
    <col min="5347" max="5594" width="8.75" style="461"/>
    <col min="5595" max="5595" width="4.875" style="461" bestFit="1" customWidth="1"/>
    <col min="5596" max="5596" width="65.75" style="461" customWidth="1"/>
    <col min="5597" max="5598" width="13.25" style="461" customWidth="1"/>
    <col min="5599" max="5599" width="17.125" style="461" customWidth="1"/>
    <col min="5600" max="5602" width="0" style="461" hidden="1" customWidth="1"/>
    <col min="5603" max="5850" width="8.75" style="461"/>
    <col min="5851" max="5851" width="4.875" style="461" bestFit="1" customWidth="1"/>
    <col min="5852" max="5852" width="65.75" style="461" customWidth="1"/>
    <col min="5853" max="5854" width="13.25" style="461" customWidth="1"/>
    <col min="5855" max="5855" width="17.125" style="461" customWidth="1"/>
    <col min="5856" max="5858" width="0" style="461" hidden="1" customWidth="1"/>
    <col min="5859" max="6106" width="8.75" style="461"/>
    <col min="6107" max="6107" width="4.875" style="461" bestFit="1" customWidth="1"/>
    <col min="6108" max="6108" width="65.75" style="461" customWidth="1"/>
    <col min="6109" max="6110" width="13.25" style="461" customWidth="1"/>
    <col min="6111" max="6111" width="17.125" style="461" customWidth="1"/>
    <col min="6112" max="6114" width="0" style="461" hidden="1" customWidth="1"/>
    <col min="6115" max="6362" width="8.75" style="461"/>
    <col min="6363" max="6363" width="4.875" style="461" bestFit="1" customWidth="1"/>
    <col min="6364" max="6364" width="65.75" style="461" customWidth="1"/>
    <col min="6365" max="6366" width="13.25" style="461" customWidth="1"/>
    <col min="6367" max="6367" width="17.125" style="461" customWidth="1"/>
    <col min="6368" max="6370" width="0" style="461" hidden="1" customWidth="1"/>
    <col min="6371" max="6618" width="8.75" style="461"/>
    <col min="6619" max="6619" width="4.875" style="461" bestFit="1" customWidth="1"/>
    <col min="6620" max="6620" width="65.75" style="461" customWidth="1"/>
    <col min="6621" max="6622" width="13.25" style="461" customWidth="1"/>
    <col min="6623" max="6623" width="17.125" style="461" customWidth="1"/>
    <col min="6624" max="6626" width="0" style="461" hidden="1" customWidth="1"/>
    <col min="6627" max="6874" width="8.75" style="461"/>
    <col min="6875" max="6875" width="4.875" style="461" bestFit="1" customWidth="1"/>
    <col min="6876" max="6876" width="65.75" style="461" customWidth="1"/>
    <col min="6877" max="6878" width="13.25" style="461" customWidth="1"/>
    <col min="6879" max="6879" width="17.125" style="461" customWidth="1"/>
    <col min="6880" max="6882" width="0" style="461" hidden="1" customWidth="1"/>
    <col min="6883" max="7130" width="8.75" style="461"/>
    <col min="7131" max="7131" width="4.875" style="461" bestFit="1" customWidth="1"/>
    <col min="7132" max="7132" width="65.75" style="461" customWidth="1"/>
    <col min="7133" max="7134" width="13.25" style="461" customWidth="1"/>
    <col min="7135" max="7135" width="17.125" style="461" customWidth="1"/>
    <col min="7136" max="7138" width="0" style="461" hidden="1" customWidth="1"/>
    <col min="7139" max="7386" width="8.75" style="461"/>
    <col min="7387" max="7387" width="4.875" style="461" bestFit="1" customWidth="1"/>
    <col min="7388" max="7388" width="65.75" style="461" customWidth="1"/>
    <col min="7389" max="7390" width="13.25" style="461" customWidth="1"/>
    <col min="7391" max="7391" width="17.125" style="461" customWidth="1"/>
    <col min="7392" max="7394" width="0" style="461" hidden="1" customWidth="1"/>
    <col min="7395" max="7642" width="8.75" style="461"/>
    <col min="7643" max="7643" width="4.875" style="461" bestFit="1" customWidth="1"/>
    <col min="7644" max="7644" width="65.75" style="461" customWidth="1"/>
    <col min="7645" max="7646" width="13.25" style="461" customWidth="1"/>
    <col min="7647" max="7647" width="17.125" style="461" customWidth="1"/>
    <col min="7648" max="7650" width="0" style="461" hidden="1" customWidth="1"/>
    <col min="7651" max="7898" width="8.75" style="461"/>
    <col min="7899" max="7899" width="4.875" style="461" bestFit="1" customWidth="1"/>
    <col min="7900" max="7900" width="65.75" style="461" customWidth="1"/>
    <col min="7901" max="7902" width="13.25" style="461" customWidth="1"/>
    <col min="7903" max="7903" width="17.125" style="461" customWidth="1"/>
    <col min="7904" max="7906" width="0" style="461" hidden="1" customWidth="1"/>
    <col min="7907" max="8154" width="8.75" style="461"/>
    <col min="8155" max="8155" width="4.875" style="461" bestFit="1" customWidth="1"/>
    <col min="8156" max="8156" width="65.75" style="461" customWidth="1"/>
    <col min="8157" max="8158" width="13.25" style="461" customWidth="1"/>
    <col min="8159" max="8159" width="17.125" style="461" customWidth="1"/>
    <col min="8160" max="8162" width="0" style="461" hidden="1" customWidth="1"/>
    <col min="8163" max="8410" width="8.75" style="461"/>
    <col min="8411" max="8411" width="4.875" style="461" bestFit="1" customWidth="1"/>
    <col min="8412" max="8412" width="65.75" style="461" customWidth="1"/>
    <col min="8413" max="8414" width="13.25" style="461" customWidth="1"/>
    <col min="8415" max="8415" width="17.125" style="461" customWidth="1"/>
    <col min="8416" max="8418" width="0" style="461" hidden="1" customWidth="1"/>
    <col min="8419" max="8666" width="8.75" style="461"/>
    <col min="8667" max="8667" width="4.875" style="461" bestFit="1" customWidth="1"/>
    <col min="8668" max="8668" width="65.75" style="461" customWidth="1"/>
    <col min="8669" max="8670" width="13.25" style="461" customWidth="1"/>
    <col min="8671" max="8671" width="17.125" style="461" customWidth="1"/>
    <col min="8672" max="8674" width="0" style="461" hidden="1" customWidth="1"/>
    <col min="8675" max="8922" width="8.75" style="461"/>
    <col min="8923" max="8923" width="4.875" style="461" bestFit="1" customWidth="1"/>
    <col min="8924" max="8924" width="65.75" style="461" customWidth="1"/>
    <col min="8925" max="8926" width="13.25" style="461" customWidth="1"/>
    <col min="8927" max="8927" width="17.125" style="461" customWidth="1"/>
    <col min="8928" max="8930" width="0" style="461" hidden="1" customWidth="1"/>
    <col min="8931" max="9178" width="8.75" style="461"/>
    <col min="9179" max="9179" width="4.875" style="461" bestFit="1" customWidth="1"/>
    <col min="9180" max="9180" width="65.75" style="461" customWidth="1"/>
    <col min="9181" max="9182" width="13.25" style="461" customWidth="1"/>
    <col min="9183" max="9183" width="17.125" style="461" customWidth="1"/>
    <col min="9184" max="9186" width="0" style="461" hidden="1" customWidth="1"/>
    <col min="9187" max="9434" width="8.75" style="461"/>
    <col min="9435" max="9435" width="4.875" style="461" bestFit="1" customWidth="1"/>
    <col min="9436" max="9436" width="65.75" style="461" customWidth="1"/>
    <col min="9437" max="9438" width="13.25" style="461" customWidth="1"/>
    <col min="9439" max="9439" width="17.125" style="461" customWidth="1"/>
    <col min="9440" max="9442" width="0" style="461" hidden="1" customWidth="1"/>
    <col min="9443" max="9690" width="8.75" style="461"/>
    <col min="9691" max="9691" width="4.875" style="461" bestFit="1" customWidth="1"/>
    <col min="9692" max="9692" width="65.75" style="461" customWidth="1"/>
    <col min="9693" max="9694" width="13.25" style="461" customWidth="1"/>
    <col min="9695" max="9695" width="17.125" style="461" customWidth="1"/>
    <col min="9696" max="9698" width="0" style="461" hidden="1" customWidth="1"/>
    <col min="9699" max="9946" width="8.75" style="461"/>
    <col min="9947" max="9947" width="4.875" style="461" bestFit="1" customWidth="1"/>
    <col min="9948" max="9948" width="65.75" style="461" customWidth="1"/>
    <col min="9949" max="9950" width="13.25" style="461" customWidth="1"/>
    <col min="9951" max="9951" width="17.125" style="461" customWidth="1"/>
    <col min="9952" max="9954" width="0" style="461" hidden="1" customWidth="1"/>
    <col min="9955" max="10202" width="8.75" style="461"/>
    <col min="10203" max="10203" width="4.875" style="461" bestFit="1" customWidth="1"/>
    <col min="10204" max="10204" width="65.75" style="461" customWidth="1"/>
    <col min="10205" max="10206" width="13.25" style="461" customWidth="1"/>
    <col min="10207" max="10207" width="17.125" style="461" customWidth="1"/>
    <col min="10208" max="10210" width="0" style="461" hidden="1" customWidth="1"/>
    <col min="10211" max="10458" width="8.75" style="461"/>
    <col min="10459" max="10459" width="4.875" style="461" bestFit="1" customWidth="1"/>
    <col min="10460" max="10460" width="65.75" style="461" customWidth="1"/>
    <col min="10461" max="10462" width="13.25" style="461" customWidth="1"/>
    <col min="10463" max="10463" width="17.125" style="461" customWidth="1"/>
    <col min="10464" max="10466" width="0" style="461" hidden="1" customWidth="1"/>
    <col min="10467" max="10714" width="8.75" style="461"/>
    <col min="10715" max="10715" width="4.875" style="461" bestFit="1" customWidth="1"/>
    <col min="10716" max="10716" width="65.75" style="461" customWidth="1"/>
    <col min="10717" max="10718" width="13.25" style="461" customWidth="1"/>
    <col min="10719" max="10719" width="17.125" style="461" customWidth="1"/>
    <col min="10720" max="10722" width="0" style="461" hidden="1" customWidth="1"/>
    <col min="10723" max="10970" width="8.75" style="461"/>
    <col min="10971" max="10971" width="4.875" style="461" bestFit="1" customWidth="1"/>
    <col min="10972" max="10972" width="65.75" style="461" customWidth="1"/>
    <col min="10973" max="10974" width="13.25" style="461" customWidth="1"/>
    <col min="10975" max="10975" width="17.125" style="461" customWidth="1"/>
    <col min="10976" max="10978" width="0" style="461" hidden="1" customWidth="1"/>
    <col min="10979" max="11226" width="8.75" style="461"/>
    <col min="11227" max="11227" width="4.875" style="461" bestFit="1" customWidth="1"/>
    <col min="11228" max="11228" width="65.75" style="461" customWidth="1"/>
    <col min="11229" max="11230" width="13.25" style="461" customWidth="1"/>
    <col min="11231" max="11231" width="17.125" style="461" customWidth="1"/>
    <col min="11232" max="11234" width="0" style="461" hidden="1" customWidth="1"/>
    <col min="11235" max="11482" width="8.75" style="461"/>
    <col min="11483" max="11483" width="4.875" style="461" bestFit="1" customWidth="1"/>
    <col min="11484" max="11484" width="65.75" style="461" customWidth="1"/>
    <col min="11485" max="11486" width="13.25" style="461" customWidth="1"/>
    <col min="11487" max="11487" width="17.125" style="461" customWidth="1"/>
    <col min="11488" max="11490" width="0" style="461" hidden="1" customWidth="1"/>
    <col min="11491" max="11738" width="8.75" style="461"/>
    <col min="11739" max="11739" width="4.875" style="461" bestFit="1" customWidth="1"/>
    <col min="11740" max="11740" width="65.75" style="461" customWidth="1"/>
    <col min="11741" max="11742" width="13.25" style="461" customWidth="1"/>
    <col min="11743" max="11743" width="17.125" style="461" customWidth="1"/>
    <col min="11744" max="11746" width="0" style="461" hidden="1" customWidth="1"/>
    <col min="11747" max="11994" width="8.75" style="461"/>
    <col min="11995" max="11995" width="4.875" style="461" bestFit="1" customWidth="1"/>
    <col min="11996" max="11996" width="65.75" style="461" customWidth="1"/>
    <col min="11997" max="11998" width="13.25" style="461" customWidth="1"/>
    <col min="11999" max="11999" width="17.125" style="461" customWidth="1"/>
    <col min="12000" max="12002" width="0" style="461" hidden="1" customWidth="1"/>
    <col min="12003" max="12250" width="8.75" style="461"/>
    <col min="12251" max="12251" width="4.875" style="461" bestFit="1" customWidth="1"/>
    <col min="12252" max="12252" width="65.75" style="461" customWidth="1"/>
    <col min="12253" max="12254" width="13.25" style="461" customWidth="1"/>
    <col min="12255" max="12255" width="17.125" style="461" customWidth="1"/>
    <col min="12256" max="12258" width="0" style="461" hidden="1" customWidth="1"/>
    <col min="12259" max="12506" width="8.75" style="461"/>
    <col min="12507" max="12507" width="4.875" style="461" bestFit="1" customWidth="1"/>
    <col min="12508" max="12508" width="65.75" style="461" customWidth="1"/>
    <col min="12509" max="12510" width="13.25" style="461" customWidth="1"/>
    <col min="12511" max="12511" width="17.125" style="461" customWidth="1"/>
    <col min="12512" max="12514" width="0" style="461" hidden="1" customWidth="1"/>
    <col min="12515" max="12762" width="8.75" style="461"/>
    <col min="12763" max="12763" width="4.875" style="461" bestFit="1" customWidth="1"/>
    <col min="12764" max="12764" width="65.75" style="461" customWidth="1"/>
    <col min="12765" max="12766" width="13.25" style="461" customWidth="1"/>
    <col min="12767" max="12767" width="17.125" style="461" customWidth="1"/>
    <col min="12768" max="12770" width="0" style="461" hidden="1" customWidth="1"/>
    <col min="12771" max="13018" width="8.75" style="461"/>
    <col min="13019" max="13019" width="4.875" style="461" bestFit="1" customWidth="1"/>
    <col min="13020" max="13020" width="65.75" style="461" customWidth="1"/>
    <col min="13021" max="13022" width="13.25" style="461" customWidth="1"/>
    <col min="13023" max="13023" width="17.125" style="461" customWidth="1"/>
    <col min="13024" max="13026" width="0" style="461" hidden="1" customWidth="1"/>
    <col min="13027" max="13274" width="8.75" style="461"/>
    <col min="13275" max="13275" width="4.875" style="461" bestFit="1" customWidth="1"/>
    <col min="13276" max="13276" width="65.75" style="461" customWidth="1"/>
    <col min="13277" max="13278" width="13.25" style="461" customWidth="1"/>
    <col min="13279" max="13279" width="17.125" style="461" customWidth="1"/>
    <col min="13280" max="13282" width="0" style="461" hidden="1" customWidth="1"/>
    <col min="13283" max="13530" width="8.75" style="461"/>
    <col min="13531" max="13531" width="4.875" style="461" bestFit="1" customWidth="1"/>
    <col min="13532" max="13532" width="65.75" style="461" customWidth="1"/>
    <col min="13533" max="13534" width="13.25" style="461" customWidth="1"/>
    <col min="13535" max="13535" width="17.125" style="461" customWidth="1"/>
    <col min="13536" max="13538" width="0" style="461" hidden="1" customWidth="1"/>
    <col min="13539" max="13786" width="8.75" style="461"/>
    <col min="13787" max="13787" width="4.875" style="461" bestFit="1" customWidth="1"/>
    <col min="13788" max="13788" width="65.75" style="461" customWidth="1"/>
    <col min="13789" max="13790" width="13.25" style="461" customWidth="1"/>
    <col min="13791" max="13791" width="17.125" style="461" customWidth="1"/>
    <col min="13792" max="13794" width="0" style="461" hidden="1" customWidth="1"/>
    <col min="13795" max="14042" width="8.75" style="461"/>
    <col min="14043" max="14043" width="4.875" style="461" bestFit="1" customWidth="1"/>
    <col min="14044" max="14044" width="65.75" style="461" customWidth="1"/>
    <col min="14045" max="14046" width="13.25" style="461" customWidth="1"/>
    <col min="14047" max="14047" width="17.125" style="461" customWidth="1"/>
    <col min="14048" max="14050" width="0" style="461" hidden="1" customWidth="1"/>
    <col min="14051" max="14298" width="8.75" style="461"/>
    <col min="14299" max="14299" width="4.875" style="461" bestFit="1" customWidth="1"/>
    <col min="14300" max="14300" width="65.75" style="461" customWidth="1"/>
    <col min="14301" max="14302" width="13.25" style="461" customWidth="1"/>
    <col min="14303" max="14303" width="17.125" style="461" customWidth="1"/>
    <col min="14304" max="14306" width="0" style="461" hidden="1" customWidth="1"/>
    <col min="14307" max="14554" width="8.75" style="461"/>
    <col min="14555" max="14555" width="4.875" style="461" bestFit="1" customWidth="1"/>
    <col min="14556" max="14556" width="65.75" style="461" customWidth="1"/>
    <col min="14557" max="14558" width="13.25" style="461" customWidth="1"/>
    <col min="14559" max="14559" width="17.125" style="461" customWidth="1"/>
    <col min="14560" max="14562" width="0" style="461" hidden="1" customWidth="1"/>
    <col min="14563" max="14810" width="8.75" style="461"/>
    <col min="14811" max="14811" width="4.875" style="461" bestFit="1" customWidth="1"/>
    <col min="14812" max="14812" width="65.75" style="461" customWidth="1"/>
    <col min="14813" max="14814" width="13.25" style="461" customWidth="1"/>
    <col min="14815" max="14815" width="17.125" style="461" customWidth="1"/>
    <col min="14816" max="14818" width="0" style="461" hidden="1" customWidth="1"/>
    <col min="14819" max="15066" width="8.75" style="461"/>
    <col min="15067" max="15067" width="4.875" style="461" bestFit="1" customWidth="1"/>
    <col min="15068" max="15068" width="65.75" style="461" customWidth="1"/>
    <col min="15069" max="15070" width="13.25" style="461" customWidth="1"/>
    <col min="15071" max="15071" width="17.125" style="461" customWidth="1"/>
    <col min="15072" max="15074" width="0" style="461" hidden="1" customWidth="1"/>
    <col min="15075" max="15322" width="8.75" style="461"/>
    <col min="15323" max="15323" width="4.875" style="461" bestFit="1" customWidth="1"/>
    <col min="15324" max="15324" width="65.75" style="461" customWidth="1"/>
    <col min="15325" max="15326" width="13.25" style="461" customWidth="1"/>
    <col min="15327" max="15327" width="17.125" style="461" customWidth="1"/>
    <col min="15328" max="15330" width="0" style="461" hidden="1" customWidth="1"/>
    <col min="15331" max="15578" width="8.75" style="461"/>
    <col min="15579" max="15579" width="4.875" style="461" bestFit="1" customWidth="1"/>
    <col min="15580" max="15580" width="65.75" style="461" customWidth="1"/>
    <col min="15581" max="15582" width="13.25" style="461" customWidth="1"/>
    <col min="15583" max="15583" width="17.125" style="461" customWidth="1"/>
    <col min="15584" max="15586" width="0" style="461" hidden="1" customWidth="1"/>
    <col min="15587" max="15834" width="8.75" style="461"/>
    <col min="15835" max="15835" width="4.875" style="461" bestFit="1" customWidth="1"/>
    <col min="15836" max="15836" width="65.75" style="461" customWidth="1"/>
    <col min="15837" max="15838" width="13.25" style="461" customWidth="1"/>
    <col min="15839" max="15839" width="17.125" style="461" customWidth="1"/>
    <col min="15840" max="15842" width="0" style="461" hidden="1" customWidth="1"/>
    <col min="15843" max="16090" width="8.75" style="461"/>
    <col min="16091" max="16091" width="4.875" style="461" bestFit="1" customWidth="1"/>
    <col min="16092" max="16092" width="65.75" style="461" customWidth="1"/>
    <col min="16093" max="16094" width="13.25" style="461" customWidth="1"/>
    <col min="16095" max="16095" width="17.125" style="461" customWidth="1"/>
    <col min="16096" max="16098" width="0" style="461" hidden="1" customWidth="1"/>
    <col min="16099" max="16384" width="8.75" style="461"/>
  </cols>
  <sheetData>
    <row r="1" spans="1:11" ht="39.75" customHeight="1" x14ac:dyDescent="0.3">
      <c r="A1" s="1018" t="s">
        <v>520</v>
      </c>
      <c r="B1" s="1018"/>
      <c r="C1" s="1018"/>
      <c r="D1" s="1018"/>
      <c r="E1" s="1018"/>
      <c r="F1" s="1018"/>
      <c r="G1" s="1018"/>
      <c r="H1" s="1018"/>
      <c r="I1" s="1018"/>
      <c r="J1" s="1018"/>
      <c r="K1" s="1018"/>
    </row>
    <row r="2" spans="1:11" ht="16.5" thickBot="1" x14ac:dyDescent="0.3"/>
    <row r="3" spans="1:11" ht="63.75" thickBot="1" x14ac:dyDescent="0.3">
      <c r="A3" s="296"/>
      <c r="B3" s="297" t="s">
        <v>136</v>
      </c>
      <c r="C3" s="298" t="s">
        <v>832</v>
      </c>
      <c r="D3" s="299" t="s">
        <v>630</v>
      </c>
      <c r="E3" s="299" t="s">
        <v>833</v>
      </c>
      <c r="F3" s="298" t="s">
        <v>779</v>
      </c>
      <c r="G3" s="299" t="s">
        <v>780</v>
      </c>
      <c r="H3" s="299" t="s">
        <v>631</v>
      </c>
      <c r="I3" s="299" t="s">
        <v>131</v>
      </c>
      <c r="J3" s="299" t="s">
        <v>132</v>
      </c>
      <c r="K3" s="299" t="s">
        <v>334</v>
      </c>
    </row>
    <row r="4" spans="1:11" x14ac:dyDescent="0.25">
      <c r="A4" s="300" t="s">
        <v>76</v>
      </c>
      <c r="B4" s="301" t="s">
        <v>109</v>
      </c>
      <c r="C4" s="302">
        <f>SUM(C5,C9,C70,C71,C74)</f>
        <v>5402482</v>
      </c>
      <c r="D4" s="302">
        <f>SUM(D5,D9,D70,D71,D74)</f>
        <v>337381</v>
      </c>
      <c r="E4" s="302">
        <f>SUM(C4:D4)</f>
        <v>5739863</v>
      </c>
      <c r="F4" s="302">
        <f>SUM(F5,F9,F70,F71,F74)</f>
        <v>10662</v>
      </c>
      <c r="G4" s="302">
        <f>SUM(G5,G9,G70,G71,G74)</f>
        <v>5729201</v>
      </c>
      <c r="H4" s="302">
        <f>SUM(H5,H9,H70,H71,H74)</f>
        <v>0</v>
      </c>
      <c r="I4" s="303" t="s">
        <v>521</v>
      </c>
      <c r="J4" s="303" t="s">
        <v>521</v>
      </c>
      <c r="K4" s="303"/>
    </row>
    <row r="5" spans="1:11" x14ac:dyDescent="0.25">
      <c r="A5" s="304"/>
      <c r="B5" s="305" t="s">
        <v>77</v>
      </c>
      <c r="C5" s="306">
        <f>SUM(C6:C8)</f>
        <v>4439110</v>
      </c>
      <c r="D5" s="306">
        <f>SUM(D6:D8)</f>
        <v>205011</v>
      </c>
      <c r="E5" s="306">
        <f t="shared" ref="E5:E97" si="0">SUM(C5:D5)</f>
        <v>4644121</v>
      </c>
      <c r="F5" s="306">
        <f>SUM(F6:F8)</f>
        <v>3565</v>
      </c>
      <c r="G5" s="306">
        <f>SUM(G6:G8)</f>
        <v>4640556</v>
      </c>
      <c r="H5" s="306">
        <f>SUM(H6:H8)</f>
        <v>0</v>
      </c>
      <c r="I5" s="307" t="s">
        <v>521</v>
      </c>
      <c r="J5" s="307" t="s">
        <v>521</v>
      </c>
      <c r="K5" s="307"/>
    </row>
    <row r="6" spans="1:11" x14ac:dyDescent="0.25">
      <c r="A6" s="304"/>
      <c r="B6" s="900" t="s">
        <v>78</v>
      </c>
      <c r="C6" s="464">
        <v>979047</v>
      </c>
      <c r="D6" s="464">
        <f>190989-80+14099+3</f>
        <v>205011</v>
      </c>
      <c r="E6" s="464">
        <f>SUM(C6:D6)</f>
        <v>1184058</v>
      </c>
      <c r="F6" s="464">
        <v>3565</v>
      </c>
      <c r="G6" s="464">
        <f>346275-53-22000+532789+194689+23782-100000+190989+-80+14099+3</f>
        <v>1180493</v>
      </c>
      <c r="H6" s="464"/>
      <c r="I6" s="413" t="s">
        <v>521</v>
      </c>
      <c r="J6" s="413" t="s">
        <v>521</v>
      </c>
      <c r="K6" s="413"/>
    </row>
    <row r="7" spans="1:11" x14ac:dyDescent="0.25">
      <c r="A7" s="304"/>
      <c r="B7" s="463" t="s">
        <v>335</v>
      </c>
      <c r="C7" s="464">
        <v>14036</v>
      </c>
      <c r="D7" s="464"/>
      <c r="E7" s="464">
        <f t="shared" si="0"/>
        <v>14036</v>
      </c>
      <c r="F7" s="464"/>
      <c r="G7" s="464">
        <v>14036</v>
      </c>
      <c r="H7" s="464"/>
      <c r="I7" s="413"/>
      <c r="J7" s="413" t="s">
        <v>521</v>
      </c>
      <c r="K7" s="413"/>
    </row>
    <row r="8" spans="1:11" x14ac:dyDescent="0.25">
      <c r="A8" s="304"/>
      <c r="B8" s="463" t="s">
        <v>457</v>
      </c>
      <c r="C8" s="464">
        <v>3446027</v>
      </c>
      <c r="D8" s="464">
        <v>0</v>
      </c>
      <c r="E8" s="464">
        <f t="shared" si="0"/>
        <v>3446027</v>
      </c>
      <c r="F8" s="464"/>
      <c r="G8" s="464">
        <f>3610597-164570</f>
        <v>3446027</v>
      </c>
      <c r="H8" s="464"/>
      <c r="I8" s="413" t="s">
        <v>521</v>
      </c>
      <c r="J8" s="413"/>
      <c r="K8" s="413"/>
    </row>
    <row r="9" spans="1:11" x14ac:dyDescent="0.25">
      <c r="A9" s="304"/>
      <c r="B9" s="308" t="s">
        <v>79</v>
      </c>
      <c r="C9" s="306">
        <f>SUM(C10,C64,C69)</f>
        <v>288454</v>
      </c>
      <c r="D9" s="306">
        <f>SUM(D10,D64,D69)</f>
        <v>132370</v>
      </c>
      <c r="E9" s="306">
        <f t="shared" si="0"/>
        <v>420824</v>
      </c>
      <c r="F9" s="306">
        <f>SUM(F10,F64,F69)</f>
        <v>6907</v>
      </c>
      <c r="G9" s="306">
        <f>SUM(G10,G64,G69)</f>
        <v>413917</v>
      </c>
      <c r="H9" s="306">
        <f>SUM(H10,H64,H69)</f>
        <v>0</v>
      </c>
      <c r="I9" s="307" t="s">
        <v>521</v>
      </c>
      <c r="J9" s="307" t="s">
        <v>521</v>
      </c>
      <c r="K9" s="307"/>
    </row>
    <row r="10" spans="1:11" x14ac:dyDescent="0.25">
      <c r="A10" s="304"/>
      <c r="B10" s="900" t="s">
        <v>80</v>
      </c>
      <c r="C10" s="464">
        <v>269251</v>
      </c>
      <c r="D10" s="464">
        <f>7439+12000+3953+233+110470+10000+2000+2000+2000+2500+2000+1000+2000+3000+7000-7000+1293-30000</f>
        <v>131888</v>
      </c>
      <c r="E10" s="464">
        <f t="shared" si="0"/>
        <v>401139</v>
      </c>
      <c r="F10" s="464">
        <v>6907</v>
      </c>
      <c r="G10" s="464">
        <f>349373-10000-5000-4500-1000-10000-2000-500-500-250-1000-250-100-2500-4700-500-2000-4000-600-2500-2346-1000-2000-1800-1000-500-1000-10000-5000-5000-5000-483+7439+12000+3953+233+110470+10000+2000+2000+2000+2500+2000+1000+2000+3000+7000-7000+1293-30000</f>
        <v>394232</v>
      </c>
      <c r="H10" s="464"/>
      <c r="I10" s="413" t="s">
        <v>521</v>
      </c>
      <c r="J10" s="413" t="s">
        <v>521</v>
      </c>
      <c r="K10" s="413"/>
    </row>
    <row r="11" spans="1:11" s="315" customFormat="1" x14ac:dyDescent="0.25">
      <c r="A11" s="309"/>
      <c r="B11" s="310" t="s">
        <v>240</v>
      </c>
      <c r="C11" s="311">
        <v>2000</v>
      </c>
      <c r="D11" s="312"/>
      <c r="E11" s="313">
        <f t="shared" si="0"/>
        <v>2000</v>
      </c>
      <c r="F11" s="311">
        <v>0</v>
      </c>
      <c r="G11" s="312">
        <v>2000</v>
      </c>
      <c r="H11" s="312"/>
      <c r="I11" s="314"/>
      <c r="J11" s="314" t="s">
        <v>521</v>
      </c>
      <c r="K11" s="314"/>
    </row>
    <row r="12" spans="1:11" s="315" customFormat="1" x14ac:dyDescent="0.25">
      <c r="A12" s="309"/>
      <c r="B12" s="310" t="s">
        <v>101</v>
      </c>
      <c r="C12" s="311">
        <v>2000</v>
      </c>
      <c r="D12" s="312"/>
      <c r="E12" s="313">
        <f t="shared" si="0"/>
        <v>2000</v>
      </c>
      <c r="F12" s="311">
        <v>0</v>
      </c>
      <c r="G12" s="312">
        <v>2000</v>
      </c>
      <c r="H12" s="312"/>
      <c r="I12" s="314"/>
      <c r="J12" s="314" t="s">
        <v>521</v>
      </c>
      <c r="K12" s="314"/>
    </row>
    <row r="13" spans="1:11" s="315" customFormat="1" x14ac:dyDescent="0.25">
      <c r="A13" s="309"/>
      <c r="B13" s="310" t="s">
        <v>102</v>
      </c>
      <c r="C13" s="311">
        <v>4091</v>
      </c>
      <c r="D13" s="312"/>
      <c r="E13" s="313">
        <f t="shared" si="0"/>
        <v>4091</v>
      </c>
      <c r="F13" s="311"/>
      <c r="G13" s="312">
        <v>4091</v>
      </c>
      <c r="H13" s="312"/>
      <c r="I13" s="314"/>
      <c r="J13" s="314" t="s">
        <v>521</v>
      </c>
      <c r="K13" s="314"/>
    </row>
    <row r="14" spans="1:11" s="315" customFormat="1" x14ac:dyDescent="0.25">
      <c r="A14" s="309"/>
      <c r="B14" s="310" t="s">
        <v>241</v>
      </c>
      <c r="C14" s="311">
        <v>9644</v>
      </c>
      <c r="D14" s="312"/>
      <c r="E14" s="313">
        <f t="shared" si="0"/>
        <v>9644</v>
      </c>
      <c r="F14" s="311">
        <v>25</v>
      </c>
      <c r="G14" s="312">
        <v>9619</v>
      </c>
      <c r="H14" s="312"/>
      <c r="I14" s="314"/>
      <c r="J14" s="314" t="s">
        <v>521</v>
      </c>
      <c r="K14" s="314"/>
    </row>
    <row r="15" spans="1:11" s="315" customFormat="1" x14ac:dyDescent="0.25">
      <c r="A15" s="309"/>
      <c r="B15" s="310" t="s">
        <v>570</v>
      </c>
      <c r="C15" s="311">
        <v>350</v>
      </c>
      <c r="D15" s="312"/>
      <c r="E15" s="313">
        <f t="shared" si="0"/>
        <v>350</v>
      </c>
      <c r="F15" s="311">
        <v>0</v>
      </c>
      <c r="G15" s="312">
        <v>350</v>
      </c>
      <c r="H15" s="312"/>
      <c r="I15" s="314"/>
      <c r="J15" s="314" t="s">
        <v>521</v>
      </c>
      <c r="K15" s="314"/>
    </row>
    <row r="16" spans="1:11" s="315" customFormat="1" x14ac:dyDescent="0.25">
      <c r="A16" s="309"/>
      <c r="B16" s="310" t="s">
        <v>242</v>
      </c>
      <c r="C16" s="311">
        <v>400</v>
      </c>
      <c r="D16" s="312"/>
      <c r="E16" s="313">
        <f t="shared" si="0"/>
        <v>400</v>
      </c>
      <c r="F16" s="311">
        <v>0</v>
      </c>
      <c r="G16" s="312">
        <v>400</v>
      </c>
      <c r="H16" s="312"/>
      <c r="I16" s="314"/>
      <c r="J16" s="314" t="s">
        <v>521</v>
      </c>
      <c r="K16" s="314"/>
    </row>
    <row r="17" spans="1:11" s="315" customFormat="1" x14ac:dyDescent="0.25">
      <c r="A17" s="309"/>
      <c r="B17" s="310" t="s">
        <v>243</v>
      </c>
      <c r="C17" s="311">
        <v>15000</v>
      </c>
      <c r="D17" s="312"/>
      <c r="E17" s="313">
        <f t="shared" si="0"/>
        <v>15000</v>
      </c>
      <c r="F17" s="311">
        <v>0</v>
      </c>
      <c r="G17" s="312">
        <v>15000</v>
      </c>
      <c r="H17" s="312"/>
      <c r="I17" s="314"/>
      <c r="J17" s="314" t="s">
        <v>521</v>
      </c>
      <c r="K17" s="314"/>
    </row>
    <row r="18" spans="1:11" s="315" customFormat="1" x14ac:dyDescent="0.25">
      <c r="A18" s="309"/>
      <c r="B18" s="310" t="s">
        <v>244</v>
      </c>
      <c r="C18" s="311">
        <v>2000</v>
      </c>
      <c r="D18" s="312">
        <v>2000</v>
      </c>
      <c r="E18" s="313">
        <f t="shared" si="0"/>
        <v>4000</v>
      </c>
      <c r="F18" s="311">
        <v>0</v>
      </c>
      <c r="G18" s="312">
        <f>2000+2000</f>
        <v>4000</v>
      </c>
      <c r="H18" s="312"/>
      <c r="I18" s="314"/>
      <c r="J18" s="314" t="s">
        <v>521</v>
      </c>
      <c r="K18" s="314"/>
    </row>
    <row r="19" spans="1:11" s="315" customFormat="1" x14ac:dyDescent="0.25">
      <c r="A19" s="309"/>
      <c r="B19" s="310" t="s">
        <v>245</v>
      </c>
      <c r="C19" s="311">
        <v>2000</v>
      </c>
      <c r="D19" s="312">
        <v>2000</v>
      </c>
      <c r="E19" s="313">
        <f t="shared" si="0"/>
        <v>4000</v>
      </c>
      <c r="F19" s="311">
        <v>0</v>
      </c>
      <c r="G19" s="312">
        <f>2000+2000</f>
        <v>4000</v>
      </c>
      <c r="H19" s="312"/>
      <c r="I19" s="314"/>
      <c r="J19" s="314" t="s">
        <v>521</v>
      </c>
      <c r="K19" s="314"/>
    </row>
    <row r="20" spans="1:11" s="315" customFormat="1" x14ac:dyDescent="0.25">
      <c r="A20" s="309"/>
      <c r="B20" s="310" t="s">
        <v>246</v>
      </c>
      <c r="C20" s="311">
        <v>2000</v>
      </c>
      <c r="D20" s="312">
        <v>2000</v>
      </c>
      <c r="E20" s="313">
        <f t="shared" si="0"/>
        <v>4000</v>
      </c>
      <c r="F20" s="311">
        <v>0</v>
      </c>
      <c r="G20" s="312">
        <f>2000+2000</f>
        <v>4000</v>
      </c>
      <c r="H20" s="312"/>
      <c r="I20" s="314"/>
      <c r="J20" s="314" t="s">
        <v>521</v>
      </c>
      <c r="K20" s="314"/>
    </row>
    <row r="21" spans="1:11" s="315" customFormat="1" ht="31.5" x14ac:dyDescent="0.25">
      <c r="A21" s="309"/>
      <c r="B21" s="310" t="s">
        <v>247</v>
      </c>
      <c r="C21" s="311">
        <v>2000</v>
      </c>
      <c r="D21" s="312"/>
      <c r="E21" s="313">
        <f t="shared" si="0"/>
        <v>2000</v>
      </c>
      <c r="F21" s="311">
        <v>0</v>
      </c>
      <c r="G21" s="312">
        <f>4000-2000</f>
        <v>2000</v>
      </c>
      <c r="H21" s="312"/>
      <c r="I21" s="316"/>
      <c r="J21" s="316" t="s">
        <v>521</v>
      </c>
      <c r="K21" s="316"/>
    </row>
    <row r="22" spans="1:11" s="315" customFormat="1" ht="31.5" x14ac:dyDescent="0.25">
      <c r="A22" s="309"/>
      <c r="B22" s="310" t="s">
        <v>522</v>
      </c>
      <c r="C22" s="311">
        <v>1000</v>
      </c>
      <c r="D22" s="312"/>
      <c r="E22" s="313">
        <f t="shared" si="0"/>
        <v>1000</v>
      </c>
      <c r="F22" s="311"/>
      <c r="G22" s="312">
        <v>1000</v>
      </c>
      <c r="H22" s="312"/>
      <c r="I22" s="316"/>
      <c r="J22" s="316" t="s">
        <v>521</v>
      </c>
      <c r="K22" s="316"/>
    </row>
    <row r="23" spans="1:11" s="315" customFormat="1" x14ac:dyDescent="0.25">
      <c r="A23" s="309"/>
      <c r="B23" s="310" t="s">
        <v>1120</v>
      </c>
      <c r="C23" s="311">
        <v>0</v>
      </c>
      <c r="D23" s="312">
        <v>2000</v>
      </c>
      <c r="E23" s="313">
        <f t="shared" si="0"/>
        <v>2000</v>
      </c>
      <c r="F23" s="311">
        <v>0</v>
      </c>
      <c r="G23" s="312">
        <v>2000</v>
      </c>
      <c r="H23" s="312"/>
      <c r="I23" s="316"/>
      <c r="J23" s="316" t="s">
        <v>521</v>
      </c>
      <c r="K23" s="316"/>
    </row>
    <row r="24" spans="1:11" s="315" customFormat="1" ht="16.5" customHeight="1" x14ac:dyDescent="0.25">
      <c r="A24" s="309"/>
      <c r="B24" s="310" t="s">
        <v>1121</v>
      </c>
      <c r="C24" s="311">
        <v>0</v>
      </c>
      <c r="D24" s="312">
        <v>3000</v>
      </c>
      <c r="E24" s="313">
        <f t="shared" si="0"/>
        <v>3000</v>
      </c>
      <c r="F24" s="311">
        <v>0</v>
      </c>
      <c r="G24" s="312">
        <v>3000</v>
      </c>
      <c r="H24" s="312"/>
      <c r="I24" s="316"/>
      <c r="J24" s="316" t="s">
        <v>521</v>
      </c>
      <c r="K24" s="316"/>
    </row>
    <row r="25" spans="1:11" s="315" customFormat="1" ht="16.5" customHeight="1" x14ac:dyDescent="0.25">
      <c r="A25" s="309"/>
      <c r="B25" s="310" t="s">
        <v>1138</v>
      </c>
      <c r="C25" s="311">
        <v>0</v>
      </c>
      <c r="D25" s="312">
        <v>7000</v>
      </c>
      <c r="E25" s="313">
        <f t="shared" ref="E25" si="1">SUM(C25:D25)</f>
        <v>7000</v>
      </c>
      <c r="F25" s="311">
        <v>0</v>
      </c>
      <c r="G25" s="312">
        <v>7000</v>
      </c>
      <c r="H25" s="312"/>
      <c r="I25" s="316"/>
      <c r="J25" s="316" t="s">
        <v>521</v>
      </c>
      <c r="K25" s="316"/>
    </row>
    <row r="26" spans="1:11" s="315" customFormat="1" x14ac:dyDescent="0.25">
      <c r="A26" s="309"/>
      <c r="B26" s="310" t="s">
        <v>248</v>
      </c>
      <c r="C26" s="311">
        <v>250</v>
      </c>
      <c r="D26" s="312"/>
      <c r="E26" s="313">
        <f t="shared" si="0"/>
        <v>250</v>
      </c>
      <c r="F26" s="311">
        <v>0</v>
      </c>
      <c r="G26" s="312">
        <f>500-250</f>
        <v>250</v>
      </c>
      <c r="H26" s="312"/>
      <c r="I26" s="316"/>
      <c r="J26" s="316" t="s">
        <v>521</v>
      </c>
      <c r="K26" s="316"/>
    </row>
    <row r="27" spans="1:11" s="315" customFormat="1" x14ac:dyDescent="0.25">
      <c r="A27" s="309"/>
      <c r="B27" s="310" t="s">
        <v>249</v>
      </c>
      <c r="C27" s="311">
        <v>100</v>
      </c>
      <c r="D27" s="312"/>
      <c r="E27" s="313">
        <f t="shared" si="0"/>
        <v>100</v>
      </c>
      <c r="F27" s="311">
        <v>0</v>
      </c>
      <c r="G27" s="312">
        <f>200-100</f>
        <v>100</v>
      </c>
      <c r="H27" s="312"/>
      <c r="I27" s="316"/>
      <c r="J27" s="316" t="s">
        <v>521</v>
      </c>
      <c r="K27" s="316"/>
    </row>
    <row r="28" spans="1:11" s="315" customFormat="1" ht="31.5" x14ac:dyDescent="0.25">
      <c r="A28" s="309"/>
      <c r="B28" s="310" t="s">
        <v>571</v>
      </c>
      <c r="C28" s="311">
        <v>3500</v>
      </c>
      <c r="D28" s="317"/>
      <c r="E28" s="313">
        <f t="shared" si="0"/>
        <v>3500</v>
      </c>
      <c r="F28" s="311">
        <v>3500</v>
      </c>
      <c r="G28" s="317">
        <f>2500-2500</f>
        <v>0</v>
      </c>
      <c r="H28" s="317"/>
      <c r="I28" s="316"/>
      <c r="J28" s="316" t="s">
        <v>521</v>
      </c>
      <c r="K28" s="316"/>
    </row>
    <row r="29" spans="1:11" s="315" customFormat="1" x14ac:dyDescent="0.25">
      <c r="A29" s="309"/>
      <c r="B29" s="310" t="s">
        <v>572</v>
      </c>
      <c r="C29" s="311">
        <v>500</v>
      </c>
      <c r="D29" s="317"/>
      <c r="E29" s="313">
        <f t="shared" si="0"/>
        <v>500</v>
      </c>
      <c r="F29" s="311"/>
      <c r="G29" s="317">
        <f>1000-500</f>
        <v>500</v>
      </c>
      <c r="H29" s="317"/>
      <c r="I29" s="316"/>
      <c r="J29" s="316" t="s">
        <v>521</v>
      </c>
      <c r="K29" s="316"/>
    </row>
    <row r="30" spans="1:11" s="315" customFormat="1" ht="31.5" x14ac:dyDescent="0.25">
      <c r="A30" s="309"/>
      <c r="B30" s="310" t="s">
        <v>573</v>
      </c>
      <c r="C30" s="311">
        <v>1000</v>
      </c>
      <c r="D30" s="317"/>
      <c r="E30" s="313">
        <f t="shared" si="0"/>
        <v>1000</v>
      </c>
      <c r="F30" s="311"/>
      <c r="G30" s="317">
        <v>1000</v>
      </c>
      <c r="H30" s="317"/>
      <c r="I30" s="316"/>
      <c r="J30" s="316" t="s">
        <v>521</v>
      </c>
      <c r="K30" s="316"/>
    </row>
    <row r="31" spans="1:11" s="315" customFormat="1" ht="31.5" x14ac:dyDescent="0.25">
      <c r="A31" s="309"/>
      <c r="B31" s="310" t="s">
        <v>574</v>
      </c>
      <c r="C31" s="311">
        <v>4250</v>
      </c>
      <c r="D31" s="317"/>
      <c r="E31" s="313">
        <f t="shared" si="0"/>
        <v>4250</v>
      </c>
      <c r="F31" s="311"/>
      <c r="G31" s="317">
        <v>4250</v>
      </c>
      <c r="H31" s="317"/>
      <c r="I31" s="316"/>
      <c r="J31" s="316" t="s">
        <v>521</v>
      </c>
      <c r="K31" s="316"/>
    </row>
    <row r="32" spans="1:11" s="315" customFormat="1" ht="43.5" customHeight="1" x14ac:dyDescent="0.25">
      <c r="A32" s="309"/>
      <c r="B32" s="310" t="s">
        <v>575</v>
      </c>
      <c r="C32" s="311">
        <v>1000</v>
      </c>
      <c r="D32" s="317"/>
      <c r="E32" s="313">
        <f t="shared" si="0"/>
        <v>1000</v>
      </c>
      <c r="F32" s="311"/>
      <c r="G32" s="317">
        <f>5000-4000</f>
        <v>1000</v>
      </c>
      <c r="H32" s="317"/>
      <c r="I32" s="316"/>
      <c r="J32" s="316" t="s">
        <v>521</v>
      </c>
      <c r="K32" s="316"/>
    </row>
    <row r="33" spans="1:11" s="315" customFormat="1" x14ac:dyDescent="0.25">
      <c r="A33" s="309"/>
      <c r="B33" s="310" t="s">
        <v>576</v>
      </c>
      <c r="C33" s="311">
        <v>2371</v>
      </c>
      <c r="D33" s="317"/>
      <c r="E33" s="313">
        <f t="shared" si="0"/>
        <v>2371</v>
      </c>
      <c r="F33" s="311">
        <v>190</v>
      </c>
      <c r="G33" s="317">
        <f>7881-1000-4700</f>
        <v>2181</v>
      </c>
      <c r="H33" s="317"/>
      <c r="I33" s="316"/>
      <c r="J33" s="316" t="s">
        <v>521</v>
      </c>
      <c r="K33" s="316"/>
    </row>
    <row r="34" spans="1:11" s="315" customFormat="1" x14ac:dyDescent="0.25">
      <c r="A34" s="309"/>
      <c r="B34" s="310" t="s">
        <v>675</v>
      </c>
      <c r="C34" s="311">
        <v>6598</v>
      </c>
      <c r="D34" s="317">
        <v>1293</v>
      </c>
      <c r="E34" s="313">
        <f t="shared" si="0"/>
        <v>7891</v>
      </c>
      <c r="F34" s="311"/>
      <c r="G34" s="317">
        <f>6598+1293</f>
        <v>7891</v>
      </c>
      <c r="H34" s="317"/>
      <c r="I34" s="316"/>
      <c r="J34" s="316" t="s">
        <v>521</v>
      </c>
      <c r="K34" s="316"/>
    </row>
    <row r="35" spans="1:11" s="315" customFormat="1" ht="31.5" x14ac:dyDescent="0.25">
      <c r="A35" s="309"/>
      <c r="B35" s="310" t="s">
        <v>577</v>
      </c>
      <c r="C35" s="311">
        <v>600</v>
      </c>
      <c r="D35" s="317"/>
      <c r="E35" s="313">
        <f t="shared" si="0"/>
        <v>600</v>
      </c>
      <c r="F35" s="311"/>
      <c r="G35" s="317">
        <f>1200-600</f>
        <v>600</v>
      </c>
      <c r="H35" s="317"/>
      <c r="I35" s="316"/>
      <c r="J35" s="316" t="s">
        <v>521</v>
      </c>
      <c r="K35" s="316"/>
    </row>
    <row r="36" spans="1:11" s="315" customFormat="1" ht="31.5" customHeight="1" x14ac:dyDescent="0.25">
      <c r="A36" s="309"/>
      <c r="B36" s="558" t="s">
        <v>578</v>
      </c>
      <c r="C36" s="311">
        <v>60</v>
      </c>
      <c r="D36" s="317"/>
      <c r="E36" s="313">
        <f t="shared" si="0"/>
        <v>60</v>
      </c>
      <c r="F36" s="311">
        <v>60</v>
      </c>
      <c r="G36" s="317">
        <v>0</v>
      </c>
      <c r="H36" s="317"/>
      <c r="I36" s="316"/>
      <c r="J36" s="316" t="s">
        <v>521</v>
      </c>
      <c r="K36" s="316"/>
    </row>
    <row r="37" spans="1:11" s="315" customFormat="1" x14ac:dyDescent="0.25">
      <c r="A37" s="309"/>
      <c r="B37" s="310" t="s">
        <v>579</v>
      </c>
      <c r="C37" s="311">
        <v>2500</v>
      </c>
      <c r="D37" s="317">
        <v>2500</v>
      </c>
      <c r="E37" s="313">
        <f t="shared" ref="E37" si="2">SUM(C37:D37)</f>
        <v>5000</v>
      </c>
      <c r="F37" s="311"/>
      <c r="G37" s="317">
        <f>5000-2500+2500</f>
        <v>5000</v>
      </c>
      <c r="H37" s="317"/>
      <c r="I37" s="316"/>
      <c r="J37" s="316" t="s">
        <v>521</v>
      </c>
      <c r="K37" s="316"/>
    </row>
    <row r="38" spans="1:11" s="315" customFormat="1" x14ac:dyDescent="0.25">
      <c r="A38" s="309"/>
      <c r="B38" s="310" t="s">
        <v>580</v>
      </c>
      <c r="C38" s="311">
        <v>4771</v>
      </c>
      <c r="D38" s="317"/>
      <c r="E38" s="313">
        <f t="shared" ref="E38:E42" si="3">SUM(C38:D38)</f>
        <v>4771</v>
      </c>
      <c r="F38" s="311"/>
      <c r="G38" s="317">
        <f>7117-2346</f>
        <v>4771</v>
      </c>
      <c r="H38" s="317"/>
      <c r="I38" s="316"/>
      <c r="J38" s="316" t="s">
        <v>521</v>
      </c>
      <c r="K38" s="316"/>
    </row>
    <row r="39" spans="1:11" s="315" customFormat="1" x14ac:dyDescent="0.25">
      <c r="A39" s="309"/>
      <c r="B39" s="310" t="s">
        <v>581</v>
      </c>
      <c r="C39" s="311">
        <v>500</v>
      </c>
      <c r="D39" s="317"/>
      <c r="E39" s="313">
        <f t="shared" si="3"/>
        <v>500</v>
      </c>
      <c r="F39" s="311"/>
      <c r="G39" s="317">
        <f>1500-1000</f>
        <v>500</v>
      </c>
      <c r="H39" s="317"/>
      <c r="I39" s="316"/>
      <c r="J39" s="316" t="s">
        <v>521</v>
      </c>
      <c r="K39" s="316"/>
    </row>
    <row r="40" spans="1:11" s="315" customFormat="1" ht="31.5" x14ac:dyDescent="0.25">
      <c r="A40" s="309"/>
      <c r="B40" s="310" t="s">
        <v>582</v>
      </c>
      <c r="C40" s="311">
        <v>1880</v>
      </c>
      <c r="D40" s="317"/>
      <c r="E40" s="313">
        <f t="shared" si="3"/>
        <v>1880</v>
      </c>
      <c r="F40" s="311"/>
      <c r="G40" s="317">
        <v>1880</v>
      </c>
      <c r="H40" s="317"/>
      <c r="I40" s="316"/>
      <c r="J40" s="316" t="s">
        <v>521</v>
      </c>
      <c r="K40" s="316"/>
    </row>
    <row r="41" spans="1:11" s="315" customFormat="1" ht="31.5" x14ac:dyDescent="0.25">
      <c r="A41" s="309"/>
      <c r="B41" s="310" t="s">
        <v>583</v>
      </c>
      <c r="C41" s="311">
        <v>1000</v>
      </c>
      <c r="D41" s="317"/>
      <c r="E41" s="313">
        <f t="shared" si="3"/>
        <v>1000</v>
      </c>
      <c r="F41" s="311"/>
      <c r="G41" s="317">
        <f>1500-500</f>
        <v>1000</v>
      </c>
      <c r="H41" s="317"/>
      <c r="I41" s="316"/>
      <c r="J41" s="316" t="s">
        <v>521</v>
      </c>
      <c r="K41" s="316"/>
    </row>
    <row r="42" spans="1:11" s="315" customFormat="1" x14ac:dyDescent="0.25">
      <c r="A42" s="309"/>
      <c r="B42" s="310" t="s">
        <v>584</v>
      </c>
      <c r="C42" s="311">
        <v>0</v>
      </c>
      <c r="D42" s="317"/>
      <c r="E42" s="313">
        <f t="shared" si="3"/>
        <v>0</v>
      </c>
      <c r="F42" s="311"/>
      <c r="G42" s="317">
        <f>250-250</f>
        <v>0</v>
      </c>
      <c r="H42" s="317"/>
      <c r="I42" s="316"/>
      <c r="J42" s="316" t="s">
        <v>521</v>
      </c>
      <c r="K42" s="316"/>
    </row>
    <row r="43" spans="1:11" s="315" customFormat="1" x14ac:dyDescent="0.25">
      <c r="A43" s="309"/>
      <c r="B43" s="310" t="s">
        <v>585</v>
      </c>
      <c r="C43" s="311">
        <v>1000</v>
      </c>
      <c r="D43" s="317"/>
      <c r="E43" s="313">
        <f t="shared" si="0"/>
        <v>1000</v>
      </c>
      <c r="F43" s="311"/>
      <c r="G43" s="317">
        <f>3000-2000</f>
        <v>1000</v>
      </c>
      <c r="H43" s="317"/>
      <c r="I43" s="316"/>
      <c r="J43" s="316" t="s">
        <v>521</v>
      </c>
      <c r="K43" s="316"/>
    </row>
    <row r="44" spans="1:11" s="315" customFormat="1" ht="31.5" x14ac:dyDescent="0.25">
      <c r="A44" s="309"/>
      <c r="B44" s="310" t="s">
        <v>586</v>
      </c>
      <c r="C44" s="311">
        <v>1000</v>
      </c>
      <c r="D44" s="317"/>
      <c r="E44" s="313">
        <f t="shared" si="0"/>
        <v>1000</v>
      </c>
      <c r="F44" s="311"/>
      <c r="G44" s="317">
        <f>3000-2000</f>
        <v>1000</v>
      </c>
      <c r="H44" s="317"/>
      <c r="I44" s="316"/>
      <c r="J44" s="316" t="s">
        <v>521</v>
      </c>
      <c r="K44" s="316"/>
    </row>
    <row r="45" spans="1:11" s="315" customFormat="1" x14ac:dyDescent="0.25">
      <c r="A45" s="309"/>
      <c r="B45" s="310" t="s">
        <v>587</v>
      </c>
      <c r="C45" s="311">
        <f>24977+2081</f>
        <v>27058</v>
      </c>
      <c r="D45" s="317"/>
      <c r="E45" s="313">
        <f t="shared" si="0"/>
        <v>27058</v>
      </c>
      <c r="F45" s="311">
        <v>2081</v>
      </c>
      <c r="G45" s="317">
        <v>24977</v>
      </c>
      <c r="H45" s="317"/>
      <c r="I45" s="316"/>
      <c r="J45" s="316" t="s">
        <v>521</v>
      </c>
      <c r="K45" s="316"/>
    </row>
    <row r="46" spans="1:11" s="315" customFormat="1" x14ac:dyDescent="0.25">
      <c r="A46" s="309"/>
      <c r="B46" s="310" t="s">
        <v>588</v>
      </c>
      <c r="C46" s="311">
        <v>500</v>
      </c>
      <c r="D46" s="317"/>
      <c r="E46" s="313">
        <f t="shared" si="0"/>
        <v>500</v>
      </c>
      <c r="F46" s="311"/>
      <c r="G46" s="317">
        <f>2300-1800</f>
        <v>500</v>
      </c>
      <c r="H46" s="317"/>
      <c r="I46" s="316"/>
      <c r="J46" s="316" t="s">
        <v>521</v>
      </c>
      <c r="K46" s="316"/>
    </row>
    <row r="47" spans="1:11" s="315" customFormat="1" x14ac:dyDescent="0.25">
      <c r="A47" s="309"/>
      <c r="B47" s="310" t="s">
        <v>589</v>
      </c>
      <c r="C47" s="311">
        <v>1000</v>
      </c>
      <c r="D47" s="317"/>
      <c r="E47" s="313">
        <f t="shared" si="0"/>
        <v>1000</v>
      </c>
      <c r="F47" s="311"/>
      <c r="G47" s="317">
        <f>2000-1000</f>
        <v>1000</v>
      </c>
      <c r="H47" s="317"/>
      <c r="I47" s="316"/>
      <c r="J47" s="316" t="s">
        <v>521</v>
      </c>
      <c r="K47" s="316"/>
    </row>
    <row r="48" spans="1:11" s="315" customFormat="1" x14ac:dyDescent="0.25">
      <c r="A48" s="309"/>
      <c r="B48" s="310" t="s">
        <v>590</v>
      </c>
      <c r="C48" s="311">
        <v>0</v>
      </c>
      <c r="D48" s="317"/>
      <c r="E48" s="313">
        <f t="shared" si="0"/>
        <v>0</v>
      </c>
      <c r="F48" s="311"/>
      <c r="G48" s="317">
        <f>500-500</f>
        <v>0</v>
      </c>
      <c r="H48" s="317"/>
      <c r="I48" s="316"/>
      <c r="J48" s="316" t="s">
        <v>521</v>
      </c>
      <c r="K48" s="316"/>
    </row>
    <row r="49" spans="1:11" s="315" customFormat="1" ht="31.5" x14ac:dyDescent="0.25">
      <c r="A49" s="309"/>
      <c r="B49" s="310" t="s">
        <v>591</v>
      </c>
      <c r="C49" s="311">
        <v>300</v>
      </c>
      <c r="D49" s="317"/>
      <c r="E49" s="313">
        <f t="shared" si="0"/>
        <v>300</v>
      </c>
      <c r="F49" s="311"/>
      <c r="G49" s="317">
        <v>300</v>
      </c>
      <c r="H49" s="317"/>
      <c r="I49" s="316"/>
      <c r="J49" s="316" t="s">
        <v>521</v>
      </c>
      <c r="K49" s="316"/>
    </row>
    <row r="50" spans="1:11" s="315" customFormat="1" x14ac:dyDescent="0.25">
      <c r="A50" s="309"/>
      <c r="B50" s="310" t="s">
        <v>592</v>
      </c>
      <c r="C50" s="311">
        <v>1000</v>
      </c>
      <c r="D50" s="317"/>
      <c r="E50" s="313">
        <f t="shared" si="0"/>
        <v>1000</v>
      </c>
      <c r="F50" s="311"/>
      <c r="G50" s="317">
        <f>2483-1000-483</f>
        <v>1000</v>
      </c>
      <c r="H50" s="317"/>
      <c r="I50" s="316"/>
      <c r="J50" s="316" t="s">
        <v>521</v>
      </c>
      <c r="K50" s="316"/>
    </row>
    <row r="51" spans="1:11" s="315" customFormat="1" x14ac:dyDescent="0.25">
      <c r="A51" s="309"/>
      <c r="B51" s="310" t="s">
        <v>593</v>
      </c>
      <c r="C51" s="311">
        <v>90000</v>
      </c>
      <c r="D51" s="317">
        <v>12000</v>
      </c>
      <c r="E51" s="313">
        <f t="shared" si="0"/>
        <v>102000</v>
      </c>
      <c r="F51" s="311"/>
      <c r="G51" s="317">
        <f>100000-10000+12000</f>
        <v>102000</v>
      </c>
      <c r="H51" s="317"/>
      <c r="I51" s="316"/>
      <c r="J51" s="316" t="s">
        <v>521</v>
      </c>
      <c r="K51" s="316"/>
    </row>
    <row r="52" spans="1:11" s="315" customFormat="1" x14ac:dyDescent="0.25">
      <c r="A52" s="309"/>
      <c r="B52" s="310" t="s">
        <v>594</v>
      </c>
      <c r="C52" s="311">
        <v>0</v>
      </c>
      <c r="D52" s="317"/>
      <c r="E52" s="313">
        <f t="shared" si="0"/>
        <v>0</v>
      </c>
      <c r="F52" s="311"/>
      <c r="G52" s="317">
        <v>0</v>
      </c>
      <c r="H52" s="317"/>
      <c r="I52" s="316"/>
      <c r="J52" s="316" t="s">
        <v>521</v>
      </c>
      <c r="K52" s="316"/>
    </row>
    <row r="53" spans="1:11" s="315" customFormat="1" x14ac:dyDescent="0.25">
      <c r="A53" s="309"/>
      <c r="B53" s="310" t="s">
        <v>595</v>
      </c>
      <c r="C53" s="311">
        <v>1000</v>
      </c>
      <c r="D53" s="317"/>
      <c r="E53" s="313">
        <f t="shared" si="0"/>
        <v>1000</v>
      </c>
      <c r="F53" s="311"/>
      <c r="G53" s="317">
        <v>1000</v>
      </c>
      <c r="H53" s="317"/>
      <c r="I53" s="316"/>
      <c r="J53" s="316" t="s">
        <v>521</v>
      </c>
      <c r="K53" s="316"/>
    </row>
    <row r="54" spans="1:11" s="315" customFormat="1" ht="31.5" x14ac:dyDescent="0.25">
      <c r="A54" s="309"/>
      <c r="B54" s="310" t="s">
        <v>596</v>
      </c>
      <c r="C54" s="311">
        <v>1000</v>
      </c>
      <c r="D54" s="317"/>
      <c r="E54" s="313">
        <f t="shared" si="0"/>
        <v>1000</v>
      </c>
      <c r="F54" s="311"/>
      <c r="G54" s="317">
        <v>1000</v>
      </c>
      <c r="H54" s="317"/>
      <c r="I54" s="316"/>
      <c r="J54" s="316" t="s">
        <v>521</v>
      </c>
      <c r="K54" s="316"/>
    </row>
    <row r="55" spans="1:11" s="315" customFormat="1" ht="31.5" x14ac:dyDescent="0.25">
      <c r="A55" s="309"/>
      <c r="B55" s="310" t="s">
        <v>676</v>
      </c>
      <c r="C55" s="311">
        <v>1000</v>
      </c>
      <c r="D55" s="317"/>
      <c r="E55" s="313">
        <f t="shared" si="0"/>
        <v>1000</v>
      </c>
      <c r="F55" s="311"/>
      <c r="G55" s="317">
        <v>1000</v>
      </c>
      <c r="H55" s="317"/>
      <c r="I55" s="316"/>
      <c r="J55" s="316" t="s">
        <v>521</v>
      </c>
      <c r="K55" s="316"/>
    </row>
    <row r="56" spans="1:11" s="315" customFormat="1" x14ac:dyDescent="0.25">
      <c r="A56" s="309"/>
      <c r="B56" s="310" t="s">
        <v>597</v>
      </c>
      <c r="C56" s="311">
        <v>2000</v>
      </c>
      <c r="D56" s="317">
        <v>2000</v>
      </c>
      <c r="E56" s="313">
        <f t="shared" si="0"/>
        <v>4000</v>
      </c>
      <c r="F56" s="311"/>
      <c r="G56" s="317">
        <f>2000+2000</f>
        <v>4000</v>
      </c>
      <c r="H56" s="317"/>
      <c r="I56" s="316"/>
      <c r="J56" s="316" t="s">
        <v>521</v>
      </c>
      <c r="K56" s="316"/>
    </row>
    <row r="57" spans="1:11" s="315" customFormat="1" x14ac:dyDescent="0.25">
      <c r="A57" s="309"/>
      <c r="B57" s="310" t="s">
        <v>677</v>
      </c>
      <c r="C57" s="311">
        <v>3000</v>
      </c>
      <c r="D57" s="317"/>
      <c r="E57" s="313">
        <f t="shared" si="0"/>
        <v>3000</v>
      </c>
      <c r="F57" s="311"/>
      <c r="G57" s="317">
        <f>12500-4500-5000</f>
        <v>3000</v>
      </c>
      <c r="H57" s="317"/>
      <c r="I57" s="316"/>
      <c r="J57" s="316" t="s">
        <v>521</v>
      </c>
      <c r="K57" s="316"/>
    </row>
    <row r="58" spans="1:11" s="315" customFormat="1" x14ac:dyDescent="0.25">
      <c r="A58" s="309"/>
      <c r="B58" s="310" t="s">
        <v>678</v>
      </c>
      <c r="C58" s="311">
        <v>1000</v>
      </c>
      <c r="D58" s="317">
        <v>1000</v>
      </c>
      <c r="E58" s="313">
        <f t="shared" si="0"/>
        <v>2000</v>
      </c>
      <c r="F58" s="311"/>
      <c r="G58" s="317">
        <f>1000+1000</f>
        <v>2000</v>
      </c>
      <c r="H58" s="317"/>
      <c r="I58" s="316"/>
      <c r="J58" s="316" t="s">
        <v>521</v>
      </c>
      <c r="K58" s="316"/>
    </row>
    <row r="59" spans="1:11" s="315" customFormat="1" ht="31.5" x14ac:dyDescent="0.25">
      <c r="A59" s="309"/>
      <c r="B59" s="310" t="s">
        <v>679</v>
      </c>
      <c r="C59" s="311">
        <v>3369</v>
      </c>
      <c r="D59" s="317">
        <v>233</v>
      </c>
      <c r="E59" s="313">
        <f t="shared" si="0"/>
        <v>3602</v>
      </c>
      <c r="F59" s="311"/>
      <c r="G59" s="317">
        <f>3369+233</f>
        <v>3602</v>
      </c>
      <c r="H59" s="317"/>
      <c r="I59" s="316"/>
      <c r="J59" s="316" t="s">
        <v>521</v>
      </c>
      <c r="K59" s="316"/>
    </row>
    <row r="60" spans="1:11" s="315" customFormat="1" ht="31.5" x14ac:dyDescent="0.25">
      <c r="A60" s="309"/>
      <c r="B60" s="310" t="s">
        <v>680</v>
      </c>
      <c r="C60" s="311">
        <v>0</v>
      </c>
      <c r="D60" s="317"/>
      <c r="E60" s="313">
        <f t="shared" ref="E60" si="4">SUM(C60:D60)</f>
        <v>0</v>
      </c>
      <c r="F60" s="311"/>
      <c r="G60" s="317">
        <f>5000-5000</f>
        <v>0</v>
      </c>
      <c r="H60" s="317"/>
      <c r="I60" s="316"/>
      <c r="J60" s="316" t="s">
        <v>521</v>
      </c>
      <c r="K60" s="316"/>
    </row>
    <row r="61" spans="1:11" s="315" customFormat="1" x14ac:dyDescent="0.25">
      <c r="A61" s="309"/>
      <c r="B61" s="310" t="s">
        <v>1117</v>
      </c>
      <c r="C61" s="311">
        <v>0</v>
      </c>
      <c r="D61" s="317">
        <v>10000</v>
      </c>
      <c r="E61" s="313">
        <f t="shared" ref="E61" si="5">SUM(C61:D61)</f>
        <v>10000</v>
      </c>
      <c r="F61" s="311"/>
      <c r="G61" s="317">
        <v>10000</v>
      </c>
      <c r="H61" s="317"/>
      <c r="I61" s="316"/>
      <c r="J61" s="316" t="s">
        <v>521</v>
      </c>
      <c r="K61" s="316"/>
    </row>
    <row r="62" spans="1:11" s="315" customFormat="1" x14ac:dyDescent="0.25">
      <c r="A62" s="309"/>
      <c r="B62" s="310" t="s">
        <v>1043</v>
      </c>
      <c r="C62" s="311">
        <v>0</v>
      </c>
      <c r="D62" s="317">
        <f>110470-30000</f>
        <v>80470</v>
      </c>
      <c r="E62" s="313">
        <f t="shared" si="0"/>
        <v>80470</v>
      </c>
      <c r="F62" s="311"/>
      <c r="G62" s="317">
        <f>110470-30000</f>
        <v>80470</v>
      </c>
      <c r="H62" s="317"/>
      <c r="I62" s="316"/>
      <c r="J62" s="316" t="s">
        <v>521</v>
      </c>
      <c r="K62" s="316"/>
    </row>
    <row r="63" spans="1:11" s="315" customFormat="1" ht="31.5" x14ac:dyDescent="0.25">
      <c r="A63" s="309"/>
      <c r="B63" s="310" t="s">
        <v>991</v>
      </c>
      <c r="C63" s="311">
        <v>7289</v>
      </c>
      <c r="D63" s="317">
        <f>7439+3953</f>
        <v>11392</v>
      </c>
      <c r="E63" s="313">
        <f t="shared" si="0"/>
        <v>18681</v>
      </c>
      <c r="F63" s="311"/>
      <c r="G63" s="317">
        <f>7289+7439+3953</f>
        <v>18681</v>
      </c>
      <c r="H63" s="317"/>
      <c r="I63" s="316"/>
      <c r="J63" s="316" t="s">
        <v>521</v>
      </c>
      <c r="K63" s="316"/>
    </row>
    <row r="64" spans="1:11" x14ac:dyDescent="0.25">
      <c r="A64" s="304"/>
      <c r="B64" s="463" t="s">
        <v>103</v>
      </c>
      <c r="C64" s="464">
        <v>11662</v>
      </c>
      <c r="D64" s="464">
        <f>D65+D66+D67+D68</f>
        <v>0</v>
      </c>
      <c r="E64" s="464">
        <f t="shared" si="0"/>
        <v>11662</v>
      </c>
      <c r="F64" s="464">
        <f>SUM(F65:F68)</f>
        <v>0</v>
      </c>
      <c r="G64" s="464">
        <f>SUM(G65:G68)</f>
        <v>11662</v>
      </c>
      <c r="H64" s="464">
        <f t="shared" ref="H64" si="6">SUM(H65:H67)</f>
        <v>0</v>
      </c>
      <c r="I64" s="413"/>
      <c r="J64" s="413" t="s">
        <v>521</v>
      </c>
      <c r="K64" s="413"/>
    </row>
    <row r="65" spans="1:11" x14ac:dyDescent="0.25">
      <c r="A65" s="304"/>
      <c r="B65" s="318" t="s">
        <v>114</v>
      </c>
      <c r="C65" s="319">
        <v>8053</v>
      </c>
      <c r="D65" s="319">
        <v>0</v>
      </c>
      <c r="E65" s="319">
        <f t="shared" si="0"/>
        <v>8053</v>
      </c>
      <c r="F65" s="319"/>
      <c r="G65" s="319">
        <f>18053-5000-5000</f>
        <v>8053</v>
      </c>
      <c r="H65" s="319"/>
      <c r="I65" s="320"/>
      <c r="J65" s="320" t="s">
        <v>521</v>
      </c>
      <c r="K65" s="320"/>
    </row>
    <row r="66" spans="1:11" x14ac:dyDescent="0.25">
      <c r="A66" s="304"/>
      <c r="B66" s="318" t="s">
        <v>115</v>
      </c>
      <c r="C66" s="319">
        <v>1109</v>
      </c>
      <c r="D66" s="319"/>
      <c r="E66" s="319">
        <f t="shared" si="0"/>
        <v>1109</v>
      </c>
      <c r="F66" s="319"/>
      <c r="G66" s="319">
        <v>1109</v>
      </c>
      <c r="H66" s="319"/>
      <c r="I66" s="320"/>
      <c r="J66" s="320" t="s">
        <v>521</v>
      </c>
      <c r="K66" s="320"/>
    </row>
    <row r="67" spans="1:11" x14ac:dyDescent="0.25">
      <c r="A67" s="304"/>
      <c r="B67" s="318" t="s">
        <v>116</v>
      </c>
      <c r="C67" s="319">
        <v>2500</v>
      </c>
      <c r="D67" s="319"/>
      <c r="E67" s="319">
        <f t="shared" si="0"/>
        <v>2500</v>
      </c>
      <c r="F67" s="319"/>
      <c r="G67" s="319">
        <v>2500</v>
      </c>
      <c r="H67" s="319"/>
      <c r="I67" s="320"/>
      <c r="J67" s="320" t="s">
        <v>521</v>
      </c>
      <c r="K67" s="320"/>
    </row>
    <row r="68" spans="1:11" x14ac:dyDescent="0.25">
      <c r="A68" s="304"/>
      <c r="B68" s="318" t="s">
        <v>681</v>
      </c>
      <c r="C68" s="319">
        <v>0</v>
      </c>
      <c r="D68" s="319"/>
      <c r="E68" s="319">
        <f t="shared" si="0"/>
        <v>0</v>
      </c>
      <c r="F68" s="319"/>
      <c r="G68" s="319">
        <f>-1000+1000</f>
        <v>0</v>
      </c>
      <c r="H68" s="319"/>
      <c r="I68" s="320"/>
      <c r="J68" s="320" t="s">
        <v>521</v>
      </c>
      <c r="K68" s="320"/>
    </row>
    <row r="69" spans="1:11" x14ac:dyDescent="0.25">
      <c r="A69" s="304"/>
      <c r="B69" s="463" t="s">
        <v>126</v>
      </c>
      <c r="C69" s="464">
        <v>7541</v>
      </c>
      <c r="D69" s="464">
        <v>482</v>
      </c>
      <c r="E69" s="464">
        <f t="shared" si="0"/>
        <v>8023</v>
      </c>
      <c r="F69" s="464">
        <v>0</v>
      </c>
      <c r="G69" s="464">
        <f>7488+53+482</f>
        <v>8023</v>
      </c>
      <c r="H69" s="464"/>
      <c r="I69" s="413" t="s">
        <v>521</v>
      </c>
      <c r="J69" s="413" t="s">
        <v>521</v>
      </c>
      <c r="K69" s="413"/>
    </row>
    <row r="70" spans="1:11" x14ac:dyDescent="0.25">
      <c r="A70" s="304"/>
      <c r="B70" s="308" t="s">
        <v>81</v>
      </c>
      <c r="C70" s="306">
        <v>316819</v>
      </c>
      <c r="D70" s="306">
        <v>0</v>
      </c>
      <c r="E70" s="306">
        <f t="shared" si="0"/>
        <v>316819</v>
      </c>
      <c r="F70" s="306">
        <v>190</v>
      </c>
      <c r="G70" s="306">
        <f>328241+2450-14062</f>
        <v>316629</v>
      </c>
      <c r="H70" s="306"/>
      <c r="I70" s="307" t="s">
        <v>521</v>
      </c>
      <c r="J70" s="307" t="s">
        <v>521</v>
      </c>
      <c r="K70" s="307"/>
    </row>
    <row r="71" spans="1:11" x14ac:dyDescent="0.25">
      <c r="A71" s="304"/>
      <c r="B71" s="308" t="s">
        <v>82</v>
      </c>
      <c r="C71" s="306">
        <v>341254</v>
      </c>
      <c r="D71" s="306">
        <v>0</v>
      </c>
      <c r="E71" s="306">
        <f t="shared" ref="E71" si="7">E72+E73</f>
        <v>341142</v>
      </c>
      <c r="F71" s="306">
        <v>0</v>
      </c>
      <c r="G71" s="306">
        <f>370565+100000-29311-100000</f>
        <v>341254</v>
      </c>
      <c r="H71" s="306"/>
      <c r="I71" s="307" t="s">
        <v>521</v>
      </c>
      <c r="J71" s="307"/>
      <c r="K71" s="307"/>
    </row>
    <row r="72" spans="1:11" x14ac:dyDescent="0.25">
      <c r="A72" s="304"/>
      <c r="B72" s="318" t="s">
        <v>104</v>
      </c>
      <c r="C72" s="319">
        <v>254732</v>
      </c>
      <c r="D72" s="319">
        <v>0</v>
      </c>
      <c r="E72" s="319">
        <f t="shared" si="0"/>
        <v>254732</v>
      </c>
      <c r="F72" s="319"/>
      <c r="G72" s="460">
        <f>254732+100000-100000</f>
        <v>254732</v>
      </c>
      <c r="H72" s="319"/>
      <c r="I72" s="320" t="s">
        <v>521</v>
      </c>
      <c r="J72" s="320"/>
      <c r="K72" s="320"/>
    </row>
    <row r="73" spans="1:11" x14ac:dyDescent="0.25">
      <c r="A73" s="304"/>
      <c r="B73" s="321" t="s">
        <v>598</v>
      </c>
      <c r="C73" s="319">
        <v>86410</v>
      </c>
      <c r="D73" s="319">
        <v>0</v>
      </c>
      <c r="E73" s="319">
        <f t="shared" si="0"/>
        <v>86410</v>
      </c>
      <c r="F73" s="319"/>
      <c r="G73" s="319">
        <f>115721-29311</f>
        <v>86410</v>
      </c>
      <c r="H73" s="319"/>
      <c r="I73" s="320" t="s">
        <v>521</v>
      </c>
      <c r="J73" s="320"/>
      <c r="K73" s="320"/>
    </row>
    <row r="74" spans="1:11" x14ac:dyDescent="0.25">
      <c r="A74" s="304"/>
      <c r="B74" s="308" t="s">
        <v>105</v>
      </c>
      <c r="C74" s="306">
        <f>C75+C76+C77+C78+C79</f>
        <v>16845</v>
      </c>
      <c r="D74" s="306">
        <f>D75+D76+D77+D78+D79</f>
        <v>0</v>
      </c>
      <c r="E74" s="306">
        <f t="shared" si="0"/>
        <v>16845</v>
      </c>
      <c r="F74" s="306">
        <f>F75+F76+F77+F78+F79</f>
        <v>0</v>
      </c>
      <c r="G74" s="306">
        <f>G75+G76+G77+G78+G79</f>
        <v>16845</v>
      </c>
      <c r="H74" s="306"/>
      <c r="I74" s="307"/>
      <c r="J74" s="307" t="s">
        <v>521</v>
      </c>
      <c r="K74" s="307"/>
    </row>
    <row r="75" spans="1:11" x14ac:dyDescent="0.25">
      <c r="A75" s="304"/>
      <c r="B75" s="318" t="s">
        <v>458</v>
      </c>
      <c r="C75" s="319">
        <v>0</v>
      </c>
      <c r="D75" s="319"/>
      <c r="E75" s="319">
        <f t="shared" si="0"/>
        <v>0</v>
      </c>
      <c r="F75" s="319"/>
      <c r="G75" s="319">
        <f>10000-10000</f>
        <v>0</v>
      </c>
      <c r="H75" s="319"/>
      <c r="I75" s="320"/>
      <c r="J75" s="320" t="s">
        <v>521</v>
      </c>
      <c r="K75" s="320"/>
    </row>
    <row r="76" spans="1:11" ht="31.5" x14ac:dyDescent="0.25">
      <c r="A76" s="304"/>
      <c r="B76" s="318" t="s">
        <v>523</v>
      </c>
      <c r="C76" s="319">
        <v>0</v>
      </c>
      <c r="D76" s="319"/>
      <c r="E76" s="319">
        <f t="shared" si="0"/>
        <v>0</v>
      </c>
      <c r="F76" s="319"/>
      <c r="G76" s="319">
        <f>20000-20000</f>
        <v>0</v>
      </c>
      <c r="H76" s="319"/>
      <c r="I76" s="320"/>
      <c r="J76" s="320" t="s">
        <v>521</v>
      </c>
      <c r="K76" s="320"/>
    </row>
    <row r="77" spans="1:11" ht="31.5" x14ac:dyDescent="0.25">
      <c r="A77" s="304"/>
      <c r="B77" s="318" t="s">
        <v>775</v>
      </c>
      <c r="C77" s="319">
        <v>2500</v>
      </c>
      <c r="D77" s="319"/>
      <c r="E77" s="319">
        <f t="shared" si="0"/>
        <v>2500</v>
      </c>
      <c r="F77" s="319"/>
      <c r="G77" s="319">
        <v>2500</v>
      </c>
      <c r="H77" s="319"/>
      <c r="I77" s="320"/>
      <c r="J77" s="320" t="s">
        <v>521</v>
      </c>
      <c r="K77" s="320"/>
    </row>
    <row r="78" spans="1:11" ht="31.5" x14ac:dyDescent="0.25">
      <c r="A78" s="304"/>
      <c r="B78" s="318" t="s">
        <v>459</v>
      </c>
      <c r="C78" s="319">
        <v>14345</v>
      </c>
      <c r="D78" s="319"/>
      <c r="E78" s="319">
        <f t="shared" si="0"/>
        <v>14345</v>
      </c>
      <c r="F78" s="319"/>
      <c r="G78" s="319">
        <f>38000-23655</f>
        <v>14345</v>
      </c>
      <c r="H78" s="319"/>
      <c r="I78" s="320"/>
      <c r="J78" s="320" t="s">
        <v>521</v>
      </c>
      <c r="K78" s="320"/>
    </row>
    <row r="79" spans="1:11" x14ac:dyDescent="0.25">
      <c r="A79" s="304"/>
      <c r="B79" s="318" t="s">
        <v>233</v>
      </c>
      <c r="C79" s="319">
        <v>0</v>
      </c>
      <c r="D79" s="319"/>
      <c r="E79" s="319">
        <f t="shared" si="0"/>
        <v>0</v>
      </c>
      <c r="F79" s="319"/>
      <c r="G79" s="319">
        <f>15000-15000</f>
        <v>0</v>
      </c>
      <c r="H79" s="319"/>
      <c r="I79" s="320"/>
      <c r="J79" s="320" t="s">
        <v>521</v>
      </c>
      <c r="K79" s="320"/>
    </row>
    <row r="80" spans="1:11" x14ac:dyDescent="0.25">
      <c r="A80" s="304" t="s">
        <v>106</v>
      </c>
      <c r="B80" s="305" t="s">
        <v>107</v>
      </c>
      <c r="C80" s="322">
        <f t="shared" ref="C80:H80" si="8">SUM(C81:C82)+C84</f>
        <v>873771</v>
      </c>
      <c r="D80" s="322">
        <f t="shared" si="8"/>
        <v>-13352</v>
      </c>
      <c r="E80" s="322">
        <f t="shared" si="8"/>
        <v>860419</v>
      </c>
      <c r="F80" s="322">
        <f t="shared" si="8"/>
        <v>86</v>
      </c>
      <c r="G80" s="322">
        <f t="shared" si="8"/>
        <v>1367847</v>
      </c>
      <c r="H80" s="322">
        <f t="shared" si="8"/>
        <v>-507514</v>
      </c>
      <c r="I80" s="323" t="s">
        <v>521</v>
      </c>
      <c r="J80" s="323"/>
      <c r="K80" s="323"/>
    </row>
    <row r="81" spans="1:12" x14ac:dyDescent="0.25">
      <c r="A81" s="304"/>
      <c r="B81" s="463" t="s">
        <v>234</v>
      </c>
      <c r="C81" s="464">
        <v>15000</v>
      </c>
      <c r="D81" s="464"/>
      <c r="E81" s="464">
        <f t="shared" si="0"/>
        <v>15000</v>
      </c>
      <c r="F81" s="464"/>
      <c r="G81" s="464">
        <v>15000</v>
      </c>
      <c r="H81" s="464"/>
      <c r="I81" s="413" t="s">
        <v>521</v>
      </c>
      <c r="J81" s="413"/>
      <c r="K81" s="413"/>
    </row>
    <row r="82" spans="1:12" x14ac:dyDescent="0.25">
      <c r="A82" s="304"/>
      <c r="B82" s="463" t="s">
        <v>83</v>
      </c>
      <c r="C82" s="464">
        <v>205086</v>
      </c>
      <c r="D82" s="464"/>
      <c r="E82" s="464">
        <f t="shared" si="0"/>
        <v>205086</v>
      </c>
      <c r="F82" s="464">
        <v>86</v>
      </c>
      <c r="G82" s="464">
        <f>185000+20000</f>
        <v>205000</v>
      </c>
      <c r="H82" s="464"/>
      <c r="I82" s="413" t="s">
        <v>521</v>
      </c>
      <c r="J82" s="413"/>
      <c r="K82" s="413"/>
    </row>
    <row r="83" spans="1:12" x14ac:dyDescent="0.25">
      <c r="A83" s="304"/>
      <c r="B83" s="318" t="s">
        <v>682</v>
      </c>
      <c r="C83" s="324">
        <v>200000</v>
      </c>
      <c r="D83" s="324"/>
      <c r="E83" s="324">
        <f t="shared" ref="E83" si="9">SUM(C83:D83)</f>
        <v>200000</v>
      </c>
      <c r="F83" s="324"/>
      <c r="G83" s="324">
        <f>180000+20000</f>
        <v>200000</v>
      </c>
      <c r="H83" s="324"/>
      <c r="I83" s="325" t="s">
        <v>521</v>
      </c>
      <c r="J83" s="325"/>
      <c r="K83" s="325"/>
    </row>
    <row r="84" spans="1:12" x14ac:dyDescent="0.25">
      <c r="A84" s="304"/>
      <c r="B84" s="901" t="s">
        <v>999</v>
      </c>
      <c r="C84" s="464">
        <v>653685</v>
      </c>
      <c r="D84" s="464">
        <f>7664-844-10000+1114+6210+2601+697-8085+10000-22709</f>
        <v>-13352</v>
      </c>
      <c r="E84" s="464">
        <f t="shared" si="0"/>
        <v>640333</v>
      </c>
      <c r="F84" s="464"/>
      <c r="G84" s="324">
        <f>61100+1332200-100000-200000+22109+12013+2349+634+7664-844+1114+6210+2601+697</f>
        <v>1147847</v>
      </c>
      <c r="H84" s="464">
        <f>-55392-28624-21704-1000-200000-100000-20000-50000-10000-8085+10000-22709</f>
        <v>-507514</v>
      </c>
      <c r="I84" s="413" t="s">
        <v>521</v>
      </c>
      <c r="J84" s="413"/>
      <c r="K84" s="413"/>
    </row>
    <row r="85" spans="1:12" x14ac:dyDescent="0.25">
      <c r="A85" s="304" t="s">
        <v>108</v>
      </c>
      <c r="B85" s="308" t="s">
        <v>317</v>
      </c>
      <c r="C85" s="322">
        <f t="shared" ref="C85:D85" si="10">SUM(C86:C89)</f>
        <v>30310021</v>
      </c>
      <c r="D85" s="322">
        <f t="shared" si="10"/>
        <v>-1727073</v>
      </c>
      <c r="E85" s="322">
        <f t="shared" si="0"/>
        <v>28582948</v>
      </c>
      <c r="F85" s="322">
        <f>SUM(F86:F89)</f>
        <v>247705</v>
      </c>
      <c r="G85" s="322">
        <f t="shared" ref="G85:H85" si="11">SUM(G86:G89)</f>
        <v>28335243</v>
      </c>
      <c r="H85" s="322">
        <f t="shared" si="11"/>
        <v>0</v>
      </c>
      <c r="I85" s="323" t="s">
        <v>521</v>
      </c>
      <c r="J85" s="323" t="s">
        <v>521</v>
      </c>
      <c r="K85" s="323"/>
    </row>
    <row r="86" spans="1:12" ht="33" customHeight="1" x14ac:dyDescent="0.25">
      <c r="A86" s="304"/>
      <c r="B86" s="326" t="s">
        <v>683</v>
      </c>
      <c r="C86" s="464">
        <v>1631094</v>
      </c>
      <c r="D86" s="464">
        <f>889-889-6550+6550-6162+6162+70000+635+29050+16263+7500+7500-7294-343141-61322</f>
        <v>-280809</v>
      </c>
      <c r="E86" s="464">
        <f t="shared" si="0"/>
        <v>1350285</v>
      </c>
      <c r="F86" s="464">
        <v>75420</v>
      </c>
      <c r="G86" s="464">
        <f>2112637-470629-86334+70000+635+29050+16263+7500+7500-7294-343141-61322</f>
        <v>1274865</v>
      </c>
      <c r="H86" s="464"/>
      <c r="I86" s="413" t="s">
        <v>521</v>
      </c>
      <c r="J86" s="413"/>
      <c r="K86" s="413"/>
    </row>
    <row r="87" spans="1:12" x14ac:dyDescent="0.25">
      <c r="A87" s="304"/>
      <c r="B87" s="326" t="s">
        <v>84</v>
      </c>
      <c r="C87" s="464">
        <v>27582978</v>
      </c>
      <c r="D87" s="464">
        <f>-35000+35000+270583-4420+225739-64873+13500+21667+116134+5000+3240+143082+19685+89801+36697+56000+140000+5825-1585413-8279-2883-7685-1316538-195633-62420+875000+18360</f>
        <v>-1207831</v>
      </c>
      <c r="E87" s="464">
        <f t="shared" si="0"/>
        <v>26375147</v>
      </c>
      <c r="F87" s="464">
        <v>154059</v>
      </c>
      <c r="G87" s="464">
        <f>29117311-708431+6375-399837+4+784+18000-605287+270583-4420+225739-64873+13500+21667+116134+5000+3240+143082+19685+89801+36697+56000+140000+5825-1585413-8279-2883-7685-1316538-195633-62420+875000+18360</f>
        <v>26221088</v>
      </c>
      <c r="H87" s="464"/>
      <c r="I87" s="413" t="s">
        <v>521</v>
      </c>
      <c r="J87" s="413" t="s">
        <v>521</v>
      </c>
      <c r="K87" s="413"/>
    </row>
    <row r="88" spans="1:12" x14ac:dyDescent="0.25">
      <c r="A88" s="304"/>
      <c r="B88" s="326" t="s">
        <v>460</v>
      </c>
      <c r="C88" s="464">
        <v>1080120</v>
      </c>
      <c r="D88" s="464">
        <f>-241300+51+816+2000</f>
        <v>-238433</v>
      </c>
      <c r="E88" s="464">
        <f t="shared" si="0"/>
        <v>841687</v>
      </c>
      <c r="F88" s="464">
        <v>18226</v>
      </c>
      <c r="G88" s="464">
        <f>1282395-95000-25650-99851-241300+51+816+2000</f>
        <v>823461</v>
      </c>
      <c r="H88" s="464"/>
      <c r="I88" s="413" t="s">
        <v>521</v>
      </c>
      <c r="J88" s="413"/>
      <c r="K88" s="413"/>
    </row>
    <row r="89" spans="1:12" x14ac:dyDescent="0.25">
      <c r="A89" s="304"/>
      <c r="B89" s="326" t="s">
        <v>110</v>
      </c>
      <c r="C89" s="464">
        <v>15829</v>
      </c>
      <c r="D89" s="464"/>
      <c r="E89" s="464">
        <f t="shared" si="0"/>
        <v>15829</v>
      </c>
      <c r="F89" s="464">
        <v>0</v>
      </c>
      <c r="G89" s="464">
        <v>15829</v>
      </c>
      <c r="H89" s="464"/>
      <c r="I89" s="413" t="s">
        <v>521</v>
      </c>
      <c r="J89" s="413"/>
      <c r="K89" s="413"/>
    </row>
    <row r="90" spans="1:12" x14ac:dyDescent="0.25">
      <c r="A90" s="304" t="s">
        <v>85</v>
      </c>
      <c r="B90" s="308" t="s">
        <v>64</v>
      </c>
      <c r="C90" s="306">
        <f>SUM(C94,C91)</f>
        <v>2104443</v>
      </c>
      <c r="D90" s="306">
        <f>SUM(D94,D91)</f>
        <v>-46465</v>
      </c>
      <c r="E90" s="306">
        <f t="shared" si="0"/>
        <v>2057978</v>
      </c>
      <c r="F90" s="306">
        <f>SUM(F94,F91)</f>
        <v>26277</v>
      </c>
      <c r="G90" s="306">
        <f>SUM(G94,G91)</f>
        <v>2031701</v>
      </c>
      <c r="H90" s="306">
        <f>SUM(H94,H91)</f>
        <v>0</v>
      </c>
      <c r="I90" s="307" t="s">
        <v>521</v>
      </c>
      <c r="J90" s="307" t="s">
        <v>521</v>
      </c>
      <c r="K90" s="307"/>
    </row>
    <row r="91" spans="1:12" x14ac:dyDescent="0.25">
      <c r="A91" s="304"/>
      <c r="B91" s="901" t="s">
        <v>86</v>
      </c>
      <c r="C91" s="464">
        <v>2094443</v>
      </c>
      <c r="D91" s="464">
        <f>3000+80-4000-55000+613+5+2087+6750</f>
        <v>-46465</v>
      </c>
      <c r="E91" s="464">
        <f t="shared" si="0"/>
        <v>2047978</v>
      </c>
      <c r="F91" s="464">
        <v>26277</v>
      </c>
      <c r="G91" s="464">
        <f>2112516+200000+50+2749-200000+224+12+11-47396+3000+80-4000-55000+613+5+2087+6750</f>
        <v>2021701</v>
      </c>
      <c r="H91" s="464"/>
      <c r="I91" s="413" t="s">
        <v>521</v>
      </c>
      <c r="J91" s="413" t="s">
        <v>521</v>
      </c>
      <c r="K91" s="413"/>
    </row>
    <row r="92" spans="1:12" x14ac:dyDescent="0.25">
      <c r="A92" s="304"/>
      <c r="B92" s="321" t="s">
        <v>599</v>
      </c>
      <c r="C92" s="319">
        <v>20000</v>
      </c>
      <c r="D92" s="319"/>
      <c r="E92" s="319">
        <f t="shared" si="0"/>
        <v>20000</v>
      </c>
      <c r="F92" s="319"/>
      <c r="G92" s="319">
        <v>20000</v>
      </c>
      <c r="H92" s="319"/>
      <c r="I92" s="320"/>
      <c r="J92" s="320" t="s">
        <v>521</v>
      </c>
      <c r="K92" s="320"/>
    </row>
    <row r="93" spans="1:12" ht="31.5" x14ac:dyDescent="0.25">
      <c r="A93" s="304"/>
      <c r="B93" s="321" t="s">
        <v>684</v>
      </c>
      <c r="C93" s="319">
        <v>424114</v>
      </c>
      <c r="D93" s="319">
        <v>6750</v>
      </c>
      <c r="E93" s="319">
        <f t="shared" si="0"/>
        <v>430864</v>
      </c>
      <c r="F93" s="319"/>
      <c r="G93" s="319">
        <f>460062+2152-38100+6750</f>
        <v>430864</v>
      </c>
      <c r="H93" s="319"/>
      <c r="I93" s="320" t="s">
        <v>521</v>
      </c>
      <c r="J93" s="320"/>
      <c r="K93" s="320"/>
    </row>
    <row r="94" spans="1:12" x14ac:dyDescent="0.25">
      <c r="A94" s="304"/>
      <c r="B94" s="326" t="s">
        <v>250</v>
      </c>
      <c r="C94" s="464">
        <v>10000</v>
      </c>
      <c r="D94" s="464"/>
      <c r="E94" s="464">
        <f t="shared" si="0"/>
        <v>10000</v>
      </c>
      <c r="F94" s="464"/>
      <c r="G94" s="464">
        <v>10000</v>
      </c>
      <c r="H94" s="464"/>
      <c r="I94" s="413"/>
      <c r="J94" s="413" t="s">
        <v>521</v>
      </c>
      <c r="K94" s="413"/>
    </row>
    <row r="95" spans="1:12" x14ac:dyDescent="0.25">
      <c r="A95" s="304" t="s">
        <v>87</v>
      </c>
      <c r="B95" s="308" t="s">
        <v>65</v>
      </c>
      <c r="C95" s="322">
        <f>SUM(C104,C102,C98,C96:C97)</f>
        <v>6179006</v>
      </c>
      <c r="D95" s="322">
        <f>SUM(D104,D102,D98,D96:D97)</f>
        <v>-45049</v>
      </c>
      <c r="E95" s="322">
        <f t="shared" si="0"/>
        <v>6133957</v>
      </c>
      <c r="F95" s="322">
        <f>SUM(F104,F102,F98,F96:F97)</f>
        <v>202949</v>
      </c>
      <c r="G95" s="322">
        <f>SUM(G104,G102,G98,G96:G97)</f>
        <v>5931008</v>
      </c>
      <c r="H95" s="322">
        <f>SUM(H104,H102,H98,H96:H97)</f>
        <v>0</v>
      </c>
      <c r="I95" s="323" t="s">
        <v>521</v>
      </c>
      <c r="J95" s="323" t="s">
        <v>521</v>
      </c>
      <c r="K95" s="323"/>
    </row>
    <row r="96" spans="1:12" x14ac:dyDescent="0.25">
      <c r="A96" s="304"/>
      <c r="B96" s="901" t="s">
        <v>88</v>
      </c>
      <c r="C96" s="464">
        <v>4895431</v>
      </c>
      <c r="D96" s="464">
        <f>10000+30000-110470</f>
        <v>-70470</v>
      </c>
      <c r="E96" s="464">
        <f t="shared" si="0"/>
        <v>4824961</v>
      </c>
      <c r="F96" s="464">
        <v>201586</v>
      </c>
      <c r="G96" s="464">
        <f>5218845+1500000-525000-1500000+10000+30000-110470</f>
        <v>4623375</v>
      </c>
      <c r="H96" s="464"/>
      <c r="I96" s="413" t="s">
        <v>521</v>
      </c>
      <c r="J96" s="413"/>
      <c r="K96" s="413"/>
      <c r="L96" s="465"/>
    </row>
    <row r="97" spans="1:11" x14ac:dyDescent="0.25">
      <c r="A97" s="304"/>
      <c r="B97" s="463" t="s">
        <v>89</v>
      </c>
      <c r="C97" s="464">
        <v>14203</v>
      </c>
      <c r="D97" s="464"/>
      <c r="E97" s="464">
        <f t="shared" si="0"/>
        <v>14203</v>
      </c>
      <c r="F97" s="464"/>
      <c r="G97" s="464">
        <f>28203-10000-4000</f>
        <v>14203</v>
      </c>
      <c r="H97" s="464"/>
      <c r="I97" s="413" t="s">
        <v>521</v>
      </c>
      <c r="J97" s="413" t="s">
        <v>521</v>
      </c>
      <c r="K97" s="413"/>
    </row>
    <row r="98" spans="1:11" x14ac:dyDescent="0.25">
      <c r="A98" s="304"/>
      <c r="B98" s="901" t="s">
        <v>274</v>
      </c>
      <c r="C98" s="464">
        <v>1216118</v>
      </c>
      <c r="D98" s="464">
        <f>-22000+42000+297+79</f>
        <v>20376</v>
      </c>
      <c r="E98" s="464">
        <f t="shared" ref="E98:E136" si="12">SUM(C98:D98)</f>
        <v>1236494</v>
      </c>
      <c r="F98" s="464"/>
      <c r="G98" s="464">
        <f>914118+22000-20000+300000-22000+42000+297+79</f>
        <v>1236494</v>
      </c>
      <c r="H98" s="464"/>
      <c r="I98" s="413"/>
      <c r="J98" s="413" t="s">
        <v>521</v>
      </c>
      <c r="K98" s="413"/>
    </row>
    <row r="99" spans="1:11" x14ac:dyDescent="0.25">
      <c r="A99" s="304"/>
      <c r="B99" s="321" t="s">
        <v>461</v>
      </c>
      <c r="C99" s="319">
        <v>1134289</v>
      </c>
      <c r="D99" s="319">
        <f>-22000+42000</f>
        <v>20000</v>
      </c>
      <c r="E99" s="319">
        <f t="shared" si="12"/>
        <v>1154289</v>
      </c>
      <c r="F99" s="319"/>
      <c r="G99" s="319">
        <f>812289+22000+300000-22000+42000</f>
        <v>1154289</v>
      </c>
      <c r="H99" s="319"/>
      <c r="I99" s="320" t="s">
        <v>521</v>
      </c>
      <c r="J99" s="320"/>
      <c r="K99" s="320"/>
    </row>
    <row r="100" spans="1:11" ht="31.5" x14ac:dyDescent="0.25">
      <c r="A100" s="304"/>
      <c r="B100" s="321" t="s">
        <v>685</v>
      </c>
      <c r="C100" s="319">
        <v>63000</v>
      </c>
      <c r="D100" s="319"/>
      <c r="E100" s="319">
        <f t="shared" si="12"/>
        <v>63000</v>
      </c>
      <c r="F100" s="319"/>
      <c r="G100" s="319">
        <v>63000</v>
      </c>
      <c r="H100" s="319"/>
      <c r="I100" s="320" t="s">
        <v>521</v>
      </c>
      <c r="J100" s="320"/>
      <c r="K100" s="320"/>
    </row>
    <row r="101" spans="1:11" ht="31.5" x14ac:dyDescent="0.25">
      <c r="A101" s="304"/>
      <c r="B101" s="321" t="s">
        <v>600</v>
      </c>
      <c r="C101" s="319">
        <v>18829</v>
      </c>
      <c r="D101" s="319"/>
      <c r="E101" s="319">
        <f t="shared" si="12"/>
        <v>18829</v>
      </c>
      <c r="F101" s="319"/>
      <c r="G101" s="319">
        <f>38829-20000</f>
        <v>18829</v>
      </c>
      <c r="H101" s="319"/>
      <c r="I101" s="320"/>
      <c r="J101" s="320" t="s">
        <v>521</v>
      </c>
      <c r="K101" s="320"/>
    </row>
    <row r="102" spans="1:11" x14ac:dyDescent="0.25">
      <c r="A102" s="304"/>
      <c r="B102" s="326" t="s">
        <v>524</v>
      </c>
      <c r="C102" s="464">
        <v>51781</v>
      </c>
      <c r="D102" s="464">
        <v>45</v>
      </c>
      <c r="E102" s="464">
        <f t="shared" si="12"/>
        <v>51826</v>
      </c>
      <c r="F102" s="464">
        <v>1363</v>
      </c>
      <c r="G102" s="902">
        <f>50418+45</f>
        <v>50463</v>
      </c>
      <c r="H102" s="464"/>
      <c r="I102" s="413" t="s">
        <v>521</v>
      </c>
      <c r="J102" s="413" t="s">
        <v>521</v>
      </c>
      <c r="K102" s="413"/>
    </row>
    <row r="103" spans="1:11" x14ac:dyDescent="0.25">
      <c r="A103" s="304"/>
      <c r="B103" s="321" t="s">
        <v>275</v>
      </c>
      <c r="C103" s="319">
        <v>7000</v>
      </c>
      <c r="D103" s="319"/>
      <c r="E103" s="319">
        <f t="shared" si="12"/>
        <v>7000</v>
      </c>
      <c r="F103" s="319"/>
      <c r="G103" s="319">
        <v>7000</v>
      </c>
      <c r="H103" s="319"/>
      <c r="I103" s="320"/>
      <c r="J103" s="320" t="s">
        <v>521</v>
      </c>
      <c r="K103" s="320"/>
    </row>
    <row r="104" spans="1:11" x14ac:dyDescent="0.25">
      <c r="A104" s="304"/>
      <c r="B104" s="463" t="s">
        <v>90</v>
      </c>
      <c r="C104" s="464">
        <v>1473</v>
      </c>
      <c r="D104" s="464">
        <v>5000</v>
      </c>
      <c r="E104" s="464">
        <f t="shared" si="12"/>
        <v>6473</v>
      </c>
      <c r="F104" s="464"/>
      <c r="G104" s="464">
        <f>1973-500+5000</f>
        <v>6473</v>
      </c>
      <c r="H104" s="464"/>
      <c r="I104" s="413"/>
      <c r="J104" s="413" t="s">
        <v>521</v>
      </c>
      <c r="K104" s="413"/>
    </row>
    <row r="105" spans="1:11" x14ac:dyDescent="0.25">
      <c r="A105" s="304" t="s">
        <v>91</v>
      </c>
      <c r="B105" s="308" t="s">
        <v>66</v>
      </c>
      <c r="C105" s="322">
        <f>SUM(C205,C201,C192,C189,C136,C121,C106)</f>
        <v>1880202</v>
      </c>
      <c r="D105" s="322">
        <f>SUM(D205,D201,D192,D189,D136,D121,D106)</f>
        <v>-100443</v>
      </c>
      <c r="E105" s="322">
        <f t="shared" si="12"/>
        <v>1779759</v>
      </c>
      <c r="F105" s="322">
        <f>SUM(F205,F201,F192,F189,F136,F121,F106)</f>
        <v>45907</v>
      </c>
      <c r="G105" s="322">
        <f>SUM(G205,G201,G192,G189,G136,G121,G106)</f>
        <v>1733852</v>
      </c>
      <c r="H105" s="322">
        <f>SUM(H205,H201,H192,H189,H136,H121,H106)</f>
        <v>0</v>
      </c>
      <c r="I105" s="323" t="s">
        <v>521</v>
      </c>
      <c r="J105" s="323" t="s">
        <v>521</v>
      </c>
      <c r="K105" s="323"/>
    </row>
    <row r="106" spans="1:11" x14ac:dyDescent="0.25">
      <c r="A106" s="304"/>
      <c r="B106" s="900" t="s">
        <v>92</v>
      </c>
      <c r="C106" s="464">
        <v>164925</v>
      </c>
      <c r="D106" s="464">
        <f>3993+844+423</f>
        <v>5260</v>
      </c>
      <c r="E106" s="464">
        <f t="shared" si="12"/>
        <v>170185</v>
      </c>
      <c r="F106" s="464">
        <v>7987</v>
      </c>
      <c r="G106" s="464">
        <f>249328-15000-77390+3993+844+423</f>
        <v>162198</v>
      </c>
      <c r="H106" s="464"/>
      <c r="I106" s="413" t="s">
        <v>521</v>
      </c>
      <c r="J106" s="413" t="s">
        <v>521</v>
      </c>
      <c r="K106" s="413"/>
    </row>
    <row r="107" spans="1:11" s="257" customFormat="1" ht="31.5" x14ac:dyDescent="0.25">
      <c r="A107" s="327"/>
      <c r="B107" s="328" t="s">
        <v>525</v>
      </c>
      <c r="C107" s="329">
        <v>7022</v>
      </c>
      <c r="D107" s="317"/>
      <c r="E107" s="313">
        <f t="shared" si="12"/>
        <v>7022</v>
      </c>
      <c r="F107" s="329"/>
      <c r="G107" s="317">
        <v>7022</v>
      </c>
      <c r="H107" s="317"/>
      <c r="I107" s="316" t="s">
        <v>521</v>
      </c>
      <c r="J107" s="316"/>
      <c r="K107" s="316"/>
    </row>
    <row r="108" spans="1:11" s="257" customFormat="1" ht="31.5" x14ac:dyDescent="0.25">
      <c r="A108" s="327"/>
      <c r="B108" s="328" t="s">
        <v>125</v>
      </c>
      <c r="C108" s="329">
        <v>2174</v>
      </c>
      <c r="D108" s="317"/>
      <c r="E108" s="313">
        <f t="shared" si="12"/>
        <v>2174</v>
      </c>
      <c r="F108" s="329"/>
      <c r="G108" s="317">
        <v>2174</v>
      </c>
      <c r="H108" s="317"/>
      <c r="I108" s="316" t="s">
        <v>521</v>
      </c>
      <c r="J108" s="316"/>
      <c r="K108" s="316"/>
    </row>
    <row r="109" spans="1:11" s="257" customFormat="1" ht="31.5" x14ac:dyDescent="0.25">
      <c r="A109" s="327"/>
      <c r="B109" s="328" t="s">
        <v>526</v>
      </c>
      <c r="C109" s="329">
        <v>4000</v>
      </c>
      <c r="D109" s="317"/>
      <c r="E109" s="313">
        <f t="shared" si="12"/>
        <v>4000</v>
      </c>
      <c r="F109" s="329"/>
      <c r="G109" s="317">
        <f>6000-2000</f>
        <v>4000</v>
      </c>
      <c r="H109" s="317"/>
      <c r="I109" s="316"/>
      <c r="J109" s="316" t="s">
        <v>521</v>
      </c>
      <c r="K109" s="316"/>
    </row>
    <row r="110" spans="1:11" s="257" customFormat="1" x14ac:dyDescent="0.25">
      <c r="A110" s="327"/>
      <c r="B110" s="328" t="s">
        <v>527</v>
      </c>
      <c r="C110" s="329">
        <v>3500</v>
      </c>
      <c r="D110" s="317"/>
      <c r="E110" s="313">
        <f t="shared" si="12"/>
        <v>3500</v>
      </c>
      <c r="F110" s="329"/>
      <c r="G110" s="317">
        <f>7000-3500</f>
        <v>3500</v>
      </c>
      <c r="H110" s="317"/>
      <c r="I110" s="316"/>
      <c r="J110" s="316" t="s">
        <v>521</v>
      </c>
      <c r="K110" s="316"/>
    </row>
    <row r="111" spans="1:11" s="257" customFormat="1" ht="31.5" x14ac:dyDescent="0.25">
      <c r="A111" s="327"/>
      <c r="B111" s="328" t="s">
        <v>528</v>
      </c>
      <c r="C111" s="329">
        <v>700</v>
      </c>
      <c r="D111" s="317"/>
      <c r="E111" s="313">
        <f t="shared" si="12"/>
        <v>700</v>
      </c>
      <c r="F111" s="329"/>
      <c r="G111" s="317">
        <v>700</v>
      </c>
      <c r="H111" s="317"/>
      <c r="I111" s="316"/>
      <c r="J111" s="316" t="s">
        <v>521</v>
      </c>
      <c r="K111" s="316"/>
    </row>
    <row r="112" spans="1:11" s="257" customFormat="1" x14ac:dyDescent="0.25">
      <c r="A112" s="327"/>
      <c r="B112" s="328" t="s">
        <v>601</v>
      </c>
      <c r="C112" s="329">
        <v>106674</v>
      </c>
      <c r="D112" s="317"/>
      <c r="E112" s="313">
        <f t="shared" si="12"/>
        <v>106674</v>
      </c>
      <c r="F112" s="329"/>
      <c r="G112" s="317">
        <f>156674-50000</f>
        <v>106674</v>
      </c>
      <c r="H112" s="317"/>
      <c r="I112" s="316"/>
      <c r="J112" s="316" t="s">
        <v>521</v>
      </c>
      <c r="K112" s="316"/>
    </row>
    <row r="113" spans="1:11" s="257" customFormat="1" x14ac:dyDescent="0.25">
      <c r="A113" s="327"/>
      <c r="B113" s="328" t="s">
        <v>529</v>
      </c>
      <c r="C113" s="329">
        <v>26008</v>
      </c>
      <c r="D113" s="317"/>
      <c r="E113" s="313">
        <f t="shared" si="12"/>
        <v>26008</v>
      </c>
      <c r="F113" s="329"/>
      <c r="G113" s="317">
        <v>26008</v>
      </c>
      <c r="H113" s="317"/>
      <c r="I113" s="316"/>
      <c r="J113" s="316" t="s">
        <v>521</v>
      </c>
      <c r="K113" s="316"/>
    </row>
    <row r="114" spans="1:11" s="257" customFormat="1" x14ac:dyDescent="0.25">
      <c r="A114" s="327"/>
      <c r="B114" s="328" t="s">
        <v>462</v>
      </c>
      <c r="C114" s="329">
        <v>100</v>
      </c>
      <c r="D114" s="317"/>
      <c r="E114" s="313">
        <f t="shared" si="12"/>
        <v>100</v>
      </c>
      <c r="F114" s="329"/>
      <c r="G114" s="317">
        <v>100</v>
      </c>
      <c r="H114" s="317"/>
      <c r="I114" s="316"/>
      <c r="J114" s="316" t="s">
        <v>521</v>
      </c>
      <c r="K114" s="316"/>
    </row>
    <row r="115" spans="1:11" s="257" customFormat="1" ht="31.5" x14ac:dyDescent="0.25">
      <c r="A115" s="327"/>
      <c r="B115" s="328" t="s">
        <v>463</v>
      </c>
      <c r="C115" s="329">
        <v>12441</v>
      </c>
      <c r="D115" s="317">
        <v>423</v>
      </c>
      <c r="E115" s="313">
        <f t="shared" si="12"/>
        <v>12864</v>
      </c>
      <c r="F115" s="329">
        <v>7987</v>
      </c>
      <c r="G115" s="317">
        <f>13100-8646+423</f>
        <v>4877</v>
      </c>
      <c r="H115" s="317"/>
      <c r="I115" s="316"/>
      <c r="J115" s="316" t="s">
        <v>521</v>
      </c>
      <c r="K115" s="316"/>
    </row>
    <row r="116" spans="1:11" s="257" customFormat="1" ht="31.5" x14ac:dyDescent="0.25">
      <c r="A116" s="327"/>
      <c r="B116" s="328" t="s">
        <v>464</v>
      </c>
      <c r="C116" s="329">
        <v>1156</v>
      </c>
      <c r="D116" s="317">
        <v>844</v>
      </c>
      <c r="E116" s="313">
        <f t="shared" si="12"/>
        <v>2000</v>
      </c>
      <c r="F116" s="329"/>
      <c r="G116" s="317">
        <f>3400-2244+844</f>
        <v>2000</v>
      </c>
      <c r="H116" s="317"/>
      <c r="I116" s="316"/>
      <c r="J116" s="316" t="s">
        <v>521</v>
      </c>
      <c r="K116" s="316"/>
    </row>
    <row r="117" spans="1:11" s="257" customFormat="1" ht="31.5" x14ac:dyDescent="0.25">
      <c r="A117" s="327"/>
      <c r="B117" s="328" t="s">
        <v>602</v>
      </c>
      <c r="C117" s="329">
        <v>0</v>
      </c>
      <c r="D117" s="317"/>
      <c r="E117" s="313">
        <f t="shared" si="12"/>
        <v>0</v>
      </c>
      <c r="F117" s="329"/>
      <c r="G117" s="317">
        <f>26000-15000-11000</f>
        <v>0</v>
      </c>
      <c r="H117" s="317"/>
      <c r="I117" s="316"/>
      <c r="J117" s="316" t="s">
        <v>521</v>
      </c>
      <c r="K117" s="316"/>
    </row>
    <row r="118" spans="1:11" s="257" customFormat="1" ht="31.5" x14ac:dyDescent="0.25">
      <c r="A118" s="327"/>
      <c r="B118" s="328" t="s">
        <v>603</v>
      </c>
      <c r="C118" s="329">
        <v>0</v>
      </c>
      <c r="D118" s="317"/>
      <c r="E118" s="313">
        <f t="shared" si="12"/>
        <v>0</v>
      </c>
      <c r="F118" s="329"/>
      <c r="G118" s="317">
        <v>0</v>
      </c>
      <c r="H118" s="317"/>
      <c r="I118" s="316"/>
      <c r="J118" s="316" t="s">
        <v>521</v>
      </c>
      <c r="K118" s="316"/>
    </row>
    <row r="119" spans="1:11" s="257" customFormat="1" x14ac:dyDescent="0.25">
      <c r="A119" s="327"/>
      <c r="B119" s="328" t="s">
        <v>686</v>
      </c>
      <c r="C119" s="329">
        <v>1000</v>
      </c>
      <c r="D119" s="317"/>
      <c r="E119" s="313">
        <f t="shared" ref="E119" si="13">SUM(C119:D119)</f>
        <v>1000</v>
      </c>
      <c r="F119" s="329"/>
      <c r="G119" s="317">
        <v>1000</v>
      </c>
      <c r="H119" s="317"/>
      <c r="I119" s="316"/>
      <c r="J119" s="316" t="s">
        <v>521</v>
      </c>
      <c r="K119" s="316"/>
    </row>
    <row r="120" spans="1:11" s="257" customFormat="1" ht="31.5" x14ac:dyDescent="0.25">
      <c r="A120" s="327"/>
      <c r="B120" s="328" t="s">
        <v>1039</v>
      </c>
      <c r="C120" s="329">
        <v>0</v>
      </c>
      <c r="D120" s="903">
        <v>3993</v>
      </c>
      <c r="E120" s="313">
        <f t="shared" si="12"/>
        <v>3993</v>
      </c>
      <c r="F120" s="329"/>
      <c r="G120" s="317">
        <v>3993</v>
      </c>
      <c r="H120" s="317"/>
      <c r="I120" s="316"/>
      <c r="J120" s="316" t="s">
        <v>521</v>
      </c>
      <c r="K120" s="316"/>
    </row>
    <row r="121" spans="1:11" x14ac:dyDescent="0.25">
      <c r="A121" s="304"/>
      <c r="B121" s="900" t="s">
        <v>93</v>
      </c>
      <c r="C121" s="464">
        <v>317053</v>
      </c>
      <c r="D121" s="464">
        <f>-7439+1000+18660</f>
        <v>12221</v>
      </c>
      <c r="E121" s="464">
        <f t="shared" si="12"/>
        <v>329274</v>
      </c>
      <c r="F121" s="464">
        <v>0</v>
      </c>
      <c r="G121" s="464">
        <f>434053+15000-135000+3000-7439+1000+18660</f>
        <v>329274</v>
      </c>
      <c r="H121" s="464"/>
      <c r="I121" s="413" t="s">
        <v>521</v>
      </c>
      <c r="J121" s="413" t="s">
        <v>521</v>
      </c>
      <c r="K121" s="413"/>
    </row>
    <row r="122" spans="1:11" s="257" customFormat="1" ht="31.5" x14ac:dyDescent="0.25">
      <c r="A122" s="327"/>
      <c r="B122" s="328" t="s">
        <v>326</v>
      </c>
      <c r="C122" s="329">
        <v>74000</v>
      </c>
      <c r="D122" s="317">
        <v>0</v>
      </c>
      <c r="E122" s="313">
        <f t="shared" si="12"/>
        <v>74000</v>
      </c>
      <c r="F122" s="329"/>
      <c r="G122" s="317">
        <f>84000-10000</f>
        <v>74000</v>
      </c>
      <c r="H122" s="317"/>
      <c r="I122" s="316" t="s">
        <v>521</v>
      </c>
      <c r="J122" s="316"/>
      <c r="K122" s="316"/>
    </row>
    <row r="123" spans="1:11" s="257" customFormat="1" x14ac:dyDescent="0.25">
      <c r="A123" s="327"/>
      <c r="B123" s="328" t="s">
        <v>117</v>
      </c>
      <c r="C123" s="329">
        <v>29400</v>
      </c>
      <c r="D123" s="317"/>
      <c r="E123" s="313">
        <f t="shared" si="12"/>
        <v>29400</v>
      </c>
      <c r="F123" s="329"/>
      <c r="G123" s="317">
        <v>29400</v>
      </c>
      <c r="H123" s="317"/>
      <c r="I123" s="316" t="s">
        <v>521</v>
      </c>
      <c r="J123" s="316"/>
      <c r="K123" s="316"/>
    </row>
    <row r="124" spans="1:11" s="257" customFormat="1" ht="31.5" x14ac:dyDescent="0.25">
      <c r="A124" s="327"/>
      <c r="B124" s="328" t="s">
        <v>465</v>
      </c>
      <c r="C124" s="329">
        <v>15000</v>
      </c>
      <c r="D124" s="317">
        <v>1000</v>
      </c>
      <c r="E124" s="313">
        <f t="shared" si="12"/>
        <v>16000</v>
      </c>
      <c r="F124" s="329"/>
      <c r="G124" s="317">
        <f>12000+3000+1000</f>
        <v>16000</v>
      </c>
      <c r="H124" s="317"/>
      <c r="I124" s="316"/>
      <c r="J124" s="316" t="s">
        <v>521</v>
      </c>
      <c r="K124" s="316"/>
    </row>
    <row r="125" spans="1:11" s="257" customFormat="1" x14ac:dyDescent="0.25">
      <c r="A125" s="327"/>
      <c r="B125" s="328" t="s">
        <v>466</v>
      </c>
      <c r="C125" s="329">
        <v>13000</v>
      </c>
      <c r="D125" s="317"/>
      <c r="E125" s="313">
        <f t="shared" si="12"/>
        <v>13000</v>
      </c>
      <c r="F125" s="329"/>
      <c r="G125" s="317">
        <v>13000</v>
      </c>
      <c r="H125" s="317"/>
      <c r="I125" s="316"/>
      <c r="J125" s="316" t="s">
        <v>521</v>
      </c>
      <c r="K125" s="316"/>
    </row>
    <row r="126" spans="1:11" s="257" customFormat="1" x14ac:dyDescent="0.25">
      <c r="A126" s="327"/>
      <c r="B126" s="328" t="s">
        <v>467</v>
      </c>
      <c r="C126" s="329">
        <v>78462</v>
      </c>
      <c r="D126" s="317"/>
      <c r="E126" s="313">
        <f t="shared" si="12"/>
        <v>78462</v>
      </c>
      <c r="F126" s="329"/>
      <c r="G126" s="317">
        <f>63462+15000</f>
        <v>78462</v>
      </c>
      <c r="H126" s="317"/>
      <c r="I126" s="316"/>
      <c r="J126" s="316" t="s">
        <v>521</v>
      </c>
      <c r="K126" s="316"/>
    </row>
    <row r="127" spans="1:11" s="257" customFormat="1" ht="31.5" x14ac:dyDescent="0.25">
      <c r="A127" s="327"/>
      <c r="B127" s="328" t="s">
        <v>468</v>
      </c>
      <c r="C127" s="329">
        <v>50000</v>
      </c>
      <c r="D127" s="317">
        <v>18660</v>
      </c>
      <c r="E127" s="313">
        <f t="shared" si="12"/>
        <v>68660</v>
      </c>
      <c r="F127" s="329"/>
      <c r="G127" s="317">
        <f>150000-100000+18660</f>
        <v>68660</v>
      </c>
      <c r="H127" s="317"/>
      <c r="I127" s="316"/>
      <c r="J127" s="316" t="s">
        <v>521</v>
      </c>
      <c r="K127" s="330"/>
    </row>
    <row r="128" spans="1:11" s="257" customFormat="1" x14ac:dyDescent="0.25">
      <c r="A128" s="327"/>
      <c r="B128" s="328" t="s">
        <v>469</v>
      </c>
      <c r="C128" s="329">
        <v>14200</v>
      </c>
      <c r="D128" s="317"/>
      <c r="E128" s="313">
        <f t="shared" si="12"/>
        <v>14200</v>
      </c>
      <c r="F128" s="329"/>
      <c r="G128" s="317">
        <v>14200</v>
      </c>
      <c r="H128" s="317"/>
      <c r="I128" s="316"/>
      <c r="J128" s="316" t="s">
        <v>521</v>
      </c>
      <c r="K128" s="330"/>
    </row>
    <row r="129" spans="1:11" s="257" customFormat="1" ht="47.25" x14ac:dyDescent="0.25">
      <c r="A129" s="327"/>
      <c r="B129" s="328" t="s">
        <v>687</v>
      </c>
      <c r="C129" s="329">
        <v>25974</v>
      </c>
      <c r="D129" s="317"/>
      <c r="E129" s="313">
        <f t="shared" si="12"/>
        <v>25974</v>
      </c>
      <c r="F129" s="329"/>
      <c r="G129" s="317">
        <v>25974</v>
      </c>
      <c r="H129" s="317"/>
      <c r="I129" s="316"/>
      <c r="J129" s="316" t="s">
        <v>521</v>
      </c>
      <c r="K129" s="330"/>
    </row>
    <row r="130" spans="1:11" s="257" customFormat="1" x14ac:dyDescent="0.25">
      <c r="A130" s="327"/>
      <c r="B130" s="328" t="s">
        <v>530</v>
      </c>
      <c r="C130" s="329">
        <v>500</v>
      </c>
      <c r="D130" s="317"/>
      <c r="E130" s="313">
        <f t="shared" si="12"/>
        <v>500</v>
      </c>
      <c r="F130" s="329"/>
      <c r="G130" s="317">
        <v>500</v>
      </c>
      <c r="H130" s="317"/>
      <c r="I130" s="316"/>
      <c r="J130" s="316" t="s">
        <v>521</v>
      </c>
      <c r="K130" s="330"/>
    </row>
    <row r="131" spans="1:11" s="257" customFormat="1" x14ac:dyDescent="0.25">
      <c r="A131" s="327"/>
      <c r="B131" s="328" t="s">
        <v>688</v>
      </c>
      <c r="C131" s="329">
        <v>1104</v>
      </c>
      <c r="D131" s="317"/>
      <c r="E131" s="313">
        <f t="shared" si="12"/>
        <v>1104</v>
      </c>
      <c r="F131" s="329"/>
      <c r="G131" s="317">
        <v>1104</v>
      </c>
      <c r="H131" s="317"/>
      <c r="I131" s="316"/>
      <c r="J131" s="316" t="s">
        <v>521</v>
      </c>
      <c r="K131" s="330"/>
    </row>
    <row r="132" spans="1:11" s="257" customFormat="1" x14ac:dyDescent="0.25">
      <c r="A132" s="327"/>
      <c r="B132" s="328" t="s">
        <v>689</v>
      </c>
      <c r="C132" s="329">
        <v>9562</v>
      </c>
      <c r="D132" s="317">
        <v>-7439</v>
      </c>
      <c r="E132" s="313">
        <f t="shared" si="12"/>
        <v>2123</v>
      </c>
      <c r="F132" s="329"/>
      <c r="G132" s="317">
        <f>9562-7439</f>
        <v>2123</v>
      </c>
      <c r="H132" s="317"/>
      <c r="I132" s="316"/>
      <c r="J132" s="316" t="s">
        <v>521</v>
      </c>
      <c r="K132" s="330"/>
    </row>
    <row r="133" spans="1:11" s="257" customFormat="1" x14ac:dyDescent="0.25">
      <c r="A133" s="327"/>
      <c r="B133" s="328" t="s">
        <v>690</v>
      </c>
      <c r="C133" s="329">
        <v>0</v>
      </c>
      <c r="D133" s="317">
        <v>0</v>
      </c>
      <c r="E133" s="313">
        <f t="shared" si="12"/>
        <v>0</v>
      </c>
      <c r="F133" s="329"/>
      <c r="G133" s="317">
        <f>25000-25000</f>
        <v>0</v>
      </c>
      <c r="H133" s="317"/>
      <c r="I133" s="316"/>
      <c r="J133" s="316" t="s">
        <v>521</v>
      </c>
      <c r="K133" s="330"/>
    </row>
    <row r="134" spans="1:11" s="257" customFormat="1" x14ac:dyDescent="0.25">
      <c r="A134" s="327"/>
      <c r="B134" s="328" t="s">
        <v>691</v>
      </c>
      <c r="C134" s="329">
        <v>4702</v>
      </c>
      <c r="D134" s="317"/>
      <c r="E134" s="313">
        <f t="shared" si="12"/>
        <v>4702</v>
      </c>
      <c r="F134" s="329"/>
      <c r="G134" s="317">
        <v>4702</v>
      </c>
      <c r="H134" s="317"/>
      <c r="I134" s="316"/>
      <c r="J134" s="316" t="s">
        <v>521</v>
      </c>
      <c r="K134" s="330"/>
    </row>
    <row r="135" spans="1:11" s="257" customFormat="1" x14ac:dyDescent="0.25">
      <c r="A135" s="327"/>
      <c r="B135" s="328" t="s">
        <v>531</v>
      </c>
      <c r="C135" s="329">
        <v>849</v>
      </c>
      <c r="D135" s="317"/>
      <c r="E135" s="313">
        <f t="shared" si="12"/>
        <v>849</v>
      </c>
      <c r="F135" s="329"/>
      <c r="G135" s="317">
        <v>849</v>
      </c>
      <c r="H135" s="317"/>
      <c r="I135" s="316"/>
      <c r="J135" s="316" t="s">
        <v>521</v>
      </c>
      <c r="K135" s="330"/>
    </row>
    <row r="136" spans="1:11" x14ac:dyDescent="0.25">
      <c r="A136" s="304"/>
      <c r="B136" s="463" t="s">
        <v>94</v>
      </c>
      <c r="C136" s="464">
        <v>564816</v>
      </c>
      <c r="D136" s="464">
        <f>8000-100000-11355+2000</f>
        <v>-101355</v>
      </c>
      <c r="E136" s="464">
        <f t="shared" si="12"/>
        <v>463461</v>
      </c>
      <c r="F136" s="464">
        <v>34293</v>
      </c>
      <c r="G136" s="464">
        <f>896679-2500-10000-800-500-1325-600-1750-500-600-400-665-6250-750-500-12100-5000-3000-4300-6145+4-4+1000+1000+5000-500-42040-72931-200000+8000-100000-11355+2000</f>
        <v>429168</v>
      </c>
      <c r="H136" s="464"/>
      <c r="I136" s="413" t="s">
        <v>521</v>
      </c>
      <c r="J136" s="413" t="s">
        <v>521</v>
      </c>
      <c r="K136" s="413"/>
    </row>
    <row r="137" spans="1:11" x14ac:dyDescent="0.25">
      <c r="A137" s="304"/>
      <c r="B137" s="308" t="s">
        <v>119</v>
      </c>
      <c r="C137" s="319"/>
      <c r="D137" s="319"/>
      <c r="E137" s="319"/>
      <c r="F137" s="319"/>
      <c r="G137" s="319"/>
      <c r="H137" s="319"/>
      <c r="I137" s="320"/>
      <c r="J137" s="320"/>
      <c r="K137" s="320"/>
    </row>
    <row r="138" spans="1:11" s="257" customFormat="1" x14ac:dyDescent="0.25">
      <c r="A138" s="327"/>
      <c r="B138" s="328" t="s">
        <v>532</v>
      </c>
      <c r="C138" s="329">
        <v>5447</v>
      </c>
      <c r="D138" s="317"/>
      <c r="E138" s="313">
        <f t="shared" ref="E138:E140" si="14">SUM(C138:D138)</f>
        <v>5447</v>
      </c>
      <c r="F138" s="329"/>
      <c r="G138" s="317">
        <f>7947-2500</f>
        <v>5447</v>
      </c>
      <c r="H138" s="317"/>
      <c r="I138" s="316" t="s">
        <v>521</v>
      </c>
      <c r="J138" s="316"/>
      <c r="K138" s="330"/>
    </row>
    <row r="139" spans="1:11" s="257" customFormat="1" x14ac:dyDescent="0.25">
      <c r="A139" s="327"/>
      <c r="B139" s="328" t="s">
        <v>604</v>
      </c>
      <c r="C139" s="329">
        <v>6000</v>
      </c>
      <c r="D139" s="317"/>
      <c r="E139" s="313">
        <f t="shared" si="14"/>
        <v>6000</v>
      </c>
      <c r="F139" s="329"/>
      <c r="G139" s="317">
        <v>6000</v>
      </c>
      <c r="H139" s="317"/>
      <c r="I139" s="316"/>
      <c r="J139" s="316" t="s">
        <v>521</v>
      </c>
      <c r="K139" s="330"/>
    </row>
    <row r="140" spans="1:11" s="257" customFormat="1" x14ac:dyDescent="0.25">
      <c r="A140" s="327"/>
      <c r="B140" s="328" t="s">
        <v>605</v>
      </c>
      <c r="C140" s="329">
        <v>334</v>
      </c>
      <c r="D140" s="317">
        <v>0</v>
      </c>
      <c r="E140" s="313">
        <f t="shared" si="14"/>
        <v>334</v>
      </c>
      <c r="F140" s="329"/>
      <c r="G140" s="317">
        <f>330+4</f>
        <v>334</v>
      </c>
      <c r="H140" s="317"/>
      <c r="I140" s="316"/>
      <c r="J140" s="316" t="s">
        <v>521</v>
      </c>
      <c r="K140" s="330"/>
    </row>
    <row r="141" spans="1:11" x14ac:dyDescent="0.25">
      <c r="A141" s="304"/>
      <c r="B141" s="308" t="s">
        <v>120</v>
      </c>
      <c r="C141" s="319"/>
      <c r="D141" s="319"/>
      <c r="E141" s="319"/>
      <c r="F141" s="319"/>
      <c r="G141" s="319"/>
      <c r="H141" s="319"/>
      <c r="I141" s="320"/>
      <c r="J141" s="320"/>
      <c r="K141" s="320"/>
    </row>
    <row r="142" spans="1:11" s="257" customFormat="1" x14ac:dyDescent="0.25">
      <c r="A142" s="327"/>
      <c r="B142" s="310" t="s">
        <v>235</v>
      </c>
      <c r="C142" s="311">
        <v>1000</v>
      </c>
      <c r="D142" s="317"/>
      <c r="E142" s="313">
        <f t="shared" ref="E142:E168" si="15">SUM(C142:D142)</f>
        <v>1000</v>
      </c>
      <c r="F142" s="311"/>
      <c r="G142" s="317">
        <v>1000</v>
      </c>
      <c r="H142" s="317"/>
      <c r="I142" s="316"/>
      <c r="J142" s="316" t="s">
        <v>521</v>
      </c>
      <c r="K142" s="330"/>
    </row>
    <row r="143" spans="1:11" s="257" customFormat="1" x14ac:dyDescent="0.25">
      <c r="A143" s="327"/>
      <c r="B143" s="310" t="s">
        <v>118</v>
      </c>
      <c r="C143" s="311">
        <v>1500</v>
      </c>
      <c r="D143" s="317">
        <v>0</v>
      </c>
      <c r="E143" s="313">
        <f t="shared" si="15"/>
        <v>1500</v>
      </c>
      <c r="F143" s="311"/>
      <c r="G143" s="317">
        <f>3000-1500</f>
        <v>1500</v>
      </c>
      <c r="H143" s="317"/>
      <c r="I143" s="316" t="s">
        <v>521</v>
      </c>
      <c r="J143" s="316"/>
      <c r="K143" s="330"/>
    </row>
    <row r="144" spans="1:11" s="257" customFormat="1" x14ac:dyDescent="0.25">
      <c r="A144" s="327"/>
      <c r="B144" s="310" t="s">
        <v>318</v>
      </c>
      <c r="C144" s="311">
        <v>9000</v>
      </c>
      <c r="D144" s="317">
        <v>0</v>
      </c>
      <c r="E144" s="313">
        <f t="shared" si="15"/>
        <v>9000</v>
      </c>
      <c r="F144" s="311"/>
      <c r="G144" s="317">
        <f>18000-9000</f>
        <v>9000</v>
      </c>
      <c r="H144" s="317"/>
      <c r="I144" s="316" t="s">
        <v>521</v>
      </c>
      <c r="J144" s="316"/>
      <c r="K144" s="330"/>
    </row>
    <row r="145" spans="1:13" s="257" customFormat="1" x14ac:dyDescent="0.25">
      <c r="A145" s="327"/>
      <c r="B145" s="310" t="s">
        <v>319</v>
      </c>
      <c r="C145" s="311">
        <v>6250</v>
      </c>
      <c r="D145" s="317"/>
      <c r="E145" s="313">
        <f t="shared" si="15"/>
        <v>6250</v>
      </c>
      <c r="F145" s="311"/>
      <c r="G145" s="317">
        <f>12500-6250</f>
        <v>6250</v>
      </c>
      <c r="H145" s="317"/>
      <c r="I145" s="316"/>
      <c r="J145" s="316" t="s">
        <v>521</v>
      </c>
      <c r="K145" s="330"/>
    </row>
    <row r="146" spans="1:13" s="257" customFormat="1" x14ac:dyDescent="0.25">
      <c r="A146" s="327"/>
      <c r="B146" s="310" t="s">
        <v>127</v>
      </c>
      <c r="C146" s="311">
        <v>0</v>
      </c>
      <c r="D146" s="317">
        <v>0</v>
      </c>
      <c r="E146" s="313">
        <f t="shared" si="15"/>
        <v>0</v>
      </c>
      <c r="F146" s="311"/>
      <c r="G146" s="317">
        <f>1600-800-800</f>
        <v>0</v>
      </c>
      <c r="H146" s="317"/>
      <c r="I146" s="316" t="s">
        <v>521</v>
      </c>
      <c r="J146" s="316"/>
      <c r="K146" s="330"/>
    </row>
    <row r="147" spans="1:13" s="257" customFormat="1" x14ac:dyDescent="0.25">
      <c r="A147" s="327"/>
      <c r="B147" s="310" t="s">
        <v>128</v>
      </c>
      <c r="C147" s="311">
        <v>0</v>
      </c>
      <c r="D147" s="317">
        <v>0</v>
      </c>
      <c r="E147" s="313">
        <f t="shared" si="15"/>
        <v>0</v>
      </c>
      <c r="F147" s="311"/>
      <c r="G147" s="317">
        <f>1000-500-500</f>
        <v>0</v>
      </c>
      <c r="H147" s="317"/>
      <c r="I147" s="316" t="s">
        <v>521</v>
      </c>
      <c r="J147" s="316"/>
      <c r="K147" s="330"/>
    </row>
    <row r="148" spans="1:13" s="257" customFormat="1" x14ac:dyDescent="0.25">
      <c r="A148" s="327"/>
      <c r="B148" s="310" t="s">
        <v>72</v>
      </c>
      <c r="C148" s="311">
        <v>0</v>
      </c>
      <c r="D148" s="317">
        <v>0</v>
      </c>
      <c r="E148" s="313">
        <f t="shared" si="15"/>
        <v>0</v>
      </c>
      <c r="F148" s="311"/>
      <c r="G148" s="317">
        <f>2650-1325-1325</f>
        <v>0</v>
      </c>
      <c r="H148" s="317"/>
      <c r="I148" s="316" t="s">
        <v>521</v>
      </c>
      <c r="J148" s="316"/>
      <c r="K148" s="330"/>
    </row>
    <row r="149" spans="1:13" s="257" customFormat="1" x14ac:dyDescent="0.25">
      <c r="A149" s="327"/>
      <c r="B149" s="310" t="s">
        <v>73</v>
      </c>
      <c r="C149" s="311">
        <v>0</v>
      </c>
      <c r="D149" s="317">
        <v>0</v>
      </c>
      <c r="E149" s="313">
        <f t="shared" si="15"/>
        <v>0</v>
      </c>
      <c r="F149" s="311"/>
      <c r="G149" s="317">
        <f>1200-600-600</f>
        <v>0</v>
      </c>
      <c r="H149" s="317"/>
      <c r="I149" s="316" t="s">
        <v>521</v>
      </c>
      <c r="J149" s="316"/>
      <c r="K149" s="330"/>
    </row>
    <row r="150" spans="1:13" s="257" customFormat="1" x14ac:dyDescent="0.25">
      <c r="A150" s="327"/>
      <c r="B150" s="310" t="s">
        <v>129</v>
      </c>
      <c r="C150" s="311">
        <v>0</v>
      </c>
      <c r="D150" s="317">
        <v>0</v>
      </c>
      <c r="E150" s="313">
        <f t="shared" si="15"/>
        <v>0</v>
      </c>
      <c r="F150" s="311"/>
      <c r="G150" s="317">
        <f>3500-1750-1750</f>
        <v>0</v>
      </c>
      <c r="H150" s="317"/>
      <c r="I150" s="316" t="s">
        <v>521</v>
      </c>
      <c r="J150" s="316"/>
      <c r="K150" s="330"/>
    </row>
    <row r="151" spans="1:13" s="257" customFormat="1" x14ac:dyDescent="0.25">
      <c r="A151" s="327"/>
      <c r="B151" s="310" t="s">
        <v>112</v>
      </c>
      <c r="C151" s="311">
        <v>4000</v>
      </c>
      <c r="D151" s="317">
        <v>0</v>
      </c>
      <c r="E151" s="313">
        <f t="shared" si="15"/>
        <v>4000</v>
      </c>
      <c r="F151" s="311"/>
      <c r="G151" s="317">
        <f>8000-4000</f>
        <v>4000</v>
      </c>
      <c r="H151" s="317"/>
      <c r="I151" s="316" t="s">
        <v>521</v>
      </c>
      <c r="J151" s="316"/>
      <c r="K151" s="330"/>
    </row>
    <row r="152" spans="1:13" s="257" customFormat="1" ht="31.5" x14ac:dyDescent="0.25">
      <c r="A152" s="327"/>
      <c r="B152" s="310" t="s">
        <v>1146</v>
      </c>
      <c r="C152" s="311">
        <v>0</v>
      </c>
      <c r="D152" s="317">
        <v>2000</v>
      </c>
      <c r="E152" s="313">
        <f t="shared" ref="E152" si="16">SUM(C152:D152)</f>
        <v>2000</v>
      </c>
      <c r="F152" s="311"/>
      <c r="G152" s="317">
        <v>2000</v>
      </c>
      <c r="H152" s="317"/>
      <c r="I152" s="316"/>
      <c r="J152" s="316" t="s">
        <v>521</v>
      </c>
      <c r="K152" s="330"/>
    </row>
    <row r="153" spans="1:13" s="257" customFormat="1" ht="31.5" x14ac:dyDescent="0.25">
      <c r="A153" s="327"/>
      <c r="B153" s="310" t="s">
        <v>606</v>
      </c>
      <c r="C153" s="311">
        <v>1000</v>
      </c>
      <c r="D153" s="317">
        <v>0</v>
      </c>
      <c r="E153" s="313">
        <f t="shared" si="15"/>
        <v>1000</v>
      </c>
      <c r="F153" s="311"/>
      <c r="G153" s="317">
        <f>2000-1000</f>
        <v>1000</v>
      </c>
      <c r="H153" s="317"/>
      <c r="I153" s="316" t="s">
        <v>521</v>
      </c>
      <c r="J153" s="316"/>
      <c r="K153" s="330"/>
    </row>
    <row r="154" spans="1:13" s="257" customFormat="1" x14ac:dyDescent="0.25">
      <c r="A154" s="327"/>
      <c r="B154" s="310" t="s">
        <v>121</v>
      </c>
      <c r="C154" s="311">
        <v>4300</v>
      </c>
      <c r="D154" s="317">
        <v>0</v>
      </c>
      <c r="E154" s="313">
        <f t="shared" si="15"/>
        <v>4300</v>
      </c>
      <c r="F154" s="311"/>
      <c r="G154" s="317">
        <f>8600-4300</f>
        <v>4300</v>
      </c>
      <c r="H154" s="317"/>
      <c r="I154" s="316" t="s">
        <v>521</v>
      </c>
      <c r="J154" s="316"/>
      <c r="K154" s="330"/>
    </row>
    <row r="155" spans="1:13" s="257" customFormat="1" x14ac:dyDescent="0.25">
      <c r="A155" s="327"/>
      <c r="B155" s="310" t="s">
        <v>130</v>
      </c>
      <c r="C155" s="311">
        <v>2850</v>
      </c>
      <c r="D155" s="317">
        <v>0</v>
      </c>
      <c r="E155" s="313">
        <f t="shared" si="15"/>
        <v>2850</v>
      </c>
      <c r="F155" s="311"/>
      <c r="G155" s="317">
        <f>5700-2850</f>
        <v>2850</v>
      </c>
      <c r="H155" s="317"/>
      <c r="I155" s="316" t="s">
        <v>521</v>
      </c>
      <c r="J155" s="316"/>
      <c r="K155" s="330"/>
    </row>
    <row r="156" spans="1:13" s="257" customFormat="1" x14ac:dyDescent="0.25">
      <c r="A156" s="327"/>
      <c r="B156" s="310" t="s">
        <v>320</v>
      </c>
      <c r="C156" s="311">
        <v>11500</v>
      </c>
      <c r="D156" s="317">
        <v>0</v>
      </c>
      <c r="E156" s="313">
        <f t="shared" si="15"/>
        <v>11500</v>
      </c>
      <c r="F156" s="311"/>
      <c r="G156" s="317">
        <f>23000-11500</f>
        <v>11500</v>
      </c>
      <c r="H156" s="317"/>
      <c r="I156" s="316" t="s">
        <v>521</v>
      </c>
      <c r="J156" s="316"/>
      <c r="K156" s="330"/>
    </row>
    <row r="157" spans="1:13" s="257" customFormat="1" ht="31.5" x14ac:dyDescent="0.25">
      <c r="A157" s="327"/>
      <c r="B157" s="310" t="s">
        <v>252</v>
      </c>
      <c r="C157" s="311">
        <v>100</v>
      </c>
      <c r="D157" s="317"/>
      <c r="E157" s="313">
        <f t="shared" si="15"/>
        <v>100</v>
      </c>
      <c r="F157" s="311"/>
      <c r="G157" s="317">
        <v>100</v>
      </c>
      <c r="H157" s="317"/>
      <c r="I157" s="316"/>
      <c r="J157" s="316" t="s">
        <v>521</v>
      </c>
      <c r="K157" s="330"/>
    </row>
    <row r="158" spans="1:13" s="257" customFormat="1" x14ac:dyDescent="0.25">
      <c r="A158" s="327"/>
      <c r="B158" s="310" t="s">
        <v>236</v>
      </c>
      <c r="C158" s="311">
        <v>88876</v>
      </c>
      <c r="D158" s="317">
        <v>-11355</v>
      </c>
      <c r="E158" s="313">
        <f t="shared" si="15"/>
        <v>77521</v>
      </c>
      <c r="F158" s="311"/>
      <c r="G158" s="317">
        <f>95021-6145-11355</f>
        <v>77521</v>
      </c>
      <c r="H158" s="317"/>
      <c r="I158" s="316" t="s">
        <v>521</v>
      </c>
      <c r="J158" s="316"/>
      <c r="K158" s="330"/>
    </row>
    <row r="159" spans="1:13" s="257" customFormat="1" x14ac:dyDescent="0.25">
      <c r="A159" s="327"/>
      <c r="B159" s="310" t="s">
        <v>325</v>
      </c>
      <c r="C159" s="311">
        <v>343307</v>
      </c>
      <c r="D159" s="317">
        <v>-100000</v>
      </c>
      <c r="E159" s="313">
        <f t="shared" si="15"/>
        <v>243307</v>
      </c>
      <c r="F159" s="311">
        <v>34073</v>
      </c>
      <c r="G159" s="317">
        <f>509234-200000-100000</f>
        <v>209234</v>
      </c>
      <c r="H159" s="317"/>
      <c r="I159" s="316" t="s">
        <v>521</v>
      </c>
      <c r="J159" s="316"/>
      <c r="K159" s="330"/>
      <c r="M159" s="411"/>
    </row>
    <row r="160" spans="1:13" s="257" customFormat="1" x14ac:dyDescent="0.25">
      <c r="A160" s="327"/>
      <c r="B160" s="310" t="s">
        <v>470</v>
      </c>
      <c r="C160" s="311">
        <v>0</v>
      </c>
      <c r="D160" s="317"/>
      <c r="E160" s="313">
        <f t="shared" si="15"/>
        <v>0</v>
      </c>
      <c r="F160" s="311"/>
      <c r="G160" s="317">
        <f>10000-10000</f>
        <v>0</v>
      </c>
      <c r="H160" s="317"/>
      <c r="I160" s="316"/>
      <c r="J160" s="316"/>
      <c r="K160" s="330"/>
    </row>
    <row r="161" spans="1:11" s="257" customFormat="1" x14ac:dyDescent="0.25">
      <c r="A161" s="327"/>
      <c r="B161" s="310" t="s">
        <v>263</v>
      </c>
      <c r="C161" s="311">
        <v>0</v>
      </c>
      <c r="D161" s="317">
        <v>0</v>
      </c>
      <c r="E161" s="313">
        <f t="shared" si="15"/>
        <v>0</v>
      </c>
      <c r="F161" s="311"/>
      <c r="G161" s="317">
        <f>1000-500-500</f>
        <v>0</v>
      </c>
      <c r="H161" s="317"/>
      <c r="I161" s="316" t="s">
        <v>521</v>
      </c>
      <c r="J161" s="316"/>
      <c r="K161" s="330"/>
    </row>
    <row r="162" spans="1:11" s="257" customFormat="1" x14ac:dyDescent="0.25">
      <c r="A162" s="327"/>
      <c r="B162" s="310" t="s">
        <v>251</v>
      </c>
      <c r="C162" s="311">
        <v>0</v>
      </c>
      <c r="D162" s="317">
        <v>0</v>
      </c>
      <c r="E162" s="313">
        <f t="shared" si="15"/>
        <v>0</v>
      </c>
      <c r="F162" s="311"/>
      <c r="G162" s="317">
        <f>1200-600-600</f>
        <v>0</v>
      </c>
      <c r="H162" s="317"/>
      <c r="I162" s="316" t="s">
        <v>521</v>
      </c>
      <c r="J162" s="316"/>
      <c r="K162" s="330"/>
    </row>
    <row r="163" spans="1:11" s="257" customFormat="1" x14ac:dyDescent="0.25">
      <c r="A163" s="327"/>
      <c r="B163" s="310" t="s">
        <v>253</v>
      </c>
      <c r="C163" s="311">
        <v>0</v>
      </c>
      <c r="D163" s="317">
        <v>0</v>
      </c>
      <c r="E163" s="313">
        <f t="shared" si="15"/>
        <v>0</v>
      </c>
      <c r="F163" s="311"/>
      <c r="G163" s="317">
        <f>800-400-400</f>
        <v>0</v>
      </c>
      <c r="H163" s="317"/>
      <c r="I163" s="316" t="s">
        <v>521</v>
      </c>
      <c r="J163" s="316"/>
      <c r="K163" s="330"/>
    </row>
    <row r="164" spans="1:11" s="257" customFormat="1" x14ac:dyDescent="0.25">
      <c r="A164" s="327"/>
      <c r="B164" s="331" t="s">
        <v>471</v>
      </c>
      <c r="C164" s="332">
        <v>0</v>
      </c>
      <c r="D164" s="317">
        <v>0</v>
      </c>
      <c r="E164" s="313">
        <f t="shared" si="15"/>
        <v>0</v>
      </c>
      <c r="F164" s="332"/>
      <c r="G164" s="317">
        <f>1500-750-750</f>
        <v>0</v>
      </c>
      <c r="H164" s="317"/>
      <c r="I164" s="316" t="s">
        <v>521</v>
      </c>
      <c r="J164" s="316"/>
      <c r="K164" s="330"/>
    </row>
    <row r="165" spans="1:11" s="257" customFormat="1" x14ac:dyDescent="0.25">
      <c r="A165" s="327"/>
      <c r="B165" s="331" t="s">
        <v>533</v>
      </c>
      <c r="C165" s="332">
        <v>0</v>
      </c>
      <c r="D165" s="317">
        <v>0</v>
      </c>
      <c r="E165" s="313">
        <f t="shared" si="15"/>
        <v>0</v>
      </c>
      <c r="F165" s="332"/>
      <c r="G165" s="317">
        <f>1330-665-665</f>
        <v>0</v>
      </c>
      <c r="H165" s="317"/>
      <c r="I165" s="316" t="s">
        <v>521</v>
      </c>
      <c r="J165" s="316"/>
      <c r="K165" s="330"/>
    </row>
    <row r="166" spans="1:11" s="257" customFormat="1" x14ac:dyDescent="0.25">
      <c r="A166" s="327"/>
      <c r="B166" s="331" t="s">
        <v>607</v>
      </c>
      <c r="C166" s="332">
        <v>0</v>
      </c>
      <c r="D166" s="317"/>
      <c r="E166" s="313">
        <f t="shared" si="15"/>
        <v>0</v>
      </c>
      <c r="F166" s="332"/>
      <c r="G166" s="317">
        <f>500-500</f>
        <v>0</v>
      </c>
      <c r="H166" s="317"/>
      <c r="I166" s="316"/>
      <c r="J166" s="316" t="s">
        <v>521</v>
      </c>
      <c r="K166" s="330"/>
    </row>
    <row r="167" spans="1:11" s="257" customFormat="1" x14ac:dyDescent="0.25">
      <c r="A167" s="327"/>
      <c r="B167" s="328" t="s">
        <v>608</v>
      </c>
      <c r="C167" s="332">
        <v>30000</v>
      </c>
      <c r="D167" s="317"/>
      <c r="E167" s="313">
        <f t="shared" si="15"/>
        <v>30000</v>
      </c>
      <c r="F167" s="332"/>
      <c r="G167" s="317">
        <v>30000</v>
      </c>
      <c r="H167" s="317"/>
      <c r="I167" s="316"/>
      <c r="J167" s="316" t="s">
        <v>521</v>
      </c>
      <c r="K167" s="330"/>
    </row>
    <row r="168" spans="1:11" s="257" customFormat="1" x14ac:dyDescent="0.25">
      <c r="A168" s="327"/>
      <c r="B168" s="331" t="s">
        <v>567</v>
      </c>
      <c r="C168" s="332">
        <v>1000</v>
      </c>
      <c r="D168" s="317"/>
      <c r="E168" s="313">
        <f t="shared" si="15"/>
        <v>1000</v>
      </c>
      <c r="F168" s="332"/>
      <c r="G168" s="317">
        <v>1000</v>
      </c>
      <c r="H168" s="317"/>
      <c r="I168" s="316"/>
      <c r="J168" s="316" t="s">
        <v>521</v>
      </c>
      <c r="K168" s="330"/>
    </row>
    <row r="169" spans="1:11" x14ac:dyDescent="0.25">
      <c r="A169" s="304"/>
      <c r="B169" s="308" t="s">
        <v>237</v>
      </c>
      <c r="C169" s="319"/>
      <c r="D169" s="319"/>
      <c r="E169" s="319"/>
      <c r="F169" s="319"/>
      <c r="G169" s="319"/>
      <c r="H169" s="319"/>
      <c r="I169" s="320"/>
      <c r="J169" s="320"/>
      <c r="K169" s="320"/>
    </row>
    <row r="170" spans="1:11" s="257" customFormat="1" x14ac:dyDescent="0.25">
      <c r="A170" s="327"/>
      <c r="B170" s="331" t="s">
        <v>534</v>
      </c>
      <c r="C170" s="332">
        <v>4436</v>
      </c>
      <c r="D170" s="317">
        <v>0</v>
      </c>
      <c r="E170" s="313">
        <f t="shared" ref="E170:E240" si="17">SUM(C170:D170)</f>
        <v>4436</v>
      </c>
      <c r="F170" s="332"/>
      <c r="G170" s="317">
        <f>19436-15000</f>
        <v>4436</v>
      </c>
      <c r="H170" s="317"/>
      <c r="I170" s="316"/>
      <c r="J170" s="316" t="s">
        <v>521</v>
      </c>
      <c r="K170" s="330"/>
    </row>
    <row r="171" spans="1:11" s="257" customFormat="1" x14ac:dyDescent="0.25">
      <c r="A171" s="327"/>
      <c r="B171" s="331" t="s">
        <v>535</v>
      </c>
      <c r="C171" s="332">
        <v>6195</v>
      </c>
      <c r="D171" s="317">
        <v>8000</v>
      </c>
      <c r="E171" s="313">
        <f t="shared" si="17"/>
        <v>14195</v>
      </c>
      <c r="F171" s="332">
        <v>220</v>
      </c>
      <c r="G171" s="317">
        <f>13079-12100-4+5000+8000</f>
        <v>13975</v>
      </c>
      <c r="H171" s="317"/>
      <c r="I171" s="316"/>
      <c r="J171" s="316" t="s">
        <v>521</v>
      </c>
      <c r="K171" s="330"/>
    </row>
    <row r="172" spans="1:11" s="257" customFormat="1" x14ac:dyDescent="0.25">
      <c r="A172" s="327"/>
      <c r="B172" s="331" t="s">
        <v>536</v>
      </c>
      <c r="C172" s="332">
        <v>0</v>
      </c>
      <c r="D172" s="317"/>
      <c r="E172" s="313">
        <f t="shared" si="17"/>
        <v>0</v>
      </c>
      <c r="F172" s="332"/>
      <c r="G172" s="317">
        <f>12000+-12000</f>
        <v>0</v>
      </c>
      <c r="H172" s="317"/>
      <c r="I172" s="316"/>
      <c r="J172" s="316" t="s">
        <v>521</v>
      </c>
      <c r="K172" s="330"/>
    </row>
    <row r="173" spans="1:11" s="257" customFormat="1" x14ac:dyDescent="0.25">
      <c r="A173" s="327"/>
      <c r="B173" s="331" t="s">
        <v>537</v>
      </c>
      <c r="C173" s="332">
        <v>1500</v>
      </c>
      <c r="D173" s="317"/>
      <c r="E173" s="313">
        <f t="shared" si="17"/>
        <v>1500</v>
      </c>
      <c r="F173" s="332"/>
      <c r="G173" s="317">
        <v>1500</v>
      </c>
      <c r="H173" s="317"/>
      <c r="I173" s="316"/>
      <c r="J173" s="316" t="s">
        <v>521</v>
      </c>
      <c r="K173" s="330"/>
    </row>
    <row r="174" spans="1:11" s="257" customFormat="1" x14ac:dyDescent="0.25">
      <c r="A174" s="327"/>
      <c r="B174" s="331" t="s">
        <v>538</v>
      </c>
      <c r="C174" s="332">
        <v>0</v>
      </c>
      <c r="D174" s="317"/>
      <c r="E174" s="313">
        <f t="shared" si="17"/>
        <v>0</v>
      </c>
      <c r="F174" s="332"/>
      <c r="G174" s="317">
        <f>500-500</f>
        <v>0</v>
      </c>
      <c r="H174" s="317"/>
      <c r="I174" s="316"/>
      <c r="J174" s="316" t="s">
        <v>521</v>
      </c>
      <c r="K174" s="330"/>
    </row>
    <row r="175" spans="1:11" s="257" customFormat="1" x14ac:dyDescent="0.25">
      <c r="A175" s="327"/>
      <c r="B175" s="331" t="s">
        <v>539</v>
      </c>
      <c r="C175" s="332">
        <v>0</v>
      </c>
      <c r="D175" s="317"/>
      <c r="E175" s="313">
        <f t="shared" si="17"/>
        <v>0</v>
      </c>
      <c r="F175" s="332"/>
      <c r="G175" s="317">
        <f>500-500</f>
        <v>0</v>
      </c>
      <c r="H175" s="317"/>
      <c r="I175" s="316"/>
      <c r="J175" s="316" t="s">
        <v>521</v>
      </c>
      <c r="K175" s="330"/>
    </row>
    <row r="176" spans="1:11" s="257" customFormat="1" x14ac:dyDescent="0.25">
      <c r="A176" s="327"/>
      <c r="B176" s="331" t="s">
        <v>609</v>
      </c>
      <c r="C176" s="332">
        <v>2000</v>
      </c>
      <c r="D176" s="317"/>
      <c r="E176" s="313">
        <f t="shared" si="17"/>
        <v>2000</v>
      </c>
      <c r="F176" s="332"/>
      <c r="G176" s="317">
        <v>2000</v>
      </c>
      <c r="H176" s="317"/>
      <c r="I176" s="316"/>
      <c r="J176" s="316" t="s">
        <v>521</v>
      </c>
      <c r="K176" s="330"/>
    </row>
    <row r="177" spans="1:11" s="257" customFormat="1" x14ac:dyDescent="0.25">
      <c r="A177" s="327"/>
      <c r="B177" s="331" t="s">
        <v>610</v>
      </c>
      <c r="C177" s="332">
        <v>400</v>
      </c>
      <c r="D177" s="317"/>
      <c r="E177" s="313">
        <f t="shared" si="17"/>
        <v>400</v>
      </c>
      <c r="F177" s="332"/>
      <c r="G177" s="317">
        <f>6400-6000</f>
        <v>400</v>
      </c>
      <c r="H177" s="317"/>
      <c r="I177" s="316"/>
      <c r="J177" s="316" t="s">
        <v>521</v>
      </c>
      <c r="K177" s="330"/>
    </row>
    <row r="178" spans="1:11" s="257" customFormat="1" x14ac:dyDescent="0.25">
      <c r="A178" s="327"/>
      <c r="B178" s="331" t="s">
        <v>611</v>
      </c>
      <c r="C178" s="332">
        <v>2351</v>
      </c>
      <c r="D178" s="317"/>
      <c r="E178" s="313">
        <f t="shared" si="17"/>
        <v>2351</v>
      </c>
      <c r="F178" s="332"/>
      <c r="G178" s="317">
        <f>6770-4419</f>
        <v>2351</v>
      </c>
      <c r="H178" s="317"/>
      <c r="I178" s="316"/>
      <c r="J178" s="316" t="s">
        <v>521</v>
      </c>
      <c r="K178" s="330"/>
    </row>
    <row r="179" spans="1:11" s="257" customFormat="1" x14ac:dyDescent="0.25">
      <c r="A179" s="327"/>
      <c r="B179" s="331" t="s">
        <v>656</v>
      </c>
      <c r="C179" s="332">
        <v>0</v>
      </c>
      <c r="D179" s="317"/>
      <c r="E179" s="313">
        <f t="shared" si="17"/>
        <v>0</v>
      </c>
      <c r="F179" s="332"/>
      <c r="G179" s="317">
        <f>3000-3000</f>
        <v>0</v>
      </c>
      <c r="H179" s="317"/>
      <c r="I179" s="316"/>
      <c r="J179" s="316" t="s">
        <v>521</v>
      </c>
      <c r="K179" s="330"/>
    </row>
    <row r="180" spans="1:11" s="257" customFormat="1" x14ac:dyDescent="0.25">
      <c r="A180" s="327"/>
      <c r="B180" s="331" t="s">
        <v>692</v>
      </c>
      <c r="C180" s="332">
        <v>27000</v>
      </c>
      <c r="D180" s="317"/>
      <c r="E180" s="313">
        <f t="shared" si="17"/>
        <v>27000</v>
      </c>
      <c r="F180" s="332"/>
      <c r="G180" s="317">
        <f>25000+1000+1000</f>
        <v>27000</v>
      </c>
      <c r="H180" s="317"/>
      <c r="I180" s="316"/>
      <c r="J180" s="316" t="s">
        <v>521</v>
      </c>
      <c r="K180" s="330"/>
    </row>
    <row r="181" spans="1:11" s="257" customFormat="1" x14ac:dyDescent="0.25">
      <c r="A181" s="327"/>
      <c r="B181" s="328" t="s">
        <v>612</v>
      </c>
      <c r="C181" s="332">
        <v>1519</v>
      </c>
      <c r="D181" s="317"/>
      <c r="E181" s="313">
        <f>SUM(C181:D181)</f>
        <v>1519</v>
      </c>
      <c r="F181" s="332"/>
      <c r="G181" s="317">
        <f>3946-2427</f>
        <v>1519</v>
      </c>
      <c r="H181" s="317"/>
      <c r="I181" s="316"/>
      <c r="J181" s="316" t="s">
        <v>521</v>
      </c>
      <c r="K181" s="330"/>
    </row>
    <row r="182" spans="1:11" s="257" customFormat="1" ht="31.5" x14ac:dyDescent="0.25">
      <c r="A182" s="327"/>
      <c r="B182" s="328" t="s">
        <v>693</v>
      </c>
      <c r="C182" s="332">
        <v>1270</v>
      </c>
      <c r="D182" s="317"/>
      <c r="E182" s="313">
        <f>SUM(C182:D182)</f>
        <v>1270</v>
      </c>
      <c r="F182" s="332"/>
      <c r="G182" s="317">
        <v>1270</v>
      </c>
      <c r="H182" s="317"/>
      <c r="I182" s="316"/>
      <c r="J182" s="316" t="s">
        <v>521</v>
      </c>
      <c r="K182" s="330"/>
    </row>
    <row r="183" spans="1:11" s="257" customFormat="1" x14ac:dyDescent="0.25">
      <c r="A183" s="327"/>
      <c r="B183" s="328" t="s">
        <v>694</v>
      </c>
      <c r="C183" s="329">
        <v>0</v>
      </c>
      <c r="D183" s="317"/>
      <c r="E183" s="313">
        <f t="shared" si="17"/>
        <v>0</v>
      </c>
      <c r="F183" s="329"/>
      <c r="G183" s="317">
        <f>10200-10200</f>
        <v>0</v>
      </c>
      <c r="H183" s="317"/>
      <c r="I183" s="316"/>
      <c r="J183" s="316" t="s">
        <v>521</v>
      </c>
      <c r="K183" s="330"/>
    </row>
    <row r="184" spans="1:11" s="257" customFormat="1" x14ac:dyDescent="0.25">
      <c r="A184" s="327"/>
      <c r="B184" s="328" t="s">
        <v>695</v>
      </c>
      <c r="C184" s="329">
        <v>0</v>
      </c>
      <c r="D184" s="317"/>
      <c r="E184" s="313">
        <f t="shared" si="17"/>
        <v>0</v>
      </c>
      <c r="F184" s="329"/>
      <c r="G184" s="317">
        <f>18885-18885</f>
        <v>0</v>
      </c>
      <c r="H184" s="317"/>
      <c r="I184" s="316"/>
      <c r="J184" s="316" t="s">
        <v>521</v>
      </c>
      <c r="K184" s="330"/>
    </row>
    <row r="185" spans="1:11" s="257" customFormat="1" x14ac:dyDescent="0.25">
      <c r="A185" s="327"/>
      <c r="B185" s="328" t="s">
        <v>696</v>
      </c>
      <c r="C185" s="329">
        <v>0</v>
      </c>
      <c r="D185" s="317"/>
      <c r="E185" s="313">
        <f t="shared" si="17"/>
        <v>0</v>
      </c>
      <c r="F185" s="329"/>
      <c r="G185" s="317">
        <f>5000-5000</f>
        <v>0</v>
      </c>
      <c r="H185" s="317"/>
      <c r="I185" s="316"/>
      <c r="J185" s="316" t="s">
        <v>521</v>
      </c>
      <c r="K185" s="330"/>
    </row>
    <row r="186" spans="1:11" s="257" customFormat="1" x14ac:dyDescent="0.25">
      <c r="A186" s="327"/>
      <c r="B186" s="328" t="s">
        <v>697</v>
      </c>
      <c r="C186" s="329">
        <v>1500</v>
      </c>
      <c r="D186" s="317"/>
      <c r="E186" s="313">
        <f t="shared" si="17"/>
        <v>1500</v>
      </c>
      <c r="F186" s="329"/>
      <c r="G186" s="317">
        <v>1500</v>
      </c>
      <c r="H186" s="317"/>
      <c r="I186" s="316"/>
      <c r="J186" s="316" t="s">
        <v>521</v>
      </c>
      <c r="K186" s="330"/>
    </row>
    <row r="187" spans="1:11" s="257" customFormat="1" x14ac:dyDescent="0.25">
      <c r="A187" s="327"/>
      <c r="B187" s="328" t="s">
        <v>698</v>
      </c>
      <c r="C187" s="329">
        <v>0</v>
      </c>
      <c r="D187" s="317"/>
      <c r="E187" s="313">
        <f t="shared" si="17"/>
        <v>0</v>
      </c>
      <c r="F187" s="329"/>
      <c r="G187" s="317">
        <f>3000-3000</f>
        <v>0</v>
      </c>
      <c r="H187" s="317"/>
      <c r="I187" s="316"/>
      <c r="J187" s="316" t="s">
        <v>521</v>
      </c>
      <c r="K187" s="330"/>
    </row>
    <row r="188" spans="1:11" s="257" customFormat="1" x14ac:dyDescent="0.25">
      <c r="A188" s="327"/>
      <c r="B188" s="328" t="s">
        <v>699</v>
      </c>
      <c r="C188" s="329">
        <v>0</v>
      </c>
      <c r="D188" s="317"/>
      <c r="E188" s="313">
        <f t="shared" si="17"/>
        <v>0</v>
      </c>
      <c r="F188" s="329"/>
      <c r="G188" s="317">
        <f>4300-4300</f>
        <v>0</v>
      </c>
      <c r="H188" s="317"/>
      <c r="I188" s="316"/>
      <c r="J188" s="316" t="s">
        <v>521</v>
      </c>
      <c r="K188" s="330"/>
    </row>
    <row r="189" spans="1:11" x14ac:dyDescent="0.25">
      <c r="A189" s="304"/>
      <c r="B189" s="900" t="s">
        <v>95</v>
      </c>
      <c r="C189" s="464">
        <f>SUM(C190:C191)</f>
        <v>47758</v>
      </c>
      <c r="D189" s="464">
        <f>SUM(D190:D191)</f>
        <v>-21767</v>
      </c>
      <c r="E189" s="464">
        <f t="shared" si="17"/>
        <v>25991</v>
      </c>
      <c r="F189" s="464">
        <f>SUM(F190:F191)</f>
        <v>3627</v>
      </c>
      <c r="G189" s="464">
        <f>SUM(G190:G191)</f>
        <v>22364</v>
      </c>
      <c r="H189" s="464">
        <f>SUM(H190:H191)</f>
        <v>0</v>
      </c>
      <c r="I189" s="413" t="s">
        <v>521</v>
      </c>
      <c r="J189" s="413"/>
      <c r="K189" s="413"/>
    </row>
    <row r="190" spans="1:11" x14ac:dyDescent="0.25">
      <c r="A190" s="304"/>
      <c r="B190" s="318" t="s">
        <v>122</v>
      </c>
      <c r="C190" s="319">
        <v>7696</v>
      </c>
      <c r="D190" s="319">
        <v>-3400</v>
      </c>
      <c r="E190" s="319">
        <f t="shared" si="17"/>
        <v>4296</v>
      </c>
      <c r="F190" s="319">
        <v>0</v>
      </c>
      <c r="G190" s="319">
        <f>8596-900-3400</f>
        <v>4296</v>
      </c>
      <c r="H190" s="319"/>
      <c r="I190" s="320" t="s">
        <v>521</v>
      </c>
      <c r="J190" s="466"/>
      <c r="K190" s="466"/>
    </row>
    <row r="191" spans="1:11" x14ac:dyDescent="0.25">
      <c r="A191" s="304"/>
      <c r="B191" s="318" t="s">
        <v>123</v>
      </c>
      <c r="C191" s="319">
        <v>40062</v>
      </c>
      <c r="D191" s="319">
        <f>-2367-16000</f>
        <v>-18367</v>
      </c>
      <c r="E191" s="319">
        <f t="shared" si="17"/>
        <v>21695</v>
      </c>
      <c r="F191" s="319">
        <v>3627</v>
      </c>
      <c r="G191" s="319">
        <f>42038-5603-2367-16000</f>
        <v>18068</v>
      </c>
      <c r="H191" s="319"/>
      <c r="I191" s="320" t="s">
        <v>521</v>
      </c>
      <c r="J191" s="466"/>
      <c r="K191" s="466"/>
    </row>
    <row r="192" spans="1:11" x14ac:dyDescent="0.25">
      <c r="A192" s="304"/>
      <c r="B192" s="463" t="s">
        <v>238</v>
      </c>
      <c r="C192" s="464">
        <v>437000</v>
      </c>
      <c r="D192" s="464">
        <f>D193+D194+D195+D196+D197+D198+D199+D200</f>
        <v>60000</v>
      </c>
      <c r="E192" s="464">
        <f t="shared" si="17"/>
        <v>497000</v>
      </c>
      <c r="F192" s="464">
        <f>SUM(F193:F200)</f>
        <v>0</v>
      </c>
      <c r="G192" s="464">
        <f>SUM(G193:G200)</f>
        <v>497000</v>
      </c>
      <c r="H192" s="464"/>
      <c r="I192" s="413"/>
      <c r="J192" s="413" t="s">
        <v>521</v>
      </c>
      <c r="K192" s="413"/>
    </row>
    <row r="193" spans="1:11" ht="18" customHeight="1" x14ac:dyDescent="0.25">
      <c r="A193" s="304"/>
      <c r="B193" s="321" t="s">
        <v>472</v>
      </c>
      <c r="C193" s="319">
        <v>60000</v>
      </c>
      <c r="D193" s="319">
        <v>60000</v>
      </c>
      <c r="E193" s="319">
        <f t="shared" si="17"/>
        <v>120000</v>
      </c>
      <c r="F193" s="319"/>
      <c r="G193" s="319">
        <f>120000-60000+60000</f>
        <v>120000</v>
      </c>
      <c r="H193" s="319"/>
      <c r="I193" s="320"/>
      <c r="J193" s="320" t="s">
        <v>521</v>
      </c>
      <c r="K193" s="320"/>
    </row>
    <row r="194" spans="1:11" x14ac:dyDescent="0.25">
      <c r="A194" s="304"/>
      <c r="B194" s="321" t="s">
        <v>540</v>
      </c>
      <c r="C194" s="319">
        <v>165000</v>
      </c>
      <c r="D194" s="319"/>
      <c r="E194" s="319">
        <f t="shared" si="17"/>
        <v>165000</v>
      </c>
      <c r="F194" s="319"/>
      <c r="G194" s="319">
        <v>165000</v>
      </c>
      <c r="H194" s="319"/>
      <c r="I194" s="320"/>
      <c r="J194" s="320" t="s">
        <v>521</v>
      </c>
      <c r="K194" s="320"/>
    </row>
    <row r="195" spans="1:11" x14ac:dyDescent="0.25">
      <c r="A195" s="304"/>
      <c r="B195" s="321" t="s">
        <v>111</v>
      </c>
      <c r="C195" s="319">
        <v>50000</v>
      </c>
      <c r="D195" s="319"/>
      <c r="E195" s="319">
        <f t="shared" si="17"/>
        <v>50000</v>
      </c>
      <c r="F195" s="319"/>
      <c r="G195" s="319">
        <f>60000-10000</f>
        <v>50000</v>
      </c>
      <c r="H195" s="319"/>
      <c r="I195" s="320"/>
      <c r="J195" s="320" t="s">
        <v>521</v>
      </c>
      <c r="K195" s="320"/>
    </row>
    <row r="196" spans="1:11" x14ac:dyDescent="0.25">
      <c r="A196" s="304"/>
      <c r="B196" s="321" t="s">
        <v>473</v>
      </c>
      <c r="C196" s="319">
        <v>32000</v>
      </c>
      <c r="D196" s="319"/>
      <c r="E196" s="319">
        <f t="shared" si="17"/>
        <v>32000</v>
      </c>
      <c r="F196" s="319"/>
      <c r="G196" s="319">
        <v>32000</v>
      </c>
      <c r="H196" s="319"/>
      <c r="I196" s="320"/>
      <c r="J196" s="320" t="s">
        <v>521</v>
      </c>
      <c r="K196" s="320"/>
    </row>
    <row r="197" spans="1:11" x14ac:dyDescent="0.25">
      <c r="A197" s="304"/>
      <c r="B197" s="321" t="s">
        <v>700</v>
      </c>
      <c r="C197" s="319">
        <v>0</v>
      </c>
      <c r="D197" s="319"/>
      <c r="E197" s="319">
        <f t="shared" si="17"/>
        <v>0</v>
      </c>
      <c r="F197" s="319"/>
      <c r="G197" s="319">
        <f>9000-9000</f>
        <v>0</v>
      </c>
      <c r="H197" s="319"/>
      <c r="I197" s="320"/>
      <c r="J197" s="320" t="s">
        <v>521</v>
      </c>
      <c r="K197" s="320"/>
    </row>
    <row r="198" spans="1:11" x14ac:dyDescent="0.25">
      <c r="A198" s="304"/>
      <c r="B198" s="321" t="s">
        <v>67</v>
      </c>
      <c r="C198" s="319">
        <v>17500</v>
      </c>
      <c r="D198" s="319"/>
      <c r="E198" s="319">
        <f t="shared" si="17"/>
        <v>17500</v>
      </c>
      <c r="F198" s="319"/>
      <c r="G198" s="319">
        <f>35000-17500</f>
        <v>17500</v>
      </c>
      <c r="H198" s="319"/>
      <c r="I198" s="320"/>
      <c r="J198" s="320" t="s">
        <v>521</v>
      </c>
      <c r="K198" s="320"/>
    </row>
    <row r="199" spans="1:11" x14ac:dyDescent="0.25">
      <c r="A199" s="304"/>
      <c r="B199" s="321" t="s">
        <v>321</v>
      </c>
      <c r="C199" s="319">
        <v>112500</v>
      </c>
      <c r="D199" s="319"/>
      <c r="E199" s="319">
        <f t="shared" si="17"/>
        <v>112500</v>
      </c>
      <c r="F199" s="319"/>
      <c r="G199" s="319">
        <f>126000-13500</f>
        <v>112500</v>
      </c>
      <c r="H199" s="319"/>
      <c r="I199" s="320"/>
      <c r="J199" s="320" t="s">
        <v>521</v>
      </c>
      <c r="K199" s="320"/>
    </row>
    <row r="200" spans="1:11" x14ac:dyDescent="0.25">
      <c r="A200" s="304"/>
      <c r="B200" s="321" t="s">
        <v>100</v>
      </c>
      <c r="C200" s="319">
        <v>0</v>
      </c>
      <c r="D200" s="319"/>
      <c r="E200" s="319">
        <f t="shared" si="17"/>
        <v>0</v>
      </c>
      <c r="F200" s="319"/>
      <c r="G200" s="319">
        <f>7000-7000</f>
        <v>0</v>
      </c>
      <c r="H200" s="319"/>
      <c r="I200" s="320"/>
      <c r="J200" s="320" t="s">
        <v>521</v>
      </c>
      <c r="K200" s="320"/>
    </row>
    <row r="201" spans="1:11" x14ac:dyDescent="0.25">
      <c r="A201" s="304"/>
      <c r="B201" s="463" t="s">
        <v>134</v>
      </c>
      <c r="C201" s="464">
        <f>C202+C203+C204</f>
        <v>170000</v>
      </c>
      <c r="D201" s="464">
        <f t="shared" ref="D201:E201" si="18">D202+D203+D204</f>
        <v>0</v>
      </c>
      <c r="E201" s="464">
        <f t="shared" si="18"/>
        <v>170000</v>
      </c>
      <c r="F201" s="464">
        <f>SUM(F202:F204)</f>
        <v>0</v>
      </c>
      <c r="G201" s="464">
        <f>SUM(G202:G204)</f>
        <v>170000</v>
      </c>
      <c r="H201" s="464">
        <f>SUM(H202:H204)</f>
        <v>0</v>
      </c>
      <c r="I201" s="413" t="s">
        <v>521</v>
      </c>
      <c r="J201" s="413"/>
      <c r="K201" s="413"/>
    </row>
    <row r="202" spans="1:11" ht="31.5" x14ac:dyDescent="0.25">
      <c r="A202" s="304"/>
      <c r="B202" s="321" t="s">
        <v>541</v>
      </c>
      <c r="C202" s="319">
        <v>102000</v>
      </c>
      <c r="D202" s="319"/>
      <c r="E202" s="319">
        <f t="shared" si="17"/>
        <v>102000</v>
      </c>
      <c r="F202" s="319"/>
      <c r="G202" s="319">
        <f>130000-28000</f>
        <v>102000</v>
      </c>
      <c r="H202" s="319"/>
      <c r="I202" s="320" t="s">
        <v>521</v>
      </c>
      <c r="J202" s="320"/>
      <c r="K202" s="320"/>
    </row>
    <row r="203" spans="1:11" ht="30" customHeight="1" x14ac:dyDescent="0.25">
      <c r="A203" s="304"/>
      <c r="B203" s="321" t="s">
        <v>135</v>
      </c>
      <c r="C203" s="319">
        <v>35000</v>
      </c>
      <c r="D203" s="319"/>
      <c r="E203" s="319">
        <f t="shared" si="17"/>
        <v>35000</v>
      </c>
      <c r="F203" s="319"/>
      <c r="G203" s="319">
        <f>40000-5000</f>
        <v>35000</v>
      </c>
      <c r="H203" s="319"/>
      <c r="I203" s="320" t="s">
        <v>521</v>
      </c>
      <c r="J203" s="320"/>
      <c r="K203" s="320"/>
    </row>
    <row r="204" spans="1:11" ht="31.5" x14ac:dyDescent="0.25">
      <c r="A204" s="304"/>
      <c r="B204" s="321" t="s">
        <v>51</v>
      </c>
      <c r="C204" s="319">
        <v>33000</v>
      </c>
      <c r="D204" s="319"/>
      <c r="E204" s="319">
        <f t="shared" si="17"/>
        <v>33000</v>
      </c>
      <c r="F204" s="319"/>
      <c r="G204" s="319">
        <f>35000-2000</f>
        <v>33000</v>
      </c>
      <c r="H204" s="319"/>
      <c r="I204" s="320" t="s">
        <v>521</v>
      </c>
      <c r="J204" s="320"/>
      <c r="K204" s="320"/>
    </row>
    <row r="205" spans="1:11" x14ac:dyDescent="0.25">
      <c r="A205" s="304"/>
      <c r="B205" s="900" t="s">
        <v>239</v>
      </c>
      <c r="C205" s="464">
        <f>C206+C207+C208+C209+C210+C211+C212+C213+C214+C215+C216+C217+C218+C219+C220+C221+C222+C223+C224</f>
        <v>178650</v>
      </c>
      <c r="D205" s="464">
        <f>D206+D207+D208+D209+D210+D211+D212+D213+D214+D215+D216+D217+D218+D219+D220+D221+D222+D223+D224</f>
        <v>-54802</v>
      </c>
      <c r="E205" s="464">
        <f t="shared" si="17"/>
        <v>123848</v>
      </c>
      <c r="F205" s="464">
        <v>0</v>
      </c>
      <c r="G205" s="464">
        <f>243150-1000-20000-500-4600+3900+2000+38000-58000-24300-8000-15000-31802</f>
        <v>123848</v>
      </c>
      <c r="H205" s="464"/>
      <c r="I205" s="413"/>
      <c r="J205" s="413" t="s">
        <v>521</v>
      </c>
      <c r="K205" s="413"/>
    </row>
    <row r="206" spans="1:11" s="257" customFormat="1" ht="31.5" x14ac:dyDescent="0.25">
      <c r="A206" s="327"/>
      <c r="B206" s="328" t="s">
        <v>613</v>
      </c>
      <c r="C206" s="329">
        <v>0</v>
      </c>
      <c r="D206" s="317"/>
      <c r="E206" s="313">
        <f t="shared" si="17"/>
        <v>0</v>
      </c>
      <c r="F206" s="329"/>
      <c r="G206" s="317">
        <f>2500-2500</f>
        <v>0</v>
      </c>
      <c r="H206" s="317"/>
      <c r="I206" s="316"/>
      <c r="J206" s="316" t="s">
        <v>521</v>
      </c>
      <c r="K206" s="330"/>
    </row>
    <row r="207" spans="1:11" s="257" customFormat="1" x14ac:dyDescent="0.25">
      <c r="A207" s="327"/>
      <c r="B207" s="328" t="s">
        <v>322</v>
      </c>
      <c r="C207" s="329">
        <v>500</v>
      </c>
      <c r="D207" s="317"/>
      <c r="E207" s="313">
        <f t="shared" si="17"/>
        <v>500</v>
      </c>
      <c r="F207" s="329"/>
      <c r="G207" s="317">
        <f>500</f>
        <v>500</v>
      </c>
      <c r="H207" s="317"/>
      <c r="I207" s="316"/>
      <c r="J207" s="316" t="s">
        <v>521</v>
      </c>
      <c r="K207" s="330"/>
    </row>
    <row r="208" spans="1:11" s="257" customFormat="1" x14ac:dyDescent="0.25">
      <c r="A208" s="327"/>
      <c r="B208" s="328" t="s">
        <v>323</v>
      </c>
      <c r="C208" s="329">
        <v>0</v>
      </c>
      <c r="D208" s="317"/>
      <c r="E208" s="313">
        <f t="shared" si="17"/>
        <v>0</v>
      </c>
      <c r="F208" s="329"/>
      <c r="G208" s="317">
        <f>12000-12000</f>
        <v>0</v>
      </c>
      <c r="H208" s="317"/>
      <c r="I208" s="316"/>
      <c r="J208" s="316" t="s">
        <v>521</v>
      </c>
      <c r="K208" s="330"/>
    </row>
    <row r="209" spans="1:11" s="257" customFormat="1" ht="31.5" x14ac:dyDescent="0.25">
      <c r="A209" s="327"/>
      <c r="B209" s="328" t="s">
        <v>542</v>
      </c>
      <c r="C209" s="329">
        <v>15000</v>
      </c>
      <c r="D209" s="317"/>
      <c r="E209" s="313">
        <f t="shared" si="17"/>
        <v>15000</v>
      </c>
      <c r="F209" s="329"/>
      <c r="G209" s="317">
        <f>41000-26000</f>
        <v>15000</v>
      </c>
      <c r="H209" s="317"/>
      <c r="I209" s="316"/>
      <c r="J209" s="316" t="s">
        <v>521</v>
      </c>
      <c r="K209" s="330"/>
    </row>
    <row r="210" spans="1:11" s="257" customFormat="1" ht="31.5" x14ac:dyDescent="0.25">
      <c r="A210" s="327"/>
      <c r="B210" s="328" t="s">
        <v>543</v>
      </c>
      <c r="C210" s="329">
        <v>0</v>
      </c>
      <c r="D210" s="317"/>
      <c r="E210" s="313">
        <f t="shared" si="17"/>
        <v>0</v>
      </c>
      <c r="F210" s="329"/>
      <c r="G210" s="317">
        <f>4000-4000</f>
        <v>0</v>
      </c>
      <c r="H210" s="317"/>
      <c r="I210" s="316"/>
      <c r="J210" s="316" t="s">
        <v>521</v>
      </c>
      <c r="K210" s="330"/>
    </row>
    <row r="211" spans="1:11" s="257" customFormat="1" ht="31.5" x14ac:dyDescent="0.25">
      <c r="A211" s="327"/>
      <c r="B211" s="328" t="s">
        <v>324</v>
      </c>
      <c r="C211" s="329">
        <v>0</v>
      </c>
      <c r="D211" s="317"/>
      <c r="E211" s="313">
        <f t="shared" si="17"/>
        <v>0</v>
      </c>
      <c r="F211" s="329"/>
      <c r="G211" s="317">
        <f>1000-1000</f>
        <v>0</v>
      </c>
      <c r="H211" s="317"/>
      <c r="I211" s="316"/>
      <c r="J211" s="316" t="s">
        <v>521</v>
      </c>
      <c r="K211" s="330"/>
    </row>
    <row r="212" spans="1:11" s="257" customFormat="1" x14ac:dyDescent="0.25">
      <c r="A212" s="327"/>
      <c r="B212" s="328" t="s">
        <v>544</v>
      </c>
      <c r="C212" s="329">
        <v>500</v>
      </c>
      <c r="D212" s="317"/>
      <c r="E212" s="313">
        <f t="shared" si="17"/>
        <v>500</v>
      </c>
      <c r="F212" s="329"/>
      <c r="G212" s="317">
        <f>1500-1000</f>
        <v>500</v>
      </c>
      <c r="H212" s="317"/>
      <c r="I212" s="316"/>
      <c r="J212" s="316" t="s">
        <v>521</v>
      </c>
      <c r="K212" s="330"/>
    </row>
    <row r="213" spans="1:11" s="257" customFormat="1" x14ac:dyDescent="0.25">
      <c r="A213" s="327"/>
      <c r="B213" s="328" t="s">
        <v>545</v>
      </c>
      <c r="C213" s="329">
        <v>17500</v>
      </c>
      <c r="D213" s="317"/>
      <c r="E213" s="313">
        <f t="shared" si="17"/>
        <v>17500</v>
      </c>
      <c r="F213" s="329"/>
      <c r="G213" s="317">
        <v>17500</v>
      </c>
      <c r="H213" s="317"/>
      <c r="I213" s="316"/>
      <c r="J213" s="316" t="s">
        <v>521</v>
      </c>
      <c r="K213" s="330"/>
    </row>
    <row r="214" spans="1:11" s="257" customFormat="1" x14ac:dyDescent="0.25">
      <c r="A214" s="327"/>
      <c r="B214" s="328" t="s">
        <v>474</v>
      </c>
      <c r="C214" s="329">
        <v>20000</v>
      </c>
      <c r="D214" s="317">
        <v>0</v>
      </c>
      <c r="E214" s="313">
        <f t="shared" si="17"/>
        <v>20000</v>
      </c>
      <c r="F214" s="329"/>
      <c r="G214" s="317">
        <f>25000-5000</f>
        <v>20000</v>
      </c>
      <c r="H214" s="317"/>
      <c r="I214" s="316"/>
      <c r="J214" s="316" t="s">
        <v>521</v>
      </c>
      <c r="K214" s="330"/>
    </row>
    <row r="215" spans="1:11" s="257" customFormat="1" x14ac:dyDescent="0.25">
      <c r="A215" s="327" t="s">
        <v>657</v>
      </c>
      <c r="B215" s="328" t="s">
        <v>475</v>
      </c>
      <c r="C215" s="329">
        <v>500</v>
      </c>
      <c r="D215" s="317"/>
      <c r="E215" s="313">
        <f t="shared" ref="E215:E220" si="19">SUM(C215:D215)</f>
        <v>500</v>
      </c>
      <c r="F215" s="329"/>
      <c r="G215" s="317">
        <f>1000-500</f>
        <v>500</v>
      </c>
      <c r="H215" s="317"/>
      <c r="I215" s="316"/>
      <c r="J215" s="316" t="s">
        <v>521</v>
      </c>
      <c r="K215" s="330"/>
    </row>
    <row r="216" spans="1:11" s="257" customFormat="1" x14ac:dyDescent="0.25">
      <c r="A216" s="327"/>
      <c r="B216" s="328" t="s">
        <v>701</v>
      </c>
      <c r="C216" s="329">
        <v>500</v>
      </c>
      <c r="D216" s="317"/>
      <c r="E216" s="313">
        <f t="shared" si="19"/>
        <v>500</v>
      </c>
      <c r="F216" s="329"/>
      <c r="G216" s="317">
        <f>1000-500</f>
        <v>500</v>
      </c>
      <c r="H216" s="317"/>
      <c r="I216" s="316"/>
      <c r="J216" s="316" t="s">
        <v>521</v>
      </c>
      <c r="K216" s="330"/>
    </row>
    <row r="217" spans="1:11" s="257" customFormat="1" x14ac:dyDescent="0.25">
      <c r="A217" s="327"/>
      <c r="B217" s="328" t="s">
        <v>614</v>
      </c>
      <c r="C217" s="329">
        <v>10000</v>
      </c>
      <c r="D217" s="317"/>
      <c r="E217" s="313">
        <f t="shared" si="19"/>
        <v>10000</v>
      </c>
      <c r="F217" s="329"/>
      <c r="G217" s="317">
        <f>15000-5000</f>
        <v>10000</v>
      </c>
      <c r="H217" s="317"/>
      <c r="I217" s="316"/>
      <c r="J217" s="316" t="s">
        <v>521</v>
      </c>
      <c r="K217" s="330"/>
    </row>
    <row r="218" spans="1:11" s="257" customFormat="1" x14ac:dyDescent="0.25">
      <c r="A218" s="327"/>
      <c r="B218" s="328" t="s">
        <v>615</v>
      </c>
      <c r="C218" s="329">
        <v>66650</v>
      </c>
      <c r="D218" s="317">
        <f>-8000-15000</f>
        <v>-23000</v>
      </c>
      <c r="E218" s="313">
        <f t="shared" si="19"/>
        <v>43650</v>
      </c>
      <c r="F218" s="329"/>
      <c r="G218" s="317">
        <f>42750-20000+3900+38000+2000-8000-15000</f>
        <v>43650</v>
      </c>
      <c r="H218" s="317"/>
      <c r="I218" s="316"/>
      <c r="J218" s="316" t="s">
        <v>521</v>
      </c>
      <c r="K218" s="330"/>
    </row>
    <row r="219" spans="1:11" s="257" customFormat="1" x14ac:dyDescent="0.25">
      <c r="A219" s="327"/>
      <c r="B219" s="328" t="s">
        <v>616</v>
      </c>
      <c r="C219" s="329">
        <v>500</v>
      </c>
      <c r="D219" s="317">
        <v>0</v>
      </c>
      <c r="E219" s="313">
        <f t="shared" si="19"/>
        <v>500</v>
      </c>
      <c r="F219" s="329"/>
      <c r="G219" s="317">
        <f>1000-500</f>
        <v>500</v>
      </c>
      <c r="H219" s="317"/>
      <c r="I219" s="316"/>
      <c r="J219" s="316" t="s">
        <v>521</v>
      </c>
      <c r="K219" s="330"/>
    </row>
    <row r="220" spans="1:11" s="257" customFormat="1" ht="31.5" x14ac:dyDescent="0.25">
      <c r="A220" s="327"/>
      <c r="B220" s="328" t="s">
        <v>617</v>
      </c>
      <c r="C220" s="329">
        <v>45000</v>
      </c>
      <c r="D220" s="317">
        <v>-31802</v>
      </c>
      <c r="E220" s="313">
        <f t="shared" si="19"/>
        <v>13198</v>
      </c>
      <c r="F220" s="329"/>
      <c r="G220" s="317">
        <f>45000-31802</f>
        <v>13198</v>
      </c>
      <c r="H220" s="317"/>
      <c r="I220" s="316"/>
      <c r="J220" s="316" t="s">
        <v>521</v>
      </c>
      <c r="K220" s="330"/>
    </row>
    <row r="221" spans="1:11" s="257" customFormat="1" x14ac:dyDescent="0.25">
      <c r="A221" s="327"/>
      <c r="B221" s="328" t="s">
        <v>702</v>
      </c>
      <c r="C221" s="329">
        <v>600</v>
      </c>
      <c r="D221" s="317"/>
      <c r="E221" s="313">
        <f t="shared" ref="E221:E223" si="20">SUM(C221:D221)</f>
        <v>600</v>
      </c>
      <c r="F221" s="329"/>
      <c r="G221" s="317">
        <f>1100-500</f>
        <v>600</v>
      </c>
      <c r="H221" s="317"/>
      <c r="I221" s="316"/>
      <c r="J221" s="316" t="s">
        <v>521</v>
      </c>
      <c r="K221" s="330"/>
    </row>
    <row r="222" spans="1:11" s="257" customFormat="1" ht="31.5" x14ac:dyDescent="0.25">
      <c r="A222" s="327"/>
      <c r="B222" s="328" t="s">
        <v>776</v>
      </c>
      <c r="C222" s="329">
        <v>0</v>
      </c>
      <c r="D222" s="317">
        <v>0</v>
      </c>
      <c r="E222" s="313">
        <f t="shared" si="20"/>
        <v>0</v>
      </c>
      <c r="F222" s="329"/>
      <c r="G222" s="317">
        <f>24300-24300</f>
        <v>0</v>
      </c>
      <c r="H222" s="317"/>
      <c r="I222" s="316"/>
      <c r="J222" s="316" t="s">
        <v>521</v>
      </c>
      <c r="K222" s="330"/>
    </row>
    <row r="223" spans="1:11" s="257" customFormat="1" x14ac:dyDescent="0.25">
      <c r="A223" s="327"/>
      <c r="B223" s="328" t="s">
        <v>703</v>
      </c>
      <c r="C223" s="329">
        <v>400</v>
      </c>
      <c r="D223" s="317"/>
      <c r="E223" s="313">
        <f t="shared" si="20"/>
        <v>400</v>
      </c>
      <c r="F223" s="329"/>
      <c r="G223" s="317">
        <f>5000-4600</f>
        <v>400</v>
      </c>
      <c r="H223" s="317"/>
      <c r="I223" s="316"/>
      <c r="J223" s="316" t="s">
        <v>521</v>
      </c>
      <c r="K223" s="330"/>
    </row>
    <row r="224" spans="1:11" s="257" customFormat="1" ht="31.5" x14ac:dyDescent="0.25">
      <c r="A224" s="327"/>
      <c r="B224" s="328" t="s">
        <v>704</v>
      </c>
      <c r="C224" s="329">
        <v>1000</v>
      </c>
      <c r="D224" s="317">
        <v>0</v>
      </c>
      <c r="E224" s="313">
        <f t="shared" si="17"/>
        <v>1000</v>
      </c>
      <c r="F224" s="329"/>
      <c r="G224" s="317">
        <f>2000-1000</f>
        <v>1000</v>
      </c>
      <c r="H224" s="317"/>
      <c r="I224" s="316"/>
      <c r="J224" s="316" t="s">
        <v>521</v>
      </c>
      <c r="K224" s="330"/>
    </row>
    <row r="225" spans="1:11" x14ac:dyDescent="0.25">
      <c r="A225" s="304" t="s">
        <v>96</v>
      </c>
      <c r="B225" s="308" t="s">
        <v>68</v>
      </c>
      <c r="C225" s="306">
        <v>3752</v>
      </c>
      <c r="D225" s="306">
        <v>0</v>
      </c>
      <c r="E225" s="306">
        <f t="shared" si="17"/>
        <v>3752</v>
      </c>
      <c r="F225" s="306"/>
      <c r="G225" s="306">
        <f>3500+252</f>
        <v>3752</v>
      </c>
      <c r="H225" s="306"/>
      <c r="I225" s="307" t="s">
        <v>521</v>
      </c>
      <c r="J225" s="307"/>
      <c r="K225" s="307"/>
    </row>
    <row r="226" spans="1:11" x14ac:dyDescent="0.25">
      <c r="A226" s="304" t="s">
        <v>97</v>
      </c>
      <c r="B226" s="308" t="s">
        <v>476</v>
      </c>
      <c r="C226" s="306">
        <f>SUM(C227:C231,C232,C233,C234,C235)</f>
        <v>167538</v>
      </c>
      <c r="D226" s="306">
        <f>SUM(D227:D231,D232,D233,D234,D235)</f>
        <v>1735</v>
      </c>
      <c r="E226" s="306">
        <f t="shared" si="17"/>
        <v>169273</v>
      </c>
      <c r="F226" s="306">
        <f>SUM(F227:F231,F232,F233,F234,F235)</f>
        <v>11780</v>
      </c>
      <c r="G226" s="306">
        <f>SUM(G227:G231,G232,G233,G234,G235)</f>
        <v>161843</v>
      </c>
      <c r="H226" s="306">
        <f>SUM(H227:H231,H232,H233,H234,H235)</f>
        <v>-4350</v>
      </c>
      <c r="I226" s="307" t="s">
        <v>521</v>
      </c>
      <c r="J226" s="307" t="s">
        <v>521</v>
      </c>
      <c r="K226" s="307"/>
    </row>
    <row r="227" spans="1:11" x14ac:dyDescent="0.25">
      <c r="A227" s="304"/>
      <c r="B227" s="308" t="s">
        <v>618</v>
      </c>
      <c r="C227" s="306">
        <v>350</v>
      </c>
      <c r="D227" s="306">
        <v>0</v>
      </c>
      <c r="E227" s="306">
        <f t="shared" si="17"/>
        <v>350</v>
      </c>
      <c r="F227" s="306">
        <v>350</v>
      </c>
      <c r="G227" s="306">
        <f>5000-5000</f>
        <v>0</v>
      </c>
      <c r="H227" s="306"/>
      <c r="I227" s="307"/>
      <c r="J227" s="307" t="s">
        <v>521</v>
      </c>
      <c r="K227" s="307"/>
    </row>
    <row r="228" spans="1:11" x14ac:dyDescent="0.25">
      <c r="A228" s="304"/>
      <c r="B228" s="308" t="s">
        <v>619</v>
      </c>
      <c r="C228" s="306">
        <v>11850</v>
      </c>
      <c r="D228" s="306">
        <v>0</v>
      </c>
      <c r="E228" s="306">
        <f t="shared" si="17"/>
        <v>11850</v>
      </c>
      <c r="F228" s="306">
        <v>750</v>
      </c>
      <c r="G228" s="306">
        <f>11100</f>
        <v>11100</v>
      </c>
      <c r="H228" s="306"/>
      <c r="I228" s="307"/>
      <c r="J228" s="307" t="s">
        <v>521</v>
      </c>
      <c r="K228" s="307"/>
    </row>
    <row r="229" spans="1:11" x14ac:dyDescent="0.25">
      <c r="A229" s="304"/>
      <c r="B229" s="308" t="s">
        <v>620</v>
      </c>
      <c r="C229" s="306">
        <v>21221</v>
      </c>
      <c r="D229" s="306">
        <v>15000</v>
      </c>
      <c r="E229" s="306">
        <f t="shared" si="17"/>
        <v>36221</v>
      </c>
      <c r="F229" s="306">
        <v>10121</v>
      </c>
      <c r="G229" s="306">
        <f>55000-3900-2000-38000+15000</f>
        <v>26100</v>
      </c>
      <c r="H229" s="306"/>
      <c r="I229" s="307" t="s">
        <v>521</v>
      </c>
      <c r="J229" s="307" t="s">
        <v>521</v>
      </c>
      <c r="K229" s="307"/>
    </row>
    <row r="230" spans="1:11" x14ac:dyDescent="0.25">
      <c r="A230" s="304"/>
      <c r="B230" s="308" t="s">
        <v>621</v>
      </c>
      <c r="C230" s="306">
        <v>0</v>
      </c>
      <c r="D230" s="306">
        <v>5000</v>
      </c>
      <c r="E230" s="306">
        <f t="shared" si="17"/>
        <v>5000</v>
      </c>
      <c r="F230" s="306"/>
      <c r="G230" s="306">
        <f>1500-1500+5000</f>
        <v>5000</v>
      </c>
      <c r="H230" s="306"/>
      <c r="I230" s="307"/>
      <c r="J230" s="307" t="s">
        <v>521</v>
      </c>
      <c r="K230" s="307"/>
    </row>
    <row r="231" spans="1:11" x14ac:dyDescent="0.25">
      <c r="A231" s="304"/>
      <c r="B231" s="308" t="s">
        <v>622</v>
      </c>
      <c r="C231" s="306">
        <v>0</v>
      </c>
      <c r="D231" s="306">
        <v>0</v>
      </c>
      <c r="E231" s="306">
        <f t="shared" si="17"/>
        <v>0</v>
      </c>
      <c r="F231" s="306"/>
      <c r="G231" s="306">
        <f>8750-8750</f>
        <v>0</v>
      </c>
      <c r="H231" s="306"/>
      <c r="I231" s="307" t="s">
        <v>521</v>
      </c>
      <c r="J231" s="307" t="s">
        <v>521</v>
      </c>
      <c r="K231" s="307"/>
    </row>
    <row r="232" spans="1:11" x14ac:dyDescent="0.25">
      <c r="A232" s="304"/>
      <c r="B232" s="308" t="s">
        <v>113</v>
      </c>
      <c r="C232" s="306">
        <v>60228</v>
      </c>
      <c r="D232" s="306">
        <f>1500-10000-600-3920+5</f>
        <v>-13015</v>
      </c>
      <c r="E232" s="306">
        <f t="shared" si="17"/>
        <v>47213</v>
      </c>
      <c r="F232" s="306">
        <v>5</v>
      </c>
      <c r="G232" s="306">
        <f>85623-25400+1500-10000-600-3920+5</f>
        <v>47208</v>
      </c>
      <c r="H232" s="306"/>
      <c r="I232" s="307" t="s">
        <v>521</v>
      </c>
      <c r="J232" s="307"/>
      <c r="K232" s="307"/>
    </row>
    <row r="233" spans="1:11" x14ac:dyDescent="0.25">
      <c r="A233" s="304"/>
      <c r="B233" s="308" t="s">
        <v>98</v>
      </c>
      <c r="C233" s="306">
        <v>21229</v>
      </c>
      <c r="D233" s="306">
        <v>0</v>
      </c>
      <c r="E233" s="306">
        <f t="shared" si="17"/>
        <v>21229</v>
      </c>
      <c r="F233" s="306">
        <v>554</v>
      </c>
      <c r="G233" s="306">
        <f>30925-5000-5000</f>
        <v>20925</v>
      </c>
      <c r="H233" s="306">
        <v>-250</v>
      </c>
      <c r="I233" s="307"/>
      <c r="J233" s="307" t="s">
        <v>521</v>
      </c>
      <c r="K233" s="307"/>
    </row>
    <row r="234" spans="1:11" x14ac:dyDescent="0.25">
      <c r="A234" s="304"/>
      <c r="B234" s="308" t="s">
        <v>99</v>
      </c>
      <c r="C234" s="306">
        <v>42660</v>
      </c>
      <c r="D234" s="306">
        <f>-1500-3750</f>
        <v>-5250</v>
      </c>
      <c r="E234" s="306">
        <f t="shared" si="17"/>
        <v>37410</v>
      </c>
      <c r="F234" s="306"/>
      <c r="G234" s="306">
        <f>43035-25-1500</f>
        <v>41510</v>
      </c>
      <c r="H234" s="306">
        <f>-350-3750</f>
        <v>-4100</v>
      </c>
      <c r="I234" s="307"/>
      <c r="J234" s="307" t="s">
        <v>521</v>
      </c>
      <c r="K234" s="307"/>
    </row>
    <row r="235" spans="1:11" ht="16.5" thickBot="1" x14ac:dyDescent="0.3">
      <c r="A235" s="304"/>
      <c r="B235" s="308" t="s">
        <v>69</v>
      </c>
      <c r="C235" s="306">
        <v>10000</v>
      </c>
      <c r="D235" s="306">
        <v>0</v>
      </c>
      <c r="E235" s="306">
        <f t="shared" si="17"/>
        <v>10000</v>
      </c>
      <c r="F235" s="306"/>
      <c r="G235" s="306">
        <f>25000-15000</f>
        <v>10000</v>
      </c>
      <c r="H235" s="306"/>
      <c r="I235" s="307" t="s">
        <v>521</v>
      </c>
      <c r="J235" s="307"/>
      <c r="K235" s="307"/>
    </row>
    <row r="236" spans="1:11" ht="16.5" thickBot="1" x14ac:dyDescent="0.3">
      <c r="A236" s="333"/>
      <c r="B236" s="334" t="s">
        <v>75</v>
      </c>
      <c r="C236" s="335">
        <f>SUM(C4,C80,C85,C90,C95,C105,C225,C226)</f>
        <v>46921215</v>
      </c>
      <c r="D236" s="335">
        <f>SUM(D4,D80,D85,D90,D95,D105,D225,D226)</f>
        <v>-1593266</v>
      </c>
      <c r="E236" s="335">
        <f t="shared" si="17"/>
        <v>45327949</v>
      </c>
      <c r="F236" s="335">
        <f>SUM(F4,F80,F85,F90,F95,F105,F225,F226)</f>
        <v>545366</v>
      </c>
      <c r="G236" s="335">
        <f>SUM(G4,G80,G85,G90,G95,G105,G225,G226)</f>
        <v>45294447</v>
      </c>
      <c r="H236" s="335">
        <f>SUM(H4,H80,H85,H90,H95,H105,H225,H226)</f>
        <v>-511864</v>
      </c>
      <c r="I236" s="336" t="s">
        <v>133</v>
      </c>
      <c r="J236" s="336" t="s">
        <v>133</v>
      </c>
      <c r="K236" s="336" t="s">
        <v>133</v>
      </c>
    </row>
    <row r="237" spans="1:11" x14ac:dyDescent="0.25">
      <c r="A237" s="333"/>
      <c r="B237" s="904" t="s">
        <v>74</v>
      </c>
      <c r="C237" s="467">
        <v>272459</v>
      </c>
      <c r="D237" s="467">
        <f>-482-635-5000-45-16263-36739-3993-233+4000+55000+2367-26500-423-1000-18660-2000-3</f>
        <v>-50609</v>
      </c>
      <c r="E237" s="467">
        <f t="shared" si="17"/>
        <v>221850</v>
      </c>
      <c r="F237" s="467">
        <v>0</v>
      </c>
      <c r="G237" s="467">
        <f>400000+6145-1000-6375-2450-252+25400+800+25+164570-20000-50-420000-51302-45000-485+1+1+400-4-784-12-11-39056-3000+264898-482-635-5000-45-16263-36739-3993-233+4000+55000+2367-26500-423-1000-18660-2000-3</f>
        <v>221850</v>
      </c>
      <c r="H237" s="467"/>
      <c r="I237" s="414"/>
      <c r="J237" s="414" t="s">
        <v>521</v>
      </c>
      <c r="K237" s="414"/>
    </row>
    <row r="238" spans="1:11" x14ac:dyDescent="0.25">
      <c r="A238" s="333"/>
      <c r="B238" s="557" t="s">
        <v>70</v>
      </c>
      <c r="C238" s="464">
        <f>C239+C240+C241+C242+C243+C244+C245+C246+C247+C252</f>
        <v>2811406</v>
      </c>
      <c r="D238" s="464">
        <f>D239+D240+D241+D242+D243+D244+D245+D246+D247+D252</f>
        <v>581195</v>
      </c>
      <c r="E238" s="464">
        <f t="shared" si="17"/>
        <v>3392601</v>
      </c>
      <c r="F238" s="464">
        <f>SUM(F239:F252)</f>
        <v>0</v>
      </c>
      <c r="G238" s="464">
        <f>SUM(G239:G252)</f>
        <v>3407559</v>
      </c>
      <c r="H238" s="464">
        <f>SUM(H239:H252)</f>
        <v>-14958</v>
      </c>
      <c r="I238" s="413" t="s">
        <v>521</v>
      </c>
      <c r="J238" s="413" t="s">
        <v>521</v>
      </c>
      <c r="K238" s="413"/>
    </row>
    <row r="239" spans="1:11" x14ac:dyDescent="0.25">
      <c r="A239" s="337"/>
      <c r="B239" s="321" t="s">
        <v>124</v>
      </c>
      <c r="C239" s="338">
        <v>4000</v>
      </c>
      <c r="D239" s="338">
        <v>-244</v>
      </c>
      <c r="E239" s="338">
        <f t="shared" si="17"/>
        <v>3756</v>
      </c>
      <c r="F239" s="338"/>
      <c r="G239" s="338">
        <f>4000</f>
        <v>4000</v>
      </c>
      <c r="H239" s="338">
        <v>-244</v>
      </c>
      <c r="I239" s="339" t="s">
        <v>521</v>
      </c>
      <c r="J239" s="339"/>
      <c r="K239" s="339"/>
    </row>
    <row r="240" spans="1:11" ht="31.5" x14ac:dyDescent="0.25">
      <c r="A240" s="337"/>
      <c r="B240" s="321" t="s">
        <v>623</v>
      </c>
      <c r="C240" s="338">
        <v>83249</v>
      </c>
      <c r="D240" s="338">
        <v>-29229</v>
      </c>
      <c r="E240" s="338">
        <f t="shared" si="17"/>
        <v>54020</v>
      </c>
      <c r="F240" s="338"/>
      <c r="G240" s="338">
        <v>100000</v>
      </c>
      <c r="H240" s="338">
        <f>-16751-29229</f>
        <v>-45980</v>
      </c>
      <c r="I240" s="339" t="s">
        <v>521</v>
      </c>
      <c r="J240" s="339"/>
      <c r="K240" s="339"/>
    </row>
    <row r="241" spans="1:11" x14ac:dyDescent="0.25">
      <c r="A241" s="337"/>
      <c r="B241" s="321" t="s">
        <v>624</v>
      </c>
      <c r="C241" s="338">
        <v>44653</v>
      </c>
      <c r="D241" s="338">
        <f>36739-67705</f>
        <v>-30966</v>
      </c>
      <c r="E241" s="338">
        <f t="shared" ref="E241:E253" si="21">SUM(C241:D241)</f>
        <v>13687</v>
      </c>
      <c r="F241" s="338"/>
      <c r="G241" s="338">
        <f>243000-121500+36739</f>
        <v>158239</v>
      </c>
      <c r="H241" s="338">
        <f>-76847-67705</f>
        <v>-144552</v>
      </c>
      <c r="I241" s="339"/>
      <c r="J241" s="339" t="s">
        <v>521</v>
      </c>
      <c r="K241" s="339"/>
    </row>
    <row r="242" spans="1:11" ht="47.25" x14ac:dyDescent="0.25">
      <c r="A242" s="337"/>
      <c r="B242" s="321" t="s">
        <v>625</v>
      </c>
      <c r="C242" s="338">
        <v>184769</v>
      </c>
      <c r="D242" s="338">
        <f>-3000-110470-29016-1424-4452-3716-3437+47570</f>
        <v>-107945</v>
      </c>
      <c r="E242" s="338">
        <f t="shared" si="21"/>
        <v>76824</v>
      </c>
      <c r="F242" s="338"/>
      <c r="G242" s="338">
        <f>262178-988-3000-110470</f>
        <v>147720</v>
      </c>
      <c r="H242" s="338">
        <f>-2100-1749-2789-3000-18587-1128-10668-30000-6400-29016-1424-4452-3716-3437+47570</f>
        <v>-70896</v>
      </c>
      <c r="I242" s="339" t="s">
        <v>521</v>
      </c>
      <c r="J242" s="339"/>
      <c r="K242" s="339"/>
    </row>
    <row r="243" spans="1:11" ht="31.5" x14ac:dyDescent="0.25">
      <c r="A243" s="337"/>
      <c r="B243" s="321" t="s">
        <v>777</v>
      </c>
      <c r="C243" s="338">
        <v>60562</v>
      </c>
      <c r="D243" s="338">
        <v>-60562</v>
      </c>
      <c r="E243" s="338">
        <f t="shared" si="21"/>
        <v>0</v>
      </c>
      <c r="F243" s="338"/>
      <c r="G243" s="338">
        <v>73052</v>
      </c>
      <c r="H243" s="338">
        <f>-12490-60562</f>
        <v>-73052</v>
      </c>
      <c r="I243" s="339" t="s">
        <v>521</v>
      </c>
      <c r="J243" s="339"/>
      <c r="K243" s="339"/>
    </row>
    <row r="244" spans="1:11" ht="31.5" x14ac:dyDescent="0.25">
      <c r="A244" s="337"/>
      <c r="B244" s="321" t="s">
        <v>568</v>
      </c>
      <c r="C244" s="338">
        <v>586</v>
      </c>
      <c r="D244" s="338"/>
      <c r="E244" s="338">
        <f t="shared" si="21"/>
        <v>586</v>
      </c>
      <c r="F244" s="338"/>
      <c r="G244" s="338">
        <v>586</v>
      </c>
      <c r="H244" s="338"/>
      <c r="I244" s="339" t="s">
        <v>521</v>
      </c>
      <c r="J244" s="339"/>
      <c r="K244" s="339"/>
    </row>
    <row r="245" spans="1:11" x14ac:dyDescent="0.25">
      <c r="A245" s="337"/>
      <c r="B245" s="321" t="s">
        <v>626</v>
      </c>
      <c r="C245" s="338">
        <v>0</v>
      </c>
      <c r="D245" s="338"/>
      <c r="E245" s="338">
        <f t="shared" si="21"/>
        <v>0</v>
      </c>
      <c r="F245" s="338"/>
      <c r="G245" s="338">
        <v>0</v>
      </c>
      <c r="H245" s="338"/>
      <c r="I245" s="339" t="s">
        <v>521</v>
      </c>
      <c r="J245" s="339"/>
      <c r="K245" s="339"/>
    </row>
    <row r="246" spans="1:11" x14ac:dyDescent="0.25">
      <c r="A246" s="337" t="s">
        <v>627</v>
      </c>
      <c r="B246" s="321" t="s">
        <v>628</v>
      </c>
      <c r="C246" s="338">
        <v>4000</v>
      </c>
      <c r="D246" s="338"/>
      <c r="E246" s="338">
        <f t="shared" si="21"/>
        <v>4000</v>
      </c>
      <c r="F246" s="338"/>
      <c r="G246" s="338">
        <v>4000</v>
      </c>
      <c r="H246" s="338"/>
      <c r="I246" s="339" t="s">
        <v>521</v>
      </c>
      <c r="J246" s="339"/>
      <c r="K246" s="339"/>
    </row>
    <row r="247" spans="1:11" x14ac:dyDescent="0.25">
      <c r="A247" s="337"/>
      <c r="B247" s="321" t="s">
        <v>629</v>
      </c>
      <c r="C247" s="338">
        <v>0</v>
      </c>
      <c r="D247" s="338">
        <v>0</v>
      </c>
      <c r="E247" s="338">
        <f t="shared" si="21"/>
        <v>0</v>
      </c>
      <c r="F247" s="338"/>
      <c r="G247" s="338">
        <f>50000-50000</f>
        <v>0</v>
      </c>
      <c r="H247" s="338"/>
      <c r="I247" s="339" t="s">
        <v>521</v>
      </c>
      <c r="J247" s="339"/>
      <c r="K247" s="339"/>
    </row>
    <row r="248" spans="1:11" x14ac:dyDescent="0.25">
      <c r="A248" s="337"/>
      <c r="B248" s="321" t="s">
        <v>672</v>
      </c>
      <c r="C248" s="338"/>
      <c r="D248" s="338">
        <f>80076-80076+169953-169953</f>
        <v>0</v>
      </c>
      <c r="E248" s="338">
        <f t="shared" si="21"/>
        <v>0</v>
      </c>
      <c r="F248" s="338"/>
      <c r="G248" s="338">
        <f>80076+169953</f>
        <v>250029</v>
      </c>
      <c r="H248" s="338">
        <f>-80076-169953</f>
        <v>-250029</v>
      </c>
      <c r="I248" s="339" t="s">
        <v>521</v>
      </c>
      <c r="J248" s="339"/>
      <c r="K248" s="339"/>
    </row>
    <row r="249" spans="1:11" ht="31.5" x14ac:dyDescent="0.25">
      <c r="A249" s="337"/>
      <c r="B249" s="321" t="s">
        <v>673</v>
      </c>
      <c r="C249" s="338"/>
      <c r="D249" s="338">
        <f>3542-3542+4984-4984</f>
        <v>0</v>
      </c>
      <c r="E249" s="338">
        <f t="shared" si="21"/>
        <v>0</v>
      </c>
      <c r="F249" s="338"/>
      <c r="G249" s="338">
        <f>3542+4984</f>
        <v>8526</v>
      </c>
      <c r="H249" s="338">
        <f>-3542-4984</f>
        <v>-8526</v>
      </c>
      <c r="I249" s="339" t="s">
        <v>521</v>
      </c>
      <c r="J249" s="339"/>
      <c r="K249" s="339"/>
    </row>
    <row r="250" spans="1:11" x14ac:dyDescent="0.25">
      <c r="A250" s="337"/>
      <c r="B250" s="321" t="s">
        <v>1520</v>
      </c>
      <c r="C250" s="338"/>
      <c r="D250" s="338">
        <f>33576-33576+65028-65028</f>
        <v>0</v>
      </c>
      <c r="E250" s="338">
        <f t="shared" si="21"/>
        <v>0</v>
      </c>
      <c r="F250" s="338"/>
      <c r="G250" s="338">
        <f>33576+65028</f>
        <v>98604</v>
      </c>
      <c r="H250" s="338">
        <f>-33576-65028</f>
        <v>-98604</v>
      </c>
      <c r="I250" s="339" t="s">
        <v>521</v>
      </c>
      <c r="J250" s="339" t="s">
        <v>521</v>
      </c>
      <c r="K250" s="339"/>
    </row>
    <row r="251" spans="1:11" x14ac:dyDescent="0.25">
      <c r="A251" s="337"/>
      <c r="B251" s="321" t="s">
        <v>674</v>
      </c>
      <c r="C251" s="338"/>
      <c r="D251" s="338">
        <f>3680-3680+4969-4969</f>
        <v>0</v>
      </c>
      <c r="E251" s="338">
        <f t="shared" si="21"/>
        <v>0</v>
      </c>
      <c r="F251" s="338"/>
      <c r="G251" s="338">
        <f>3680+4969</f>
        <v>8649</v>
      </c>
      <c r="H251" s="338">
        <f>-3680-4969</f>
        <v>-8649</v>
      </c>
      <c r="I251" s="339" t="s">
        <v>521</v>
      </c>
      <c r="J251" s="339" t="s">
        <v>521</v>
      </c>
      <c r="K251" s="339"/>
    </row>
    <row r="252" spans="1:11" ht="32.25" thickBot="1" x14ac:dyDescent="0.3">
      <c r="A252" s="337"/>
      <c r="B252" s="321" t="s">
        <v>986</v>
      </c>
      <c r="C252" s="338">
        <v>2429587</v>
      </c>
      <c r="D252" s="338">
        <f>4420-225739+64873-12000-3953-116134-7500-5000-3240-143082-19685+100000+11355-89801-36697+2619+41835+22000-42000+31802-60000-30000+2494-1287+130+1402195+2384-2700+36000+630+170+1120+855+15386-119649-1780+8212+765-312+28558+20701+9804-42714+19390+3693+110470-140000+19400-843705-13570-2832-68063-1-1740-69000-17268-4367-8678-1844+30000+250500+71521+155961+218221+57404+9895+6625+1378+8000+156692+190+2152+14682</f>
        <v>810141</v>
      </c>
      <c r="E252" s="338">
        <f t="shared" si="21"/>
        <v>3239728</v>
      </c>
      <c r="F252" s="338"/>
      <c r="G252" s="338">
        <f>2500000-1500000+1751834+900+5603+86334+419837+100000+66046+5000+29311+23655+500+77390+135000+500+42040+72931+117000+35000+58000+41150+483+99851-25400+525000+200000+1500000+100000+200000-6000000+587500+14062+2210+10000+4000+50000-300000-10900+121500+135000+48591-18000+47396+20000-264898+605287+24300+4420-225739+64873-12000-3953-116134-7500-5000-3240-143082-19685+100000+11355-89801-36697+2619+41835+22000-42000+31802-60000-30000+2494-1287+130+1402195+2384-2700+36000+630+170+1120+855+15386-119649-1780+8212+765-312+28558+20701+9804-42714+19390+3693+110470-140000+19400-843705-13570-2832-68063-1-1740-69000-17268-4367-8678-1844+30000+250500+71521+155961+218221+57404+9895+6625+1378+8000+156692+190+2152+14682</f>
        <v>2554154</v>
      </c>
      <c r="H252" s="338">
        <f>-500000-500000+600000+500000+120000-135000-48591-12451+51242+31034+141586+300000+114754+23000</f>
        <v>685574</v>
      </c>
      <c r="I252" s="339" t="s">
        <v>521</v>
      </c>
      <c r="J252" s="339"/>
      <c r="K252" s="339"/>
    </row>
    <row r="253" spans="1:11" ht="16.5" thickBot="1" x14ac:dyDescent="0.3">
      <c r="A253" s="340"/>
      <c r="B253" s="334" t="s">
        <v>71</v>
      </c>
      <c r="C253" s="341">
        <f>SUM(C236:C238)</f>
        <v>50005080</v>
      </c>
      <c r="D253" s="341">
        <f>SUM(D236:D238)</f>
        <v>-1062680</v>
      </c>
      <c r="E253" s="341">
        <f t="shared" si="21"/>
        <v>48942400</v>
      </c>
      <c r="F253" s="341">
        <f>SUM(F236:F238)</f>
        <v>545366</v>
      </c>
      <c r="G253" s="341">
        <f>SUM(G236:G238)</f>
        <v>48923856</v>
      </c>
      <c r="H253" s="341">
        <f>SUM(H236:H238)</f>
        <v>-526822</v>
      </c>
      <c r="I253" s="342" t="s">
        <v>133</v>
      </c>
      <c r="J253" s="342" t="s">
        <v>133</v>
      </c>
      <c r="K253" s="342" t="s">
        <v>133</v>
      </c>
    </row>
    <row r="254" spans="1:11" x14ac:dyDescent="0.25">
      <c r="D254" s="468"/>
      <c r="H254" s="468"/>
    </row>
    <row r="256" spans="1:11" x14ac:dyDescent="0.25">
      <c r="E256" s="468"/>
      <c r="I256" s="415"/>
      <c r="J256" s="415"/>
      <c r="K256" s="415"/>
    </row>
    <row r="257" spans="4:11" x14ac:dyDescent="0.25">
      <c r="E257" s="468"/>
      <c r="H257" s="468"/>
      <c r="I257" s="416"/>
    </row>
    <row r="260" spans="4:11" x14ac:dyDescent="0.25">
      <c r="D260" s="468"/>
      <c r="E260" s="468"/>
      <c r="G260" s="468"/>
      <c r="H260" s="468"/>
      <c r="I260" s="415"/>
      <c r="J260" s="415"/>
      <c r="K260" s="415"/>
    </row>
  </sheetData>
  <mergeCells count="1">
    <mergeCell ref="A1:K1"/>
  </mergeCells>
  <printOptions horizontalCentered="1"/>
  <pageMargins left="0.19685039370078741" right="0.27559055118110237" top="0.9055118110236221" bottom="0.62992125984251968" header="0.15748031496062992" footer="0.15748031496062992"/>
  <pageSetup paperSize="9" scale="50" orientation="portrait" r:id="rId1"/>
  <headerFooter alignWithMargins="0">
    <oddHeader>&amp;R&amp;"Times New Roman CE,Félkövér" 11.melléklet a 40/2020.(XI.30.) önkormányzati rendelethez
&amp;"Times New Roman CE,Dőlt" 11. melléklet
  az 5/2020.(II.17.) önkormányzati rendelethez</oddHeader>
  </headerFooter>
  <rowBreaks count="1" manualBreakCount="1">
    <brk id="74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102"/>
  <sheetViews>
    <sheetView zoomScale="85" zoomScaleNormal="85" workbookViewId="0">
      <pane xSplit="1" ySplit="3" topLeftCell="B77" activePane="bottomRight" state="frozen"/>
      <selection activeCell="D13" sqref="D13"/>
      <selection pane="topRight" activeCell="D13" sqref="D13"/>
      <selection pane="bottomLeft" activeCell="D13" sqref="D13"/>
      <selection pane="bottomRight" activeCell="C90" sqref="C90"/>
    </sheetView>
  </sheetViews>
  <sheetFormatPr defaultRowHeight="15.75" x14ac:dyDescent="0.25"/>
  <cols>
    <col min="1" max="1" width="72.875" style="260" customWidth="1"/>
    <col min="2" max="4" width="21" style="265" customWidth="1"/>
    <col min="5" max="5" width="8.625" style="596" hidden="1" customWidth="1"/>
    <col min="6" max="6" width="8" style="596" hidden="1" customWidth="1"/>
    <col min="7" max="7" width="9.25" style="596" hidden="1" customWidth="1"/>
    <col min="8" max="9" width="0" style="260" hidden="1" customWidth="1"/>
    <col min="10" max="248" width="9" style="260"/>
    <col min="249" max="249" width="56" style="260" bestFit="1" customWidth="1"/>
    <col min="250" max="250" width="25.5" style="260" customWidth="1"/>
    <col min="251" max="251" width="13.25" style="260" customWidth="1"/>
    <col min="252" max="252" width="49.75" style="260" customWidth="1"/>
    <col min="253" max="504" width="9" style="260"/>
    <col min="505" max="505" width="56" style="260" bestFit="1" customWidth="1"/>
    <col min="506" max="506" width="25.5" style="260" customWidth="1"/>
    <col min="507" max="507" width="13.25" style="260" customWidth="1"/>
    <col min="508" max="508" width="49.75" style="260" customWidth="1"/>
    <col min="509" max="760" width="9" style="260"/>
    <col min="761" max="761" width="56" style="260" bestFit="1" customWidth="1"/>
    <col min="762" max="762" width="25.5" style="260" customWidth="1"/>
    <col min="763" max="763" width="13.25" style="260" customWidth="1"/>
    <col min="764" max="764" width="49.75" style="260" customWidth="1"/>
    <col min="765" max="1016" width="9" style="260"/>
    <col min="1017" max="1017" width="56" style="260" bestFit="1" customWidth="1"/>
    <col min="1018" max="1018" width="25.5" style="260" customWidth="1"/>
    <col min="1019" max="1019" width="13.25" style="260" customWidth="1"/>
    <col min="1020" max="1020" width="49.75" style="260" customWidth="1"/>
    <col min="1021" max="1272" width="9" style="260"/>
    <col min="1273" max="1273" width="56" style="260" bestFit="1" customWidth="1"/>
    <col min="1274" max="1274" width="25.5" style="260" customWidth="1"/>
    <col min="1275" max="1275" width="13.25" style="260" customWidth="1"/>
    <col min="1276" max="1276" width="49.75" style="260" customWidth="1"/>
    <col min="1277" max="1528" width="9" style="260"/>
    <col min="1529" max="1529" width="56" style="260" bestFit="1" customWidth="1"/>
    <col min="1530" max="1530" width="25.5" style="260" customWidth="1"/>
    <col min="1531" max="1531" width="13.25" style="260" customWidth="1"/>
    <col min="1532" max="1532" width="49.75" style="260" customWidth="1"/>
    <col min="1533" max="1784" width="9" style="260"/>
    <col min="1785" max="1785" width="56" style="260" bestFit="1" customWidth="1"/>
    <col min="1786" max="1786" width="25.5" style="260" customWidth="1"/>
    <col min="1787" max="1787" width="13.25" style="260" customWidth="1"/>
    <col min="1788" max="1788" width="49.75" style="260" customWidth="1"/>
    <col min="1789" max="2040" width="9" style="260"/>
    <col min="2041" max="2041" width="56" style="260" bestFit="1" customWidth="1"/>
    <col min="2042" max="2042" width="25.5" style="260" customWidth="1"/>
    <col min="2043" max="2043" width="13.25" style="260" customWidth="1"/>
    <col min="2044" max="2044" width="49.75" style="260" customWidth="1"/>
    <col min="2045" max="2296" width="9" style="260"/>
    <col min="2297" max="2297" width="56" style="260" bestFit="1" customWidth="1"/>
    <col min="2298" max="2298" width="25.5" style="260" customWidth="1"/>
    <col min="2299" max="2299" width="13.25" style="260" customWidth="1"/>
    <col min="2300" max="2300" width="49.75" style="260" customWidth="1"/>
    <col min="2301" max="2552" width="9" style="260"/>
    <col min="2553" max="2553" width="56" style="260" bestFit="1" customWidth="1"/>
    <col min="2554" max="2554" width="25.5" style="260" customWidth="1"/>
    <col min="2555" max="2555" width="13.25" style="260" customWidth="1"/>
    <col min="2556" max="2556" width="49.75" style="260" customWidth="1"/>
    <col min="2557" max="2808" width="9" style="260"/>
    <col min="2809" max="2809" width="56" style="260" bestFit="1" customWidth="1"/>
    <col min="2810" max="2810" width="25.5" style="260" customWidth="1"/>
    <col min="2811" max="2811" width="13.25" style="260" customWidth="1"/>
    <col min="2812" max="2812" width="49.75" style="260" customWidth="1"/>
    <col min="2813" max="3064" width="9" style="260"/>
    <col min="3065" max="3065" width="56" style="260" bestFit="1" customWidth="1"/>
    <col min="3066" max="3066" width="25.5" style="260" customWidth="1"/>
    <col min="3067" max="3067" width="13.25" style="260" customWidth="1"/>
    <col min="3068" max="3068" width="49.75" style="260" customWidth="1"/>
    <col min="3069" max="3320" width="9" style="260"/>
    <col min="3321" max="3321" width="56" style="260" bestFit="1" customWidth="1"/>
    <col min="3322" max="3322" width="25.5" style="260" customWidth="1"/>
    <col min="3323" max="3323" width="13.25" style="260" customWidth="1"/>
    <col min="3324" max="3324" width="49.75" style="260" customWidth="1"/>
    <col min="3325" max="3576" width="9" style="260"/>
    <col min="3577" max="3577" width="56" style="260" bestFit="1" customWidth="1"/>
    <col min="3578" max="3578" width="25.5" style="260" customWidth="1"/>
    <col min="3579" max="3579" width="13.25" style="260" customWidth="1"/>
    <col min="3580" max="3580" width="49.75" style="260" customWidth="1"/>
    <col min="3581" max="3832" width="9" style="260"/>
    <col min="3833" max="3833" width="56" style="260" bestFit="1" customWidth="1"/>
    <col min="3834" max="3834" width="25.5" style="260" customWidth="1"/>
    <col min="3835" max="3835" width="13.25" style="260" customWidth="1"/>
    <col min="3836" max="3836" width="49.75" style="260" customWidth="1"/>
    <col min="3837" max="4088" width="9" style="260"/>
    <col min="4089" max="4089" width="56" style="260" bestFit="1" customWidth="1"/>
    <col min="4090" max="4090" width="25.5" style="260" customWidth="1"/>
    <col min="4091" max="4091" width="13.25" style="260" customWidth="1"/>
    <col min="4092" max="4092" width="49.75" style="260" customWidth="1"/>
    <col min="4093" max="4344" width="9" style="260"/>
    <col min="4345" max="4345" width="56" style="260" bestFit="1" customWidth="1"/>
    <col min="4346" max="4346" width="25.5" style="260" customWidth="1"/>
    <col min="4347" max="4347" width="13.25" style="260" customWidth="1"/>
    <col min="4348" max="4348" width="49.75" style="260" customWidth="1"/>
    <col min="4349" max="4600" width="9" style="260"/>
    <col min="4601" max="4601" width="56" style="260" bestFit="1" customWidth="1"/>
    <col min="4602" max="4602" width="25.5" style="260" customWidth="1"/>
    <col min="4603" max="4603" width="13.25" style="260" customWidth="1"/>
    <col min="4604" max="4604" width="49.75" style="260" customWidth="1"/>
    <col min="4605" max="4856" width="9" style="260"/>
    <col min="4857" max="4857" width="56" style="260" bestFit="1" customWidth="1"/>
    <col min="4858" max="4858" width="25.5" style="260" customWidth="1"/>
    <col min="4859" max="4859" width="13.25" style="260" customWidth="1"/>
    <col min="4860" max="4860" width="49.75" style="260" customWidth="1"/>
    <col min="4861" max="5112" width="9" style="260"/>
    <col min="5113" max="5113" width="56" style="260" bestFit="1" customWidth="1"/>
    <col min="5114" max="5114" width="25.5" style="260" customWidth="1"/>
    <col min="5115" max="5115" width="13.25" style="260" customWidth="1"/>
    <col min="5116" max="5116" width="49.75" style="260" customWidth="1"/>
    <col min="5117" max="5368" width="9" style="260"/>
    <col min="5369" max="5369" width="56" style="260" bestFit="1" customWidth="1"/>
    <col min="5370" max="5370" width="25.5" style="260" customWidth="1"/>
    <col min="5371" max="5371" width="13.25" style="260" customWidth="1"/>
    <col min="5372" max="5372" width="49.75" style="260" customWidth="1"/>
    <col min="5373" max="5624" width="9" style="260"/>
    <col min="5625" max="5625" width="56" style="260" bestFit="1" customWidth="1"/>
    <col min="5626" max="5626" width="25.5" style="260" customWidth="1"/>
    <col min="5627" max="5627" width="13.25" style="260" customWidth="1"/>
    <col min="5628" max="5628" width="49.75" style="260" customWidth="1"/>
    <col min="5629" max="5880" width="9" style="260"/>
    <col min="5881" max="5881" width="56" style="260" bestFit="1" customWidth="1"/>
    <col min="5882" max="5882" width="25.5" style="260" customWidth="1"/>
    <col min="5883" max="5883" width="13.25" style="260" customWidth="1"/>
    <col min="5884" max="5884" width="49.75" style="260" customWidth="1"/>
    <col min="5885" max="6136" width="9" style="260"/>
    <col min="6137" max="6137" width="56" style="260" bestFit="1" customWidth="1"/>
    <col min="6138" max="6138" width="25.5" style="260" customWidth="1"/>
    <col min="6139" max="6139" width="13.25" style="260" customWidth="1"/>
    <col min="6140" max="6140" width="49.75" style="260" customWidth="1"/>
    <col min="6141" max="6392" width="9" style="260"/>
    <col min="6393" max="6393" width="56" style="260" bestFit="1" customWidth="1"/>
    <col min="6394" max="6394" width="25.5" style="260" customWidth="1"/>
    <col min="6395" max="6395" width="13.25" style="260" customWidth="1"/>
    <col min="6396" max="6396" width="49.75" style="260" customWidth="1"/>
    <col min="6397" max="6648" width="9" style="260"/>
    <col min="6649" max="6649" width="56" style="260" bestFit="1" customWidth="1"/>
    <col min="6650" max="6650" width="25.5" style="260" customWidth="1"/>
    <col min="6651" max="6651" width="13.25" style="260" customWidth="1"/>
    <col min="6652" max="6652" width="49.75" style="260" customWidth="1"/>
    <col min="6653" max="6904" width="9" style="260"/>
    <col min="6905" max="6905" width="56" style="260" bestFit="1" customWidth="1"/>
    <col min="6906" max="6906" width="25.5" style="260" customWidth="1"/>
    <col min="6907" max="6907" width="13.25" style="260" customWidth="1"/>
    <col min="6908" max="6908" width="49.75" style="260" customWidth="1"/>
    <col min="6909" max="7160" width="9" style="260"/>
    <col min="7161" max="7161" width="56" style="260" bestFit="1" customWidth="1"/>
    <col min="7162" max="7162" width="25.5" style="260" customWidth="1"/>
    <col min="7163" max="7163" width="13.25" style="260" customWidth="1"/>
    <col min="7164" max="7164" width="49.75" style="260" customWidth="1"/>
    <col min="7165" max="7416" width="9" style="260"/>
    <col min="7417" max="7417" width="56" style="260" bestFit="1" customWidth="1"/>
    <col min="7418" max="7418" width="25.5" style="260" customWidth="1"/>
    <col min="7419" max="7419" width="13.25" style="260" customWidth="1"/>
    <col min="7420" max="7420" width="49.75" style="260" customWidth="1"/>
    <col min="7421" max="7672" width="9" style="260"/>
    <col min="7673" max="7673" width="56" style="260" bestFit="1" customWidth="1"/>
    <col min="7674" max="7674" width="25.5" style="260" customWidth="1"/>
    <col min="7675" max="7675" width="13.25" style="260" customWidth="1"/>
    <col min="7676" max="7676" width="49.75" style="260" customWidth="1"/>
    <col min="7677" max="7928" width="9" style="260"/>
    <col min="7929" max="7929" width="56" style="260" bestFit="1" customWidth="1"/>
    <col min="7930" max="7930" width="25.5" style="260" customWidth="1"/>
    <col min="7931" max="7931" width="13.25" style="260" customWidth="1"/>
    <col min="7932" max="7932" width="49.75" style="260" customWidth="1"/>
    <col min="7933" max="8184" width="9" style="260"/>
    <col min="8185" max="8185" width="56" style="260" bestFit="1" customWidth="1"/>
    <col min="8186" max="8186" width="25.5" style="260" customWidth="1"/>
    <col min="8187" max="8187" width="13.25" style="260" customWidth="1"/>
    <col min="8188" max="8188" width="49.75" style="260" customWidth="1"/>
    <col min="8189" max="8440" width="9" style="260"/>
    <col min="8441" max="8441" width="56" style="260" bestFit="1" customWidth="1"/>
    <col min="8442" max="8442" width="25.5" style="260" customWidth="1"/>
    <col min="8443" max="8443" width="13.25" style="260" customWidth="1"/>
    <col min="8444" max="8444" width="49.75" style="260" customWidth="1"/>
    <col min="8445" max="8696" width="9" style="260"/>
    <col min="8697" max="8697" width="56" style="260" bestFit="1" customWidth="1"/>
    <col min="8698" max="8698" width="25.5" style="260" customWidth="1"/>
    <col min="8699" max="8699" width="13.25" style="260" customWidth="1"/>
    <col min="8700" max="8700" width="49.75" style="260" customWidth="1"/>
    <col min="8701" max="8952" width="9" style="260"/>
    <col min="8953" max="8953" width="56" style="260" bestFit="1" customWidth="1"/>
    <col min="8954" max="8954" width="25.5" style="260" customWidth="1"/>
    <col min="8955" max="8955" width="13.25" style="260" customWidth="1"/>
    <col min="8956" max="8956" width="49.75" style="260" customWidth="1"/>
    <col min="8957" max="9208" width="9" style="260"/>
    <col min="9209" max="9209" width="56" style="260" bestFit="1" customWidth="1"/>
    <col min="9210" max="9210" width="25.5" style="260" customWidth="1"/>
    <col min="9211" max="9211" width="13.25" style="260" customWidth="1"/>
    <col min="9212" max="9212" width="49.75" style="260" customWidth="1"/>
    <col min="9213" max="9464" width="9" style="260"/>
    <col min="9465" max="9465" width="56" style="260" bestFit="1" customWidth="1"/>
    <col min="9466" max="9466" width="25.5" style="260" customWidth="1"/>
    <col min="9467" max="9467" width="13.25" style="260" customWidth="1"/>
    <col min="9468" max="9468" width="49.75" style="260" customWidth="1"/>
    <col min="9469" max="9720" width="9" style="260"/>
    <col min="9721" max="9721" width="56" style="260" bestFit="1" customWidth="1"/>
    <col min="9722" max="9722" width="25.5" style="260" customWidth="1"/>
    <col min="9723" max="9723" width="13.25" style="260" customWidth="1"/>
    <col min="9724" max="9724" width="49.75" style="260" customWidth="1"/>
    <col min="9725" max="9976" width="9" style="260"/>
    <col min="9977" max="9977" width="56" style="260" bestFit="1" customWidth="1"/>
    <col min="9978" max="9978" width="25.5" style="260" customWidth="1"/>
    <col min="9979" max="9979" width="13.25" style="260" customWidth="1"/>
    <col min="9980" max="9980" width="49.75" style="260" customWidth="1"/>
    <col min="9981" max="10232" width="9" style="260"/>
    <col min="10233" max="10233" width="56" style="260" bestFit="1" customWidth="1"/>
    <col min="10234" max="10234" width="25.5" style="260" customWidth="1"/>
    <col min="10235" max="10235" width="13.25" style="260" customWidth="1"/>
    <col min="10236" max="10236" width="49.75" style="260" customWidth="1"/>
    <col min="10237" max="10488" width="9" style="260"/>
    <col min="10489" max="10489" width="56" style="260" bestFit="1" customWidth="1"/>
    <col min="10490" max="10490" width="25.5" style="260" customWidth="1"/>
    <col min="10491" max="10491" width="13.25" style="260" customWidth="1"/>
    <col min="10492" max="10492" width="49.75" style="260" customWidth="1"/>
    <col min="10493" max="10744" width="9" style="260"/>
    <col min="10745" max="10745" width="56" style="260" bestFit="1" customWidth="1"/>
    <col min="10746" max="10746" width="25.5" style="260" customWidth="1"/>
    <col min="10747" max="10747" width="13.25" style="260" customWidth="1"/>
    <col min="10748" max="10748" width="49.75" style="260" customWidth="1"/>
    <col min="10749" max="11000" width="9" style="260"/>
    <col min="11001" max="11001" width="56" style="260" bestFit="1" customWidth="1"/>
    <col min="11002" max="11002" width="25.5" style="260" customWidth="1"/>
    <col min="11003" max="11003" width="13.25" style="260" customWidth="1"/>
    <col min="11004" max="11004" width="49.75" style="260" customWidth="1"/>
    <col min="11005" max="11256" width="9" style="260"/>
    <col min="11257" max="11257" width="56" style="260" bestFit="1" customWidth="1"/>
    <col min="11258" max="11258" width="25.5" style="260" customWidth="1"/>
    <col min="11259" max="11259" width="13.25" style="260" customWidth="1"/>
    <col min="11260" max="11260" width="49.75" style="260" customWidth="1"/>
    <col min="11261" max="11512" width="9" style="260"/>
    <col min="11513" max="11513" width="56" style="260" bestFit="1" customWidth="1"/>
    <col min="11514" max="11514" width="25.5" style="260" customWidth="1"/>
    <col min="11515" max="11515" width="13.25" style="260" customWidth="1"/>
    <col min="11516" max="11516" width="49.75" style="260" customWidth="1"/>
    <col min="11517" max="11768" width="9" style="260"/>
    <col min="11769" max="11769" width="56" style="260" bestFit="1" customWidth="1"/>
    <col min="11770" max="11770" width="25.5" style="260" customWidth="1"/>
    <col min="11771" max="11771" width="13.25" style="260" customWidth="1"/>
    <col min="11772" max="11772" width="49.75" style="260" customWidth="1"/>
    <col min="11773" max="12024" width="9" style="260"/>
    <col min="12025" max="12025" width="56" style="260" bestFit="1" customWidth="1"/>
    <col min="12026" max="12026" width="25.5" style="260" customWidth="1"/>
    <col min="12027" max="12027" width="13.25" style="260" customWidth="1"/>
    <col min="12028" max="12028" width="49.75" style="260" customWidth="1"/>
    <col min="12029" max="12280" width="9" style="260"/>
    <col min="12281" max="12281" width="56" style="260" bestFit="1" customWidth="1"/>
    <col min="12282" max="12282" width="25.5" style="260" customWidth="1"/>
    <col min="12283" max="12283" width="13.25" style="260" customWidth="1"/>
    <col min="12284" max="12284" width="49.75" style="260" customWidth="1"/>
    <col min="12285" max="12536" width="9" style="260"/>
    <col min="12537" max="12537" width="56" style="260" bestFit="1" customWidth="1"/>
    <col min="12538" max="12538" width="25.5" style="260" customWidth="1"/>
    <col min="12539" max="12539" width="13.25" style="260" customWidth="1"/>
    <col min="12540" max="12540" width="49.75" style="260" customWidth="1"/>
    <col min="12541" max="12792" width="9" style="260"/>
    <col min="12793" max="12793" width="56" style="260" bestFit="1" customWidth="1"/>
    <col min="12794" max="12794" width="25.5" style="260" customWidth="1"/>
    <col min="12795" max="12795" width="13.25" style="260" customWidth="1"/>
    <col min="12796" max="12796" width="49.75" style="260" customWidth="1"/>
    <col min="12797" max="13048" width="9" style="260"/>
    <col min="13049" max="13049" width="56" style="260" bestFit="1" customWidth="1"/>
    <col min="13050" max="13050" width="25.5" style="260" customWidth="1"/>
    <col min="13051" max="13051" width="13.25" style="260" customWidth="1"/>
    <col min="13052" max="13052" width="49.75" style="260" customWidth="1"/>
    <col min="13053" max="13304" width="9" style="260"/>
    <col min="13305" max="13305" width="56" style="260" bestFit="1" customWidth="1"/>
    <col min="13306" max="13306" width="25.5" style="260" customWidth="1"/>
    <col min="13307" max="13307" width="13.25" style="260" customWidth="1"/>
    <col min="13308" max="13308" width="49.75" style="260" customWidth="1"/>
    <col min="13309" max="13560" width="9" style="260"/>
    <col min="13561" max="13561" width="56" style="260" bestFit="1" customWidth="1"/>
    <col min="13562" max="13562" width="25.5" style="260" customWidth="1"/>
    <col min="13563" max="13563" width="13.25" style="260" customWidth="1"/>
    <col min="13564" max="13564" width="49.75" style="260" customWidth="1"/>
    <col min="13565" max="13816" width="9" style="260"/>
    <col min="13817" max="13817" width="56" style="260" bestFit="1" customWidth="1"/>
    <col min="13818" max="13818" width="25.5" style="260" customWidth="1"/>
    <col min="13819" max="13819" width="13.25" style="260" customWidth="1"/>
    <col min="13820" max="13820" width="49.75" style="260" customWidth="1"/>
    <col min="13821" max="14072" width="9" style="260"/>
    <col min="14073" max="14073" width="56" style="260" bestFit="1" customWidth="1"/>
    <col min="14074" max="14074" width="25.5" style="260" customWidth="1"/>
    <col min="14075" max="14075" width="13.25" style="260" customWidth="1"/>
    <col min="14076" max="14076" width="49.75" style="260" customWidth="1"/>
    <col min="14077" max="14328" width="9" style="260"/>
    <col min="14329" max="14329" width="56" style="260" bestFit="1" customWidth="1"/>
    <col min="14330" max="14330" width="25.5" style="260" customWidth="1"/>
    <col min="14331" max="14331" width="13.25" style="260" customWidth="1"/>
    <col min="14332" max="14332" width="49.75" style="260" customWidth="1"/>
    <col min="14333" max="14584" width="9" style="260"/>
    <col min="14585" max="14585" width="56" style="260" bestFit="1" customWidth="1"/>
    <col min="14586" max="14586" width="25.5" style="260" customWidth="1"/>
    <col min="14587" max="14587" width="13.25" style="260" customWidth="1"/>
    <col min="14588" max="14588" width="49.75" style="260" customWidth="1"/>
    <col min="14589" max="14840" width="9" style="260"/>
    <col min="14841" max="14841" width="56" style="260" bestFit="1" customWidth="1"/>
    <col min="14842" max="14842" width="25.5" style="260" customWidth="1"/>
    <col min="14843" max="14843" width="13.25" style="260" customWidth="1"/>
    <col min="14844" max="14844" width="49.75" style="260" customWidth="1"/>
    <col min="14845" max="15096" width="9" style="260"/>
    <col min="15097" max="15097" width="56" style="260" bestFit="1" customWidth="1"/>
    <col min="15098" max="15098" width="25.5" style="260" customWidth="1"/>
    <col min="15099" max="15099" width="13.25" style="260" customWidth="1"/>
    <col min="15100" max="15100" width="49.75" style="260" customWidth="1"/>
    <col min="15101" max="15352" width="9" style="260"/>
    <col min="15353" max="15353" width="56" style="260" bestFit="1" customWidth="1"/>
    <col min="15354" max="15354" width="25.5" style="260" customWidth="1"/>
    <col min="15355" max="15355" width="13.25" style="260" customWidth="1"/>
    <col min="15356" max="15356" width="49.75" style="260" customWidth="1"/>
    <col min="15357" max="15608" width="9" style="260"/>
    <col min="15609" max="15609" width="56" style="260" bestFit="1" customWidth="1"/>
    <col min="15610" max="15610" width="25.5" style="260" customWidth="1"/>
    <col min="15611" max="15611" width="13.25" style="260" customWidth="1"/>
    <col min="15612" max="15612" width="49.75" style="260" customWidth="1"/>
    <col min="15613" max="15864" width="9" style="260"/>
    <col min="15865" max="15865" width="56" style="260" bestFit="1" customWidth="1"/>
    <col min="15866" max="15866" width="25.5" style="260" customWidth="1"/>
    <col min="15867" max="15867" width="13.25" style="260" customWidth="1"/>
    <col min="15868" max="15868" width="49.75" style="260" customWidth="1"/>
    <col min="15869" max="16120" width="9" style="260"/>
    <col min="16121" max="16121" width="56" style="260" bestFit="1" customWidth="1"/>
    <col min="16122" max="16122" width="25.5" style="260" customWidth="1"/>
    <col min="16123" max="16123" width="13.25" style="260" customWidth="1"/>
    <col min="16124" max="16124" width="49.75" style="260" customWidth="1"/>
    <col min="16125" max="16384" width="9" style="260"/>
  </cols>
  <sheetData>
    <row r="1" spans="1:7" ht="33" customHeight="1" x14ac:dyDescent="0.25">
      <c r="A1" s="1019" t="s">
        <v>705</v>
      </c>
      <c r="B1" s="1019"/>
      <c r="C1" s="1020"/>
      <c r="D1" s="1020"/>
    </row>
    <row r="2" spans="1:7" ht="16.5" thickBot="1" x14ac:dyDescent="0.3"/>
    <row r="3" spans="1:7" s="275" customFormat="1" ht="62.25" customHeight="1" thickBot="1" x14ac:dyDescent="0.3">
      <c r="A3" s="601" t="s">
        <v>327</v>
      </c>
      <c r="B3" s="602" t="s">
        <v>347</v>
      </c>
      <c r="C3" s="274" t="s">
        <v>348</v>
      </c>
      <c r="D3" s="408" t="s">
        <v>830</v>
      </c>
      <c r="E3" s="597"/>
      <c r="F3" s="597"/>
      <c r="G3" s="597"/>
    </row>
    <row r="4" spans="1:7" s="257" customFormat="1" x14ac:dyDescent="0.25">
      <c r="A4" s="905" t="s">
        <v>706</v>
      </c>
      <c r="B4" s="276">
        <v>201313</v>
      </c>
      <c r="C4" s="276">
        <f>21667+19685</f>
        <v>41352</v>
      </c>
      <c r="D4" s="276">
        <f>C4+B4</f>
        <v>242665</v>
      </c>
      <c r="E4" s="598"/>
      <c r="F4" s="598"/>
      <c r="G4" s="598"/>
    </row>
    <row r="5" spans="1:7" s="257" customFormat="1" x14ac:dyDescent="0.25">
      <c r="A5" s="277"/>
      <c r="B5" s="278"/>
      <c r="C5" s="278"/>
      <c r="D5" s="276"/>
      <c r="E5" s="598"/>
      <c r="F5" s="598"/>
      <c r="G5" s="598"/>
    </row>
    <row r="6" spans="1:7" x14ac:dyDescent="0.25">
      <c r="A6" s="258" t="s">
        <v>707</v>
      </c>
      <c r="B6" s="253">
        <v>587203</v>
      </c>
      <c r="C6" s="253"/>
      <c r="D6" s="276">
        <f t="shared" ref="D6:D71" si="0">C6+B6</f>
        <v>587203</v>
      </c>
    </row>
    <row r="7" spans="1:7" x14ac:dyDescent="0.25">
      <c r="A7" s="279"/>
      <c r="B7" s="280"/>
      <c r="C7" s="280"/>
      <c r="D7" s="276"/>
    </row>
    <row r="8" spans="1:7" x14ac:dyDescent="0.25">
      <c r="A8" s="258" t="s">
        <v>708</v>
      </c>
      <c r="B8" s="253">
        <f>82013-18990-20011</f>
        <v>43012</v>
      </c>
      <c r="C8" s="253">
        <v>13500</v>
      </c>
      <c r="D8" s="276">
        <f t="shared" si="0"/>
        <v>56512</v>
      </c>
      <c r="E8" s="596" t="s">
        <v>1105</v>
      </c>
    </row>
    <row r="9" spans="1:7" x14ac:dyDescent="0.25">
      <c r="A9" s="261"/>
      <c r="B9" s="254"/>
      <c r="C9" s="254"/>
      <c r="D9" s="276"/>
    </row>
    <row r="10" spans="1:7" x14ac:dyDescent="0.25">
      <c r="A10" s="258" t="s">
        <v>709</v>
      </c>
      <c r="B10" s="253">
        <v>117902</v>
      </c>
      <c r="C10" s="253">
        <v>36697</v>
      </c>
      <c r="D10" s="276">
        <f t="shared" si="0"/>
        <v>154599</v>
      </c>
      <c r="E10" s="599" t="s">
        <v>1059</v>
      </c>
    </row>
    <row r="11" spans="1:7" x14ac:dyDescent="0.25">
      <c r="A11" s="258"/>
      <c r="B11" s="253"/>
      <c r="C11" s="253"/>
      <c r="D11" s="276"/>
    </row>
    <row r="12" spans="1:7" x14ac:dyDescent="0.25">
      <c r="A12" s="258" t="s">
        <v>710</v>
      </c>
      <c r="B12" s="253">
        <f>SUM(B13:B18)</f>
        <v>376626</v>
      </c>
      <c r="C12" s="253">
        <f>SUM(C13:C18)</f>
        <v>144629</v>
      </c>
      <c r="D12" s="276">
        <f t="shared" si="0"/>
        <v>521255</v>
      </c>
    </row>
    <row r="13" spans="1:7" x14ac:dyDescent="0.25">
      <c r="A13" s="261" t="s">
        <v>175</v>
      </c>
      <c r="B13" s="280">
        <v>32152</v>
      </c>
      <c r="C13" s="280"/>
      <c r="D13" s="281">
        <f t="shared" si="0"/>
        <v>32152</v>
      </c>
    </row>
    <row r="14" spans="1:7" x14ac:dyDescent="0.25">
      <c r="A14" s="261" t="s">
        <v>176</v>
      </c>
      <c r="B14" s="280">
        <v>38535</v>
      </c>
      <c r="C14" s="280"/>
      <c r="D14" s="281">
        <f t="shared" si="0"/>
        <v>38535</v>
      </c>
    </row>
    <row r="15" spans="1:7" x14ac:dyDescent="0.25">
      <c r="A15" s="261" t="s">
        <v>547</v>
      </c>
      <c r="B15" s="280">
        <v>63851</v>
      </c>
      <c r="C15" s="280"/>
      <c r="D15" s="281">
        <f t="shared" si="0"/>
        <v>63851</v>
      </c>
    </row>
    <row r="16" spans="1:7" x14ac:dyDescent="0.25">
      <c r="A16" s="261" t="s">
        <v>225</v>
      </c>
      <c r="B16" s="280">
        <v>36633</v>
      </c>
      <c r="C16" s="280"/>
      <c r="D16" s="281">
        <f t="shared" si="0"/>
        <v>36633</v>
      </c>
    </row>
    <row r="17" spans="1:4" x14ac:dyDescent="0.25">
      <c r="A17" s="261" t="s">
        <v>711</v>
      </c>
      <c r="B17" s="280">
        <v>150238</v>
      </c>
      <c r="C17" s="280"/>
      <c r="D17" s="281">
        <f t="shared" si="0"/>
        <v>150238</v>
      </c>
    </row>
    <row r="18" spans="1:4" x14ac:dyDescent="0.25">
      <c r="A18" s="261" t="s">
        <v>659</v>
      </c>
      <c r="B18" s="280">
        <f>148017-92800</f>
        <v>55217</v>
      </c>
      <c r="C18" s="280">
        <f>5000-371+140000</f>
        <v>144629</v>
      </c>
      <c r="D18" s="281">
        <f t="shared" si="0"/>
        <v>199846</v>
      </c>
    </row>
    <row r="19" spans="1:4" x14ac:dyDescent="0.25">
      <c r="A19" s="261"/>
      <c r="B19" s="254"/>
      <c r="C19" s="254"/>
      <c r="D19" s="276"/>
    </row>
    <row r="20" spans="1:4" x14ac:dyDescent="0.25">
      <c r="A20" s="258" t="s">
        <v>712</v>
      </c>
      <c r="B20" s="253">
        <f>+B21+B22</f>
        <v>12207</v>
      </c>
      <c r="C20" s="253">
        <f>+C21+C22</f>
        <v>0</v>
      </c>
      <c r="D20" s="276">
        <f t="shared" si="0"/>
        <v>12207</v>
      </c>
    </row>
    <row r="21" spans="1:4" x14ac:dyDescent="0.25">
      <c r="A21" s="261" t="s">
        <v>332</v>
      </c>
      <c r="B21" s="254">
        <v>5364</v>
      </c>
      <c r="C21" s="254"/>
      <c r="D21" s="281">
        <f t="shared" si="0"/>
        <v>5364</v>
      </c>
    </row>
    <row r="22" spans="1:4" ht="31.5" x14ac:dyDescent="0.25">
      <c r="A22" s="261" t="s">
        <v>805</v>
      </c>
      <c r="B22" s="254">
        <v>6843</v>
      </c>
      <c r="C22" s="254">
        <v>0</v>
      </c>
      <c r="D22" s="281">
        <f t="shared" si="0"/>
        <v>6843</v>
      </c>
    </row>
    <row r="23" spans="1:4" x14ac:dyDescent="0.25">
      <c r="A23" s="258"/>
      <c r="B23" s="278"/>
      <c r="C23" s="278"/>
      <c r="D23" s="276">
        <f t="shared" si="0"/>
        <v>0</v>
      </c>
    </row>
    <row r="24" spans="1:4" x14ac:dyDescent="0.25">
      <c r="A24" s="258" t="s">
        <v>713</v>
      </c>
      <c r="B24" s="278">
        <f t="shared" ref="B24:C24" si="1">SUM(B25:B32)</f>
        <v>125652</v>
      </c>
      <c r="C24" s="278">
        <f t="shared" si="1"/>
        <v>0</v>
      </c>
      <c r="D24" s="276">
        <f t="shared" si="0"/>
        <v>125652</v>
      </c>
    </row>
    <row r="25" spans="1:4" x14ac:dyDescent="0.25">
      <c r="A25" s="282" t="s">
        <v>714</v>
      </c>
      <c r="B25" s="278"/>
      <c r="C25" s="278"/>
      <c r="D25" s="276"/>
    </row>
    <row r="26" spans="1:4" x14ac:dyDescent="0.25">
      <c r="A26" s="261" t="s">
        <v>546</v>
      </c>
      <c r="B26" s="280">
        <v>22225</v>
      </c>
      <c r="C26" s="280"/>
      <c r="D26" s="281">
        <f t="shared" si="0"/>
        <v>22225</v>
      </c>
    </row>
    <row r="27" spans="1:4" x14ac:dyDescent="0.25">
      <c r="A27" s="261" t="s">
        <v>549</v>
      </c>
      <c r="B27" s="280">
        <v>20857</v>
      </c>
      <c r="C27" s="280"/>
      <c r="D27" s="281">
        <f t="shared" si="0"/>
        <v>20857</v>
      </c>
    </row>
    <row r="28" spans="1:4" x14ac:dyDescent="0.25">
      <c r="A28" s="261" t="s">
        <v>715</v>
      </c>
      <c r="B28" s="280">
        <v>186</v>
      </c>
      <c r="C28" s="280"/>
      <c r="D28" s="281">
        <f t="shared" si="0"/>
        <v>186</v>
      </c>
    </row>
    <row r="29" spans="1:4" x14ac:dyDescent="0.25">
      <c r="A29" s="282" t="s">
        <v>716</v>
      </c>
      <c r="B29" s="280"/>
      <c r="C29" s="280"/>
      <c r="D29" s="281"/>
    </row>
    <row r="30" spans="1:4" x14ac:dyDescent="0.25">
      <c r="A30" s="261" t="s">
        <v>174</v>
      </c>
      <c r="B30" s="280">
        <v>3315</v>
      </c>
      <c r="C30" s="280"/>
      <c r="D30" s="281">
        <f t="shared" si="0"/>
        <v>3315</v>
      </c>
    </row>
    <row r="31" spans="1:4" ht="31.5" x14ac:dyDescent="0.25">
      <c r="A31" s="261" t="s">
        <v>717</v>
      </c>
      <c r="B31" s="280">
        <v>4500</v>
      </c>
      <c r="C31" s="280"/>
      <c r="D31" s="281">
        <f t="shared" si="0"/>
        <v>4500</v>
      </c>
    </row>
    <row r="32" spans="1:4" x14ac:dyDescent="0.25">
      <c r="A32" s="261" t="s">
        <v>328</v>
      </c>
      <c r="B32" s="280">
        <v>74569</v>
      </c>
      <c r="C32" s="280"/>
      <c r="D32" s="281">
        <f t="shared" si="0"/>
        <v>74569</v>
      </c>
    </row>
    <row r="33" spans="1:5" x14ac:dyDescent="0.25">
      <c r="A33" s="258"/>
      <c r="B33" s="280"/>
      <c r="C33" s="280"/>
      <c r="D33" s="276"/>
    </row>
    <row r="34" spans="1:5" x14ac:dyDescent="0.25">
      <c r="A34" s="258" t="s">
        <v>718</v>
      </c>
      <c r="B34" s="278">
        <f>SUM(B35:B58)</f>
        <v>626557</v>
      </c>
      <c r="C34" s="278">
        <f>SUM(C35:C58)</f>
        <v>246247</v>
      </c>
      <c r="D34" s="276">
        <f t="shared" si="0"/>
        <v>872804</v>
      </c>
    </row>
    <row r="35" spans="1:5" x14ac:dyDescent="0.25">
      <c r="A35" s="261" t="s">
        <v>719</v>
      </c>
      <c r="B35" s="280">
        <v>0</v>
      </c>
      <c r="C35" s="280">
        <v>0</v>
      </c>
      <c r="D35" s="281">
        <f t="shared" si="0"/>
        <v>0</v>
      </c>
      <c r="E35" s="599" t="s">
        <v>1001</v>
      </c>
    </row>
    <row r="36" spans="1:5" x14ac:dyDescent="0.25">
      <c r="A36" s="261" t="s">
        <v>720</v>
      </c>
      <c r="B36" s="280">
        <v>2540</v>
      </c>
      <c r="C36" s="280"/>
      <c r="D36" s="281">
        <f t="shared" si="0"/>
        <v>2540</v>
      </c>
    </row>
    <row r="37" spans="1:5" x14ac:dyDescent="0.25">
      <c r="A37" s="261" t="s">
        <v>721</v>
      </c>
      <c r="B37" s="280">
        <v>699</v>
      </c>
      <c r="C37" s="280"/>
      <c r="D37" s="281">
        <f t="shared" si="0"/>
        <v>699</v>
      </c>
    </row>
    <row r="38" spans="1:5" ht="31.5" x14ac:dyDescent="0.25">
      <c r="A38" s="261" t="s">
        <v>722</v>
      </c>
      <c r="B38" s="280">
        <v>1029</v>
      </c>
      <c r="C38" s="280"/>
      <c r="D38" s="281">
        <f t="shared" si="0"/>
        <v>1029</v>
      </c>
    </row>
    <row r="39" spans="1:5" ht="31.5" x14ac:dyDescent="0.25">
      <c r="A39" s="261" t="s">
        <v>723</v>
      </c>
      <c r="B39" s="280">
        <v>12700</v>
      </c>
      <c r="C39" s="280"/>
      <c r="D39" s="281">
        <f t="shared" si="0"/>
        <v>12700</v>
      </c>
    </row>
    <row r="40" spans="1:5" x14ac:dyDescent="0.25">
      <c r="A40" s="261" t="s">
        <v>331</v>
      </c>
      <c r="B40" s="280">
        <v>65</v>
      </c>
      <c r="C40" s="280"/>
      <c r="D40" s="281">
        <f t="shared" si="0"/>
        <v>65</v>
      </c>
    </row>
    <row r="41" spans="1:5" x14ac:dyDescent="0.25">
      <c r="A41" s="261" t="s">
        <v>329</v>
      </c>
      <c r="B41" s="280">
        <v>20619</v>
      </c>
      <c r="C41" s="280"/>
      <c r="D41" s="281">
        <f t="shared" si="0"/>
        <v>20619</v>
      </c>
    </row>
    <row r="42" spans="1:5" x14ac:dyDescent="0.25">
      <c r="A42" s="261" t="s">
        <v>177</v>
      </c>
      <c r="B42" s="280">
        <v>35000</v>
      </c>
      <c r="C42" s="280">
        <f>-35000+35000</f>
        <v>0</v>
      </c>
      <c r="D42" s="281">
        <f t="shared" si="0"/>
        <v>35000</v>
      </c>
    </row>
    <row r="43" spans="1:5" x14ac:dyDescent="0.25">
      <c r="A43" s="261" t="s">
        <v>330</v>
      </c>
      <c r="B43" s="280">
        <v>10000</v>
      </c>
      <c r="C43" s="280"/>
      <c r="D43" s="281">
        <f t="shared" si="0"/>
        <v>10000</v>
      </c>
    </row>
    <row r="44" spans="1:5" ht="31.5" x14ac:dyDescent="0.25">
      <c r="A44" s="261" t="s">
        <v>829</v>
      </c>
      <c r="B44" s="280">
        <v>374030</v>
      </c>
      <c r="C44" s="280">
        <v>0</v>
      </c>
      <c r="D44" s="281">
        <f t="shared" si="0"/>
        <v>374030</v>
      </c>
    </row>
    <row r="45" spans="1:5" x14ac:dyDescent="0.25">
      <c r="A45" s="261" t="s">
        <v>489</v>
      </c>
      <c r="B45" s="280">
        <v>40000</v>
      </c>
      <c r="C45" s="280"/>
      <c r="D45" s="281">
        <f t="shared" si="0"/>
        <v>40000</v>
      </c>
    </row>
    <row r="46" spans="1:5" x14ac:dyDescent="0.25">
      <c r="A46" s="261" t="s">
        <v>550</v>
      </c>
      <c r="B46" s="280">
        <v>0</v>
      </c>
      <c r="C46" s="280">
        <v>0</v>
      </c>
      <c r="D46" s="281">
        <f t="shared" si="0"/>
        <v>0</v>
      </c>
      <c r="E46" s="599" t="s">
        <v>1001</v>
      </c>
    </row>
    <row r="47" spans="1:5" ht="31.5" x14ac:dyDescent="0.25">
      <c r="A47" s="261" t="s">
        <v>566</v>
      </c>
      <c r="B47" s="280">
        <v>20000</v>
      </c>
      <c r="C47" s="280">
        <v>0</v>
      </c>
      <c r="D47" s="281">
        <f t="shared" si="0"/>
        <v>20000</v>
      </c>
    </row>
    <row r="48" spans="1:5" x14ac:dyDescent="0.25">
      <c r="A48" s="261" t="s">
        <v>632</v>
      </c>
      <c r="B48" s="280">
        <v>793</v>
      </c>
      <c r="C48" s="280"/>
      <c r="D48" s="281">
        <f t="shared" si="0"/>
        <v>793</v>
      </c>
    </row>
    <row r="49" spans="1:5" x14ac:dyDescent="0.25">
      <c r="A49" s="261" t="s">
        <v>724</v>
      </c>
      <c r="B49" s="280">
        <f>15000-15000</f>
        <v>0</v>
      </c>
      <c r="C49" s="280"/>
      <c r="D49" s="281">
        <f t="shared" si="0"/>
        <v>0</v>
      </c>
      <c r="E49" s="599" t="s">
        <v>1001</v>
      </c>
    </row>
    <row r="50" spans="1:5" ht="31.5" x14ac:dyDescent="0.25">
      <c r="A50" s="261" t="s">
        <v>725</v>
      </c>
      <c r="B50" s="280">
        <v>1120</v>
      </c>
      <c r="C50" s="280"/>
      <c r="D50" s="281">
        <f t="shared" si="0"/>
        <v>1120</v>
      </c>
    </row>
    <row r="51" spans="1:5" x14ac:dyDescent="0.25">
      <c r="A51" s="261" t="s">
        <v>726</v>
      </c>
      <c r="B51" s="280">
        <v>15374</v>
      </c>
      <c r="C51" s="280"/>
      <c r="D51" s="281">
        <f t="shared" si="0"/>
        <v>15374</v>
      </c>
    </row>
    <row r="52" spans="1:5" x14ac:dyDescent="0.25">
      <c r="A52" s="261" t="s">
        <v>727</v>
      </c>
      <c r="B52" s="280">
        <v>23961</v>
      </c>
      <c r="C52" s="280"/>
      <c r="D52" s="281">
        <f t="shared" si="0"/>
        <v>23961</v>
      </c>
    </row>
    <row r="53" spans="1:5" ht="31.5" x14ac:dyDescent="0.25">
      <c r="A53" s="279" t="s">
        <v>728</v>
      </c>
      <c r="B53" s="280">
        <v>57277</v>
      </c>
      <c r="C53" s="280"/>
      <c r="D53" s="281">
        <f t="shared" si="0"/>
        <v>57277</v>
      </c>
    </row>
    <row r="54" spans="1:5" x14ac:dyDescent="0.25">
      <c r="A54" s="261" t="s">
        <v>729</v>
      </c>
      <c r="B54" s="280">
        <v>4420</v>
      </c>
      <c r="C54" s="280">
        <v>-4420</v>
      </c>
      <c r="D54" s="281">
        <f t="shared" si="0"/>
        <v>0</v>
      </c>
    </row>
    <row r="55" spans="1:5" x14ac:dyDescent="0.25">
      <c r="A55" s="261" t="s">
        <v>730</v>
      </c>
      <c r="B55" s="280">
        <v>6295</v>
      </c>
      <c r="C55" s="280"/>
      <c r="D55" s="281">
        <f t="shared" si="0"/>
        <v>6295</v>
      </c>
    </row>
    <row r="56" spans="1:5" x14ac:dyDescent="0.25">
      <c r="A56" s="261" t="s">
        <v>477</v>
      </c>
      <c r="B56" s="280">
        <v>635</v>
      </c>
      <c r="C56" s="280"/>
      <c r="D56" s="281">
        <f t="shared" ref="D56:D57" si="2">C56+B56</f>
        <v>635</v>
      </c>
    </row>
    <row r="57" spans="1:5" x14ac:dyDescent="0.25">
      <c r="A57" s="261" t="s">
        <v>1008</v>
      </c>
      <c r="B57" s="280">
        <v>0</v>
      </c>
      <c r="C57" s="280">
        <f>225739-64873</f>
        <v>160866</v>
      </c>
      <c r="D57" s="281">
        <f t="shared" si="2"/>
        <v>160866</v>
      </c>
    </row>
    <row r="58" spans="1:5" x14ac:dyDescent="0.25">
      <c r="A58" s="261" t="s">
        <v>1151</v>
      </c>
      <c r="B58" s="280">
        <v>0</v>
      </c>
      <c r="C58" s="280">
        <v>89801</v>
      </c>
      <c r="D58" s="281">
        <f t="shared" si="0"/>
        <v>89801</v>
      </c>
      <c r="E58" s="599"/>
    </row>
    <row r="59" spans="1:5" ht="16.5" thickBot="1" x14ac:dyDescent="0.3">
      <c r="A59" s="283"/>
      <c r="B59" s="284"/>
      <c r="C59" s="284"/>
      <c r="D59" s="276"/>
    </row>
    <row r="60" spans="1:5" ht="16.5" thickBot="1" x14ac:dyDescent="0.3">
      <c r="A60" s="285" t="s">
        <v>634</v>
      </c>
      <c r="B60" s="286">
        <f>+B4+B6+B8+B12+B20+B24+B34+B10</f>
        <v>2090472</v>
      </c>
      <c r="C60" s="286">
        <f>+C4+C6+C8+C12+C20+C24+C34+C10</f>
        <v>482425</v>
      </c>
      <c r="D60" s="286">
        <f t="shared" si="0"/>
        <v>2572897</v>
      </c>
    </row>
    <row r="61" spans="1:5" x14ac:dyDescent="0.25">
      <c r="A61" s="268"/>
      <c r="B61" s="287"/>
      <c r="C61" s="287"/>
      <c r="D61" s="276"/>
    </row>
    <row r="62" spans="1:5" x14ac:dyDescent="0.25">
      <c r="A62" s="277" t="s">
        <v>635</v>
      </c>
      <c r="B62" s="288"/>
      <c r="C62" s="288"/>
      <c r="D62" s="276"/>
    </row>
    <row r="63" spans="1:5" ht="31.5" x14ac:dyDescent="0.25">
      <c r="A63" s="261" t="s">
        <v>548</v>
      </c>
      <c r="B63" s="288">
        <v>84820</v>
      </c>
      <c r="C63" s="288"/>
      <c r="D63" s="281">
        <f t="shared" si="0"/>
        <v>84820</v>
      </c>
    </row>
    <row r="64" spans="1:5" ht="47.25" x14ac:dyDescent="0.25">
      <c r="A64" s="261" t="s">
        <v>731</v>
      </c>
      <c r="B64" s="288">
        <v>1174224</v>
      </c>
      <c r="C64" s="288"/>
      <c r="D64" s="281">
        <f t="shared" si="0"/>
        <v>1174224</v>
      </c>
    </row>
    <row r="65" spans="1:5" x14ac:dyDescent="0.25">
      <c r="A65" s="261" t="s">
        <v>732</v>
      </c>
      <c r="B65" s="288">
        <v>124103</v>
      </c>
      <c r="C65" s="288"/>
      <c r="D65" s="281">
        <f t="shared" si="0"/>
        <v>124103</v>
      </c>
    </row>
    <row r="66" spans="1:5" ht="31.5" x14ac:dyDescent="0.25">
      <c r="A66" s="261" t="s">
        <v>1037</v>
      </c>
      <c r="B66" s="288"/>
      <c r="C66" s="288">
        <v>3240</v>
      </c>
      <c r="D66" s="281">
        <f t="shared" ref="D66" si="3">C66+B66</f>
        <v>3240</v>
      </c>
    </row>
    <row r="67" spans="1:5" ht="31.5" x14ac:dyDescent="0.25">
      <c r="A67" s="289" t="s">
        <v>733</v>
      </c>
      <c r="B67" s="288">
        <v>143245</v>
      </c>
      <c r="C67" s="288"/>
      <c r="D67" s="281">
        <f t="shared" si="0"/>
        <v>143245</v>
      </c>
    </row>
    <row r="68" spans="1:5" x14ac:dyDescent="0.25">
      <c r="A68" s="289" t="s">
        <v>734</v>
      </c>
      <c r="B68" s="288">
        <v>19093</v>
      </c>
      <c r="C68" s="288">
        <v>0</v>
      </c>
      <c r="D68" s="281">
        <f t="shared" si="0"/>
        <v>19093</v>
      </c>
    </row>
    <row r="69" spans="1:5" ht="47.25" x14ac:dyDescent="0.25">
      <c r="A69" s="289" t="s">
        <v>735</v>
      </c>
      <c r="B69" s="288">
        <v>2386626</v>
      </c>
      <c r="C69" s="288"/>
      <c r="D69" s="281">
        <f t="shared" si="0"/>
        <v>2386626</v>
      </c>
    </row>
    <row r="70" spans="1:5" ht="31.5" x14ac:dyDescent="0.25">
      <c r="A70" s="261" t="s">
        <v>736</v>
      </c>
      <c r="B70" s="288">
        <v>2575142</v>
      </c>
      <c r="C70" s="288"/>
      <c r="D70" s="281">
        <f t="shared" si="0"/>
        <v>2575142</v>
      </c>
      <c r="E70" s="599"/>
    </row>
    <row r="71" spans="1:5" x14ac:dyDescent="0.25">
      <c r="A71" s="261" t="s">
        <v>737</v>
      </c>
      <c r="B71" s="288">
        <v>9493952</v>
      </c>
      <c r="C71" s="288"/>
      <c r="D71" s="281">
        <f t="shared" si="0"/>
        <v>9493952</v>
      </c>
    </row>
    <row r="72" spans="1:5" ht="31.5" x14ac:dyDescent="0.25">
      <c r="A72" s="261" t="s">
        <v>551</v>
      </c>
      <c r="B72" s="288">
        <v>24757</v>
      </c>
      <c r="C72" s="288"/>
      <c r="D72" s="281">
        <f t="shared" ref="D72:D97" si="4">C72+B72</f>
        <v>24757</v>
      </c>
    </row>
    <row r="73" spans="1:5" ht="31.5" x14ac:dyDescent="0.25">
      <c r="A73" s="261" t="s">
        <v>552</v>
      </c>
      <c r="B73" s="288">
        <v>211595</v>
      </c>
      <c r="C73" s="288"/>
      <c r="D73" s="281">
        <f t="shared" si="4"/>
        <v>211595</v>
      </c>
    </row>
    <row r="74" spans="1:5" x14ac:dyDescent="0.25">
      <c r="A74" s="261" t="s">
        <v>553</v>
      </c>
      <c r="B74" s="288">
        <v>790629</v>
      </c>
      <c r="C74" s="288"/>
      <c r="D74" s="281">
        <f t="shared" si="4"/>
        <v>790629</v>
      </c>
    </row>
    <row r="75" spans="1:5" x14ac:dyDescent="0.25">
      <c r="A75" s="261" t="s">
        <v>554</v>
      </c>
      <c r="B75" s="288">
        <v>396443</v>
      </c>
      <c r="C75" s="288"/>
      <c r="D75" s="281">
        <f t="shared" ref="D75:D77" si="5">C75+B75</f>
        <v>396443</v>
      </c>
    </row>
    <row r="76" spans="1:5" x14ac:dyDescent="0.25">
      <c r="A76" s="261" t="s">
        <v>1233</v>
      </c>
      <c r="B76" s="288">
        <v>0</v>
      </c>
      <c r="C76" s="288">
        <v>5825</v>
      </c>
      <c r="D76" s="281">
        <f t="shared" si="5"/>
        <v>5825</v>
      </c>
    </row>
    <row r="77" spans="1:5" x14ac:dyDescent="0.25">
      <c r="A77" s="261" t="s">
        <v>1062</v>
      </c>
      <c r="B77" s="280">
        <v>0</v>
      </c>
      <c r="C77" s="280">
        <v>56000</v>
      </c>
      <c r="D77" s="281">
        <f t="shared" si="5"/>
        <v>56000</v>
      </c>
      <c r="E77" s="599"/>
    </row>
    <row r="78" spans="1:5" ht="31.5" x14ac:dyDescent="0.25">
      <c r="A78" s="261" t="s">
        <v>1236</v>
      </c>
      <c r="B78" s="288">
        <v>0</v>
      </c>
      <c r="C78" s="288">
        <f>125000+750000</f>
        <v>875000</v>
      </c>
      <c r="D78" s="281">
        <f t="shared" si="4"/>
        <v>875000</v>
      </c>
    </row>
    <row r="79" spans="1:5" x14ac:dyDescent="0.25">
      <c r="A79" s="258" t="s">
        <v>636</v>
      </c>
      <c r="B79" s="290">
        <f>SUM(B63:B78)</f>
        <v>17424629</v>
      </c>
      <c r="C79" s="290">
        <f>SUM(C63:C78)</f>
        <v>940065</v>
      </c>
      <c r="D79" s="276">
        <f t="shared" si="4"/>
        <v>18364694</v>
      </c>
    </row>
    <row r="80" spans="1:5" x14ac:dyDescent="0.25">
      <c r="A80" s="258"/>
      <c r="B80" s="290"/>
      <c r="C80" s="290"/>
      <c r="D80" s="276"/>
    </row>
    <row r="81" spans="1:8" x14ac:dyDescent="0.25">
      <c r="A81" s="258" t="s">
        <v>555</v>
      </c>
      <c r="B81" s="290"/>
      <c r="C81" s="290"/>
      <c r="D81" s="276"/>
    </row>
    <row r="82" spans="1:8" x14ac:dyDescent="0.25">
      <c r="A82" s="261" t="s">
        <v>738</v>
      </c>
      <c r="B82" s="288">
        <v>20478</v>
      </c>
      <c r="C82" s="288">
        <v>-8279</v>
      </c>
      <c r="D82" s="281">
        <f t="shared" si="4"/>
        <v>12199</v>
      </c>
      <c r="E82" s="596" t="s">
        <v>1213</v>
      </c>
      <c r="F82" s="596">
        <v>12199</v>
      </c>
      <c r="G82" s="600">
        <f>+D82-F82</f>
        <v>0</v>
      </c>
    </row>
    <row r="83" spans="1:8" x14ac:dyDescent="0.25">
      <c r="A83" s="261" t="s">
        <v>739</v>
      </c>
      <c r="B83" s="288">
        <v>2375883</v>
      </c>
      <c r="C83" s="288">
        <v>-1585413</v>
      </c>
      <c r="D83" s="281">
        <f t="shared" si="4"/>
        <v>790470</v>
      </c>
      <c r="E83" s="596" t="s">
        <v>1213</v>
      </c>
      <c r="F83" s="596">
        <f>349626+440844</f>
        <v>790470</v>
      </c>
      <c r="G83" s="600">
        <f>+D83-F83</f>
        <v>0</v>
      </c>
      <c r="H83" s="600" t="s">
        <v>1214</v>
      </c>
    </row>
    <row r="84" spans="1:8" x14ac:dyDescent="0.25">
      <c r="A84" s="261" t="s">
        <v>740</v>
      </c>
      <c r="B84" s="288">
        <v>225083</v>
      </c>
      <c r="C84" s="288"/>
      <c r="D84" s="281">
        <f t="shared" si="4"/>
        <v>225083</v>
      </c>
    </row>
    <row r="85" spans="1:8" x14ac:dyDescent="0.25">
      <c r="A85" s="261" t="s">
        <v>741</v>
      </c>
      <c r="B85" s="288">
        <v>199696</v>
      </c>
      <c r="C85" s="288">
        <v>-195633</v>
      </c>
      <c r="D85" s="281">
        <f t="shared" si="4"/>
        <v>4063</v>
      </c>
      <c r="E85" s="596" t="s">
        <v>1213</v>
      </c>
      <c r="F85" s="596">
        <v>4063</v>
      </c>
      <c r="G85" s="600">
        <f>+D85-F85</f>
        <v>0</v>
      </c>
    </row>
    <row r="86" spans="1:8" x14ac:dyDescent="0.25">
      <c r="A86" s="261" t="s">
        <v>479</v>
      </c>
      <c r="B86" s="288">
        <v>1243432</v>
      </c>
      <c r="C86" s="288">
        <v>-62420</v>
      </c>
      <c r="D86" s="281">
        <f t="shared" si="4"/>
        <v>1181012</v>
      </c>
      <c r="E86" s="596" t="s">
        <v>1213</v>
      </c>
      <c r="F86" s="596">
        <v>1141688</v>
      </c>
      <c r="G86" s="600">
        <f>+D86-F86</f>
        <v>39324</v>
      </c>
    </row>
    <row r="87" spans="1:8" x14ac:dyDescent="0.25">
      <c r="A87" s="261" t="s">
        <v>742</v>
      </c>
      <c r="B87" s="288">
        <v>2991</v>
      </c>
      <c r="C87" s="288">
        <v>-2883</v>
      </c>
      <c r="D87" s="281">
        <f t="shared" si="4"/>
        <v>108</v>
      </c>
      <c r="E87" s="596" t="s">
        <v>1213</v>
      </c>
      <c r="F87" s="596">
        <v>108</v>
      </c>
      <c r="G87" s="600">
        <f>+D87-F87</f>
        <v>0</v>
      </c>
    </row>
    <row r="88" spans="1:8" x14ac:dyDescent="0.25">
      <c r="A88" s="261" t="s">
        <v>743</v>
      </c>
      <c r="B88" s="288">
        <v>7685</v>
      </c>
      <c r="C88" s="288">
        <v>-7685</v>
      </c>
      <c r="D88" s="281">
        <f t="shared" si="4"/>
        <v>0</v>
      </c>
      <c r="E88" s="596" t="s">
        <v>1213</v>
      </c>
      <c r="F88" s="596">
        <v>0</v>
      </c>
    </row>
    <row r="89" spans="1:8" x14ac:dyDescent="0.25">
      <c r="A89" s="261" t="s">
        <v>478</v>
      </c>
      <c r="B89" s="288">
        <v>1204213</v>
      </c>
      <c r="C89" s="288">
        <v>116134</v>
      </c>
      <c r="D89" s="281">
        <f t="shared" si="4"/>
        <v>1320347</v>
      </c>
    </row>
    <row r="90" spans="1:8" x14ac:dyDescent="0.25">
      <c r="A90" s="261" t="s">
        <v>556</v>
      </c>
      <c r="B90" s="288">
        <v>183974</v>
      </c>
      <c r="C90" s="288">
        <v>371</v>
      </c>
      <c r="D90" s="281">
        <f t="shared" si="4"/>
        <v>184345</v>
      </c>
      <c r="E90" s="596" t="s">
        <v>1221</v>
      </c>
    </row>
    <row r="91" spans="1:8" x14ac:dyDescent="0.25">
      <c r="A91" s="261" t="s">
        <v>744</v>
      </c>
      <c r="B91" s="288">
        <v>1827363</v>
      </c>
      <c r="C91" s="288">
        <v>-1316538</v>
      </c>
      <c r="D91" s="281">
        <f t="shared" si="4"/>
        <v>510825</v>
      </c>
    </row>
    <row r="92" spans="1:8" x14ac:dyDescent="0.25">
      <c r="A92" s="261" t="s">
        <v>745</v>
      </c>
      <c r="B92" s="288">
        <v>253279</v>
      </c>
      <c r="C92" s="288"/>
      <c r="D92" s="281">
        <f t="shared" si="4"/>
        <v>253279</v>
      </c>
    </row>
    <row r="93" spans="1:8" x14ac:dyDescent="0.25">
      <c r="A93" s="261" t="s">
        <v>557</v>
      </c>
      <c r="B93" s="288">
        <v>523800</v>
      </c>
      <c r="C93" s="288">
        <f>143082+18360</f>
        <v>161442</v>
      </c>
      <c r="D93" s="281">
        <f t="shared" si="4"/>
        <v>685242</v>
      </c>
    </row>
    <row r="94" spans="1:8" x14ac:dyDescent="0.25">
      <c r="A94" s="261" t="s">
        <v>1073</v>
      </c>
      <c r="B94" s="288"/>
      <c r="C94" s="288">
        <v>270583</v>
      </c>
      <c r="D94" s="281">
        <f t="shared" si="4"/>
        <v>270583</v>
      </c>
    </row>
    <row r="95" spans="1:8" x14ac:dyDescent="0.25">
      <c r="A95" s="261"/>
      <c r="B95" s="288"/>
      <c r="C95" s="288"/>
      <c r="D95" s="281">
        <f t="shared" ref="D95" si="6">C95+B95</f>
        <v>0</v>
      </c>
    </row>
    <row r="96" spans="1:8" x14ac:dyDescent="0.25">
      <c r="A96" s="258" t="s">
        <v>555</v>
      </c>
      <c r="B96" s="290">
        <f>SUM(B82:B95)</f>
        <v>8067877</v>
      </c>
      <c r="C96" s="290">
        <f t="shared" ref="C96:D96" si="7">SUM(C82:C95)</f>
        <v>-2630321</v>
      </c>
      <c r="D96" s="290">
        <f t="shared" si="7"/>
        <v>5437556</v>
      </c>
    </row>
    <row r="97" spans="1:6" ht="16.5" thickBot="1" x14ac:dyDescent="0.3">
      <c r="A97" s="291"/>
      <c r="B97" s="292"/>
      <c r="C97" s="292"/>
      <c r="D97" s="276">
        <f t="shared" si="4"/>
        <v>0</v>
      </c>
    </row>
    <row r="98" spans="1:6" ht="16.5" thickBot="1" x14ac:dyDescent="0.3">
      <c r="A98" s="285" t="s">
        <v>637</v>
      </c>
      <c r="B98" s="293">
        <f>SUM(B79,B96)</f>
        <v>25492506</v>
      </c>
      <c r="C98" s="293">
        <f t="shared" ref="C98:D98" si="8">SUM(C79,C96)</f>
        <v>-1690256</v>
      </c>
      <c r="D98" s="293">
        <f t="shared" si="8"/>
        <v>23802250</v>
      </c>
    </row>
    <row r="99" spans="1:6" ht="16.5" thickBot="1" x14ac:dyDescent="0.3">
      <c r="A99" s="294"/>
      <c r="B99" s="295"/>
      <c r="C99" s="295"/>
      <c r="D99" s="293"/>
    </row>
    <row r="100" spans="1:6" ht="16.5" thickBot="1" x14ac:dyDescent="0.3">
      <c r="A100" s="285" t="s">
        <v>488</v>
      </c>
      <c r="B100" s="293">
        <f>+B98+B60</f>
        <v>27582978</v>
      </c>
      <c r="C100" s="293">
        <f>+C98+C60</f>
        <v>-1207831</v>
      </c>
      <c r="D100" s="293">
        <f>+D98+D60</f>
        <v>26375147</v>
      </c>
    </row>
    <row r="101" spans="1:6" x14ac:dyDescent="0.25">
      <c r="B101" s="260"/>
      <c r="C101" s="260"/>
      <c r="D101" s="561">
        <f>+B100+C100</f>
        <v>26375147</v>
      </c>
    </row>
    <row r="102" spans="1:6" x14ac:dyDescent="0.25">
      <c r="D102" s="561">
        <f>+'11melléklet '!E87</f>
        <v>26375147</v>
      </c>
      <c r="E102" s="562" t="s">
        <v>985</v>
      </c>
      <c r="F102" s="600">
        <f>+D100-D102</f>
        <v>0</v>
      </c>
    </row>
  </sheetData>
  <mergeCells count="1">
    <mergeCell ref="A1:D1"/>
  </mergeCells>
  <pageMargins left="0.70866141732283472" right="0.70866141732283472" top="0.74803149606299213" bottom="0.78740157480314965" header="0.31496062992125984" footer="0.15748031496062992"/>
  <pageSetup paperSize="9" scale="60" fitToHeight="0" orientation="portrait" r:id="rId1"/>
  <headerFooter>
    <oddHeader>&amp;R&amp;"Times New Roman CE,Félkövér"12.melléklet a 40/2020.(XI.30.) önkormányzati rendelethez 
 &amp;"Times New Roman CE,Dőlt"&amp;10 12. melléklet az 5/2020.(II.17.) önkormányzati rendelehet</oddHeader>
  </headerFooter>
  <rowBreaks count="1" manualBreakCount="1">
    <brk id="6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8"/>
  <sheetViews>
    <sheetView tabSelected="1" zoomScale="80" zoomScaleNormal="80" workbookViewId="0">
      <pane ySplit="1" topLeftCell="A100" activePane="bottomLeft" state="frozen"/>
      <selection activeCell="D13" sqref="D13"/>
      <selection pane="bottomLeft" activeCell="E106" sqref="E106"/>
    </sheetView>
  </sheetViews>
  <sheetFormatPr defaultRowHeight="15.75" x14ac:dyDescent="0.25"/>
  <cols>
    <col min="1" max="1" width="36" style="471" customWidth="1"/>
    <col min="2" max="2" width="54.125" style="470" customWidth="1"/>
    <col min="3" max="5" width="19.5" style="472" customWidth="1"/>
    <col min="6" max="9" width="0" style="470" hidden="1" customWidth="1"/>
    <col min="10" max="248" width="9" style="470"/>
    <col min="249" max="249" width="43.5" style="470" customWidth="1"/>
    <col min="250" max="250" width="19.5" style="470" customWidth="1"/>
    <col min="251" max="251" width="17.375" style="470" customWidth="1"/>
    <col min="252" max="252" width="50.375" style="470" customWidth="1"/>
    <col min="253" max="504" width="9" style="470"/>
    <col min="505" max="505" width="43.5" style="470" customWidth="1"/>
    <col min="506" max="506" width="19.5" style="470" customWidth="1"/>
    <col min="507" max="507" width="17.375" style="470" customWidth="1"/>
    <col min="508" max="508" width="50.375" style="470" customWidth="1"/>
    <col min="509" max="760" width="9" style="470"/>
    <col min="761" max="761" width="43.5" style="470" customWidth="1"/>
    <col min="762" max="762" width="19.5" style="470" customWidth="1"/>
    <col min="763" max="763" width="17.375" style="470" customWidth="1"/>
    <col min="764" max="764" width="50.375" style="470" customWidth="1"/>
    <col min="765" max="1016" width="9" style="470"/>
    <col min="1017" max="1017" width="43.5" style="470" customWidth="1"/>
    <col min="1018" max="1018" width="19.5" style="470" customWidth="1"/>
    <col min="1019" max="1019" width="17.375" style="470" customWidth="1"/>
    <col min="1020" max="1020" width="50.375" style="470" customWidth="1"/>
    <col min="1021" max="1272" width="9" style="470"/>
    <col min="1273" max="1273" width="43.5" style="470" customWidth="1"/>
    <col min="1274" max="1274" width="19.5" style="470" customWidth="1"/>
    <col min="1275" max="1275" width="17.375" style="470" customWidth="1"/>
    <col min="1276" max="1276" width="50.375" style="470" customWidth="1"/>
    <col min="1277" max="1528" width="9" style="470"/>
    <col min="1529" max="1529" width="43.5" style="470" customWidth="1"/>
    <col min="1530" max="1530" width="19.5" style="470" customWidth="1"/>
    <col min="1531" max="1531" width="17.375" style="470" customWidth="1"/>
    <col min="1532" max="1532" width="50.375" style="470" customWidth="1"/>
    <col min="1533" max="1784" width="9" style="470"/>
    <col min="1785" max="1785" width="43.5" style="470" customWidth="1"/>
    <col min="1786" max="1786" width="19.5" style="470" customWidth="1"/>
    <col min="1787" max="1787" width="17.375" style="470" customWidth="1"/>
    <col min="1788" max="1788" width="50.375" style="470" customWidth="1"/>
    <col min="1789" max="2040" width="9" style="470"/>
    <col min="2041" max="2041" width="43.5" style="470" customWidth="1"/>
    <col min="2042" max="2042" width="19.5" style="470" customWidth="1"/>
    <col min="2043" max="2043" width="17.375" style="470" customWidth="1"/>
    <col min="2044" max="2044" width="50.375" style="470" customWidth="1"/>
    <col min="2045" max="2296" width="9" style="470"/>
    <col min="2297" max="2297" width="43.5" style="470" customWidth="1"/>
    <col min="2298" max="2298" width="19.5" style="470" customWidth="1"/>
    <col min="2299" max="2299" width="17.375" style="470" customWidth="1"/>
    <col min="2300" max="2300" width="50.375" style="470" customWidth="1"/>
    <col min="2301" max="2552" width="9" style="470"/>
    <col min="2553" max="2553" width="43.5" style="470" customWidth="1"/>
    <col min="2554" max="2554" width="19.5" style="470" customWidth="1"/>
    <col min="2555" max="2555" width="17.375" style="470" customWidth="1"/>
    <col min="2556" max="2556" width="50.375" style="470" customWidth="1"/>
    <col min="2557" max="2808" width="9" style="470"/>
    <col min="2809" max="2809" width="43.5" style="470" customWidth="1"/>
    <col min="2810" max="2810" width="19.5" style="470" customWidth="1"/>
    <col min="2811" max="2811" width="17.375" style="470" customWidth="1"/>
    <col min="2812" max="2812" width="50.375" style="470" customWidth="1"/>
    <col min="2813" max="3064" width="9" style="470"/>
    <col min="3065" max="3065" width="43.5" style="470" customWidth="1"/>
    <col min="3066" max="3066" width="19.5" style="470" customWidth="1"/>
    <col min="3067" max="3067" width="17.375" style="470" customWidth="1"/>
    <col min="3068" max="3068" width="50.375" style="470" customWidth="1"/>
    <col min="3069" max="3320" width="9" style="470"/>
    <col min="3321" max="3321" width="43.5" style="470" customWidth="1"/>
    <col min="3322" max="3322" width="19.5" style="470" customWidth="1"/>
    <col min="3323" max="3323" width="17.375" style="470" customWidth="1"/>
    <col min="3324" max="3324" width="50.375" style="470" customWidth="1"/>
    <col min="3325" max="3576" width="9" style="470"/>
    <col min="3577" max="3577" width="43.5" style="470" customWidth="1"/>
    <col min="3578" max="3578" width="19.5" style="470" customWidth="1"/>
    <col min="3579" max="3579" width="17.375" style="470" customWidth="1"/>
    <col min="3580" max="3580" width="50.375" style="470" customWidth="1"/>
    <col min="3581" max="3832" width="9" style="470"/>
    <col min="3833" max="3833" width="43.5" style="470" customWidth="1"/>
    <col min="3834" max="3834" width="19.5" style="470" customWidth="1"/>
    <col min="3835" max="3835" width="17.375" style="470" customWidth="1"/>
    <col min="3836" max="3836" width="50.375" style="470" customWidth="1"/>
    <col min="3837" max="4088" width="9" style="470"/>
    <col min="4089" max="4089" width="43.5" style="470" customWidth="1"/>
    <col min="4090" max="4090" width="19.5" style="470" customWidth="1"/>
    <col min="4091" max="4091" width="17.375" style="470" customWidth="1"/>
    <col min="4092" max="4092" width="50.375" style="470" customWidth="1"/>
    <col min="4093" max="4344" width="9" style="470"/>
    <col min="4345" max="4345" width="43.5" style="470" customWidth="1"/>
    <col min="4346" max="4346" width="19.5" style="470" customWidth="1"/>
    <col min="4347" max="4347" width="17.375" style="470" customWidth="1"/>
    <col min="4348" max="4348" width="50.375" style="470" customWidth="1"/>
    <col min="4349" max="4600" width="9" style="470"/>
    <col min="4601" max="4601" width="43.5" style="470" customWidth="1"/>
    <col min="4602" max="4602" width="19.5" style="470" customWidth="1"/>
    <col min="4603" max="4603" width="17.375" style="470" customWidth="1"/>
    <col min="4604" max="4604" width="50.375" style="470" customWidth="1"/>
    <col min="4605" max="4856" width="9" style="470"/>
    <col min="4857" max="4857" width="43.5" style="470" customWidth="1"/>
    <col min="4858" max="4858" width="19.5" style="470" customWidth="1"/>
    <col min="4859" max="4859" width="17.375" style="470" customWidth="1"/>
    <col min="4860" max="4860" width="50.375" style="470" customWidth="1"/>
    <col min="4861" max="5112" width="9" style="470"/>
    <col min="5113" max="5113" width="43.5" style="470" customWidth="1"/>
    <col min="5114" max="5114" width="19.5" style="470" customWidth="1"/>
    <col min="5115" max="5115" width="17.375" style="470" customWidth="1"/>
    <col min="5116" max="5116" width="50.375" style="470" customWidth="1"/>
    <col min="5117" max="5368" width="9" style="470"/>
    <col min="5369" max="5369" width="43.5" style="470" customWidth="1"/>
    <col min="5370" max="5370" width="19.5" style="470" customWidth="1"/>
    <col min="5371" max="5371" width="17.375" style="470" customWidth="1"/>
    <col min="5372" max="5372" width="50.375" style="470" customWidth="1"/>
    <col min="5373" max="5624" width="9" style="470"/>
    <col min="5625" max="5625" width="43.5" style="470" customWidth="1"/>
    <col min="5626" max="5626" width="19.5" style="470" customWidth="1"/>
    <col min="5627" max="5627" width="17.375" style="470" customWidth="1"/>
    <col min="5628" max="5628" width="50.375" style="470" customWidth="1"/>
    <col min="5629" max="5880" width="9" style="470"/>
    <col min="5881" max="5881" width="43.5" style="470" customWidth="1"/>
    <col min="5882" max="5882" width="19.5" style="470" customWidth="1"/>
    <col min="5883" max="5883" width="17.375" style="470" customWidth="1"/>
    <col min="5884" max="5884" width="50.375" style="470" customWidth="1"/>
    <col min="5885" max="6136" width="9" style="470"/>
    <col min="6137" max="6137" width="43.5" style="470" customWidth="1"/>
    <col min="6138" max="6138" width="19.5" style="470" customWidth="1"/>
    <col min="6139" max="6139" width="17.375" style="470" customWidth="1"/>
    <col min="6140" max="6140" width="50.375" style="470" customWidth="1"/>
    <col min="6141" max="6392" width="9" style="470"/>
    <col min="6393" max="6393" width="43.5" style="470" customWidth="1"/>
    <col min="6394" max="6394" width="19.5" style="470" customWidth="1"/>
    <col min="6395" max="6395" width="17.375" style="470" customWidth="1"/>
    <col min="6396" max="6396" width="50.375" style="470" customWidth="1"/>
    <col min="6397" max="6648" width="9" style="470"/>
    <col min="6649" max="6649" width="43.5" style="470" customWidth="1"/>
    <col min="6650" max="6650" width="19.5" style="470" customWidth="1"/>
    <col min="6651" max="6651" width="17.375" style="470" customWidth="1"/>
    <col min="6652" max="6652" width="50.375" style="470" customWidth="1"/>
    <col min="6653" max="6904" width="9" style="470"/>
    <col min="6905" max="6905" width="43.5" style="470" customWidth="1"/>
    <col min="6906" max="6906" width="19.5" style="470" customWidth="1"/>
    <col min="6907" max="6907" width="17.375" style="470" customWidth="1"/>
    <col min="6908" max="6908" width="50.375" style="470" customWidth="1"/>
    <col min="6909" max="7160" width="9" style="470"/>
    <col min="7161" max="7161" width="43.5" style="470" customWidth="1"/>
    <col min="7162" max="7162" width="19.5" style="470" customWidth="1"/>
    <col min="7163" max="7163" width="17.375" style="470" customWidth="1"/>
    <col min="7164" max="7164" width="50.375" style="470" customWidth="1"/>
    <col min="7165" max="7416" width="9" style="470"/>
    <col min="7417" max="7417" width="43.5" style="470" customWidth="1"/>
    <col min="7418" max="7418" width="19.5" style="470" customWidth="1"/>
    <col min="7419" max="7419" width="17.375" style="470" customWidth="1"/>
    <col min="7420" max="7420" width="50.375" style="470" customWidth="1"/>
    <col min="7421" max="7672" width="9" style="470"/>
    <col min="7673" max="7673" width="43.5" style="470" customWidth="1"/>
    <col min="7674" max="7674" width="19.5" style="470" customWidth="1"/>
    <col min="7675" max="7675" width="17.375" style="470" customWidth="1"/>
    <col min="7676" max="7676" width="50.375" style="470" customWidth="1"/>
    <col min="7677" max="7928" width="9" style="470"/>
    <col min="7929" max="7929" width="43.5" style="470" customWidth="1"/>
    <col min="7930" max="7930" width="19.5" style="470" customWidth="1"/>
    <col min="7931" max="7931" width="17.375" style="470" customWidth="1"/>
    <col min="7932" max="7932" width="50.375" style="470" customWidth="1"/>
    <col min="7933" max="8184" width="9" style="470"/>
    <col min="8185" max="8185" width="43.5" style="470" customWidth="1"/>
    <col min="8186" max="8186" width="19.5" style="470" customWidth="1"/>
    <col min="8187" max="8187" width="17.375" style="470" customWidth="1"/>
    <col min="8188" max="8188" width="50.375" style="470" customWidth="1"/>
    <col min="8189" max="8440" width="9" style="470"/>
    <col min="8441" max="8441" width="43.5" style="470" customWidth="1"/>
    <col min="8442" max="8442" width="19.5" style="470" customWidth="1"/>
    <col min="8443" max="8443" width="17.375" style="470" customWidth="1"/>
    <col min="8444" max="8444" width="50.375" style="470" customWidth="1"/>
    <col min="8445" max="8696" width="9" style="470"/>
    <col min="8697" max="8697" width="43.5" style="470" customWidth="1"/>
    <col min="8698" max="8698" width="19.5" style="470" customWidth="1"/>
    <col min="8699" max="8699" width="17.375" style="470" customWidth="1"/>
    <col min="8700" max="8700" width="50.375" style="470" customWidth="1"/>
    <col min="8701" max="8952" width="9" style="470"/>
    <col min="8953" max="8953" width="43.5" style="470" customWidth="1"/>
    <col min="8954" max="8954" width="19.5" style="470" customWidth="1"/>
    <col min="8955" max="8955" width="17.375" style="470" customWidth="1"/>
    <col min="8956" max="8956" width="50.375" style="470" customWidth="1"/>
    <col min="8957" max="9208" width="9" style="470"/>
    <col min="9209" max="9209" width="43.5" style="470" customWidth="1"/>
    <col min="9210" max="9210" width="19.5" style="470" customWidth="1"/>
    <col min="9211" max="9211" width="17.375" style="470" customWidth="1"/>
    <col min="9212" max="9212" width="50.375" style="470" customWidth="1"/>
    <col min="9213" max="9464" width="9" style="470"/>
    <col min="9465" max="9465" width="43.5" style="470" customWidth="1"/>
    <col min="9466" max="9466" width="19.5" style="470" customWidth="1"/>
    <col min="9467" max="9467" width="17.375" style="470" customWidth="1"/>
    <col min="9468" max="9468" width="50.375" style="470" customWidth="1"/>
    <col min="9469" max="9720" width="9" style="470"/>
    <col min="9721" max="9721" width="43.5" style="470" customWidth="1"/>
    <col min="9722" max="9722" width="19.5" style="470" customWidth="1"/>
    <col min="9723" max="9723" width="17.375" style="470" customWidth="1"/>
    <col min="9724" max="9724" width="50.375" style="470" customWidth="1"/>
    <col min="9725" max="9976" width="9" style="470"/>
    <col min="9977" max="9977" width="43.5" style="470" customWidth="1"/>
    <col min="9978" max="9978" width="19.5" style="470" customWidth="1"/>
    <col min="9979" max="9979" width="17.375" style="470" customWidth="1"/>
    <col min="9980" max="9980" width="50.375" style="470" customWidth="1"/>
    <col min="9981" max="10232" width="9" style="470"/>
    <col min="10233" max="10233" width="43.5" style="470" customWidth="1"/>
    <col min="10234" max="10234" width="19.5" style="470" customWidth="1"/>
    <col min="10235" max="10235" width="17.375" style="470" customWidth="1"/>
    <col min="10236" max="10236" width="50.375" style="470" customWidth="1"/>
    <col min="10237" max="10488" width="9" style="470"/>
    <col min="10489" max="10489" width="43.5" style="470" customWidth="1"/>
    <col min="10490" max="10490" width="19.5" style="470" customWidth="1"/>
    <col min="10491" max="10491" width="17.375" style="470" customWidth="1"/>
    <col min="10492" max="10492" width="50.375" style="470" customWidth="1"/>
    <col min="10493" max="10744" width="9" style="470"/>
    <col min="10745" max="10745" width="43.5" style="470" customWidth="1"/>
    <col min="10746" max="10746" width="19.5" style="470" customWidth="1"/>
    <col min="10747" max="10747" width="17.375" style="470" customWidth="1"/>
    <col min="10748" max="10748" width="50.375" style="470" customWidth="1"/>
    <col min="10749" max="11000" width="9" style="470"/>
    <col min="11001" max="11001" width="43.5" style="470" customWidth="1"/>
    <col min="11002" max="11002" width="19.5" style="470" customWidth="1"/>
    <col min="11003" max="11003" width="17.375" style="470" customWidth="1"/>
    <col min="11004" max="11004" width="50.375" style="470" customWidth="1"/>
    <col min="11005" max="11256" width="9" style="470"/>
    <col min="11257" max="11257" width="43.5" style="470" customWidth="1"/>
    <col min="11258" max="11258" width="19.5" style="470" customWidth="1"/>
    <col min="11259" max="11259" width="17.375" style="470" customWidth="1"/>
    <col min="11260" max="11260" width="50.375" style="470" customWidth="1"/>
    <col min="11261" max="11512" width="9" style="470"/>
    <col min="11513" max="11513" width="43.5" style="470" customWidth="1"/>
    <col min="11514" max="11514" width="19.5" style="470" customWidth="1"/>
    <col min="11515" max="11515" width="17.375" style="470" customWidth="1"/>
    <col min="11516" max="11516" width="50.375" style="470" customWidth="1"/>
    <col min="11517" max="11768" width="9" style="470"/>
    <col min="11769" max="11769" width="43.5" style="470" customWidth="1"/>
    <col min="11770" max="11770" width="19.5" style="470" customWidth="1"/>
    <col min="11771" max="11771" width="17.375" style="470" customWidth="1"/>
    <col min="11772" max="11772" width="50.375" style="470" customWidth="1"/>
    <col min="11773" max="12024" width="9" style="470"/>
    <col min="12025" max="12025" width="43.5" style="470" customWidth="1"/>
    <col min="12026" max="12026" width="19.5" style="470" customWidth="1"/>
    <col min="12027" max="12027" width="17.375" style="470" customWidth="1"/>
    <col min="12028" max="12028" width="50.375" style="470" customWidth="1"/>
    <col min="12029" max="12280" width="9" style="470"/>
    <col min="12281" max="12281" width="43.5" style="470" customWidth="1"/>
    <col min="12282" max="12282" width="19.5" style="470" customWidth="1"/>
    <col min="12283" max="12283" width="17.375" style="470" customWidth="1"/>
    <col min="12284" max="12284" width="50.375" style="470" customWidth="1"/>
    <col min="12285" max="12536" width="9" style="470"/>
    <col min="12537" max="12537" width="43.5" style="470" customWidth="1"/>
    <col min="12538" max="12538" width="19.5" style="470" customWidth="1"/>
    <col min="12539" max="12539" width="17.375" style="470" customWidth="1"/>
    <col min="12540" max="12540" width="50.375" style="470" customWidth="1"/>
    <col min="12541" max="12792" width="9" style="470"/>
    <col min="12793" max="12793" width="43.5" style="470" customWidth="1"/>
    <col min="12794" max="12794" width="19.5" style="470" customWidth="1"/>
    <col min="12795" max="12795" width="17.375" style="470" customWidth="1"/>
    <col min="12796" max="12796" width="50.375" style="470" customWidth="1"/>
    <col min="12797" max="13048" width="9" style="470"/>
    <col min="13049" max="13049" width="43.5" style="470" customWidth="1"/>
    <col min="13050" max="13050" width="19.5" style="470" customWidth="1"/>
    <col min="13051" max="13051" width="17.375" style="470" customWidth="1"/>
    <col min="13052" max="13052" width="50.375" style="470" customWidth="1"/>
    <col min="13053" max="13304" width="9" style="470"/>
    <col min="13305" max="13305" width="43.5" style="470" customWidth="1"/>
    <col min="13306" max="13306" width="19.5" style="470" customWidth="1"/>
    <col min="13307" max="13307" width="17.375" style="470" customWidth="1"/>
    <col min="13308" max="13308" width="50.375" style="470" customWidth="1"/>
    <col min="13309" max="13560" width="9" style="470"/>
    <col min="13561" max="13561" width="43.5" style="470" customWidth="1"/>
    <col min="13562" max="13562" width="19.5" style="470" customWidth="1"/>
    <col min="13563" max="13563" width="17.375" style="470" customWidth="1"/>
    <col min="13564" max="13564" width="50.375" style="470" customWidth="1"/>
    <col min="13565" max="13816" width="9" style="470"/>
    <col min="13817" max="13817" width="43.5" style="470" customWidth="1"/>
    <col min="13818" max="13818" width="19.5" style="470" customWidth="1"/>
    <col min="13819" max="13819" width="17.375" style="470" customWidth="1"/>
    <col min="13820" max="13820" width="50.375" style="470" customWidth="1"/>
    <col min="13821" max="14072" width="9" style="470"/>
    <col min="14073" max="14073" width="43.5" style="470" customWidth="1"/>
    <col min="14074" max="14074" width="19.5" style="470" customWidth="1"/>
    <col min="14075" max="14075" width="17.375" style="470" customWidth="1"/>
    <col min="14076" max="14076" width="50.375" style="470" customWidth="1"/>
    <col min="14077" max="14328" width="9" style="470"/>
    <col min="14329" max="14329" width="43.5" style="470" customWidth="1"/>
    <col min="14330" max="14330" width="19.5" style="470" customWidth="1"/>
    <col min="14331" max="14331" width="17.375" style="470" customWidth="1"/>
    <col min="14332" max="14332" width="50.375" style="470" customWidth="1"/>
    <col min="14333" max="14584" width="9" style="470"/>
    <col min="14585" max="14585" width="43.5" style="470" customWidth="1"/>
    <col min="14586" max="14586" width="19.5" style="470" customWidth="1"/>
    <col min="14587" max="14587" width="17.375" style="470" customWidth="1"/>
    <col min="14588" max="14588" width="50.375" style="470" customWidth="1"/>
    <col min="14589" max="14840" width="9" style="470"/>
    <col min="14841" max="14841" width="43.5" style="470" customWidth="1"/>
    <col min="14842" max="14842" width="19.5" style="470" customWidth="1"/>
    <col min="14843" max="14843" width="17.375" style="470" customWidth="1"/>
    <col min="14844" max="14844" width="50.375" style="470" customWidth="1"/>
    <col min="14845" max="15096" width="9" style="470"/>
    <col min="15097" max="15097" width="43.5" style="470" customWidth="1"/>
    <col min="15098" max="15098" width="19.5" style="470" customWidth="1"/>
    <col min="15099" max="15099" width="17.375" style="470" customWidth="1"/>
    <col min="15100" max="15100" width="50.375" style="470" customWidth="1"/>
    <col min="15101" max="15352" width="9" style="470"/>
    <col min="15353" max="15353" width="43.5" style="470" customWidth="1"/>
    <col min="15354" max="15354" width="19.5" style="470" customWidth="1"/>
    <col min="15355" max="15355" width="17.375" style="470" customWidth="1"/>
    <col min="15356" max="15356" width="50.375" style="470" customWidth="1"/>
    <col min="15357" max="15608" width="9" style="470"/>
    <col min="15609" max="15609" width="43.5" style="470" customWidth="1"/>
    <col min="15610" max="15610" width="19.5" style="470" customWidth="1"/>
    <col min="15611" max="15611" width="17.375" style="470" customWidth="1"/>
    <col min="15612" max="15612" width="50.375" style="470" customWidth="1"/>
    <col min="15613" max="15864" width="9" style="470"/>
    <col min="15865" max="15865" width="43.5" style="470" customWidth="1"/>
    <col min="15866" max="15866" width="19.5" style="470" customWidth="1"/>
    <col min="15867" max="15867" width="17.375" style="470" customWidth="1"/>
    <col min="15868" max="15868" width="50.375" style="470" customWidth="1"/>
    <col min="15869" max="16120" width="9" style="470"/>
    <col min="16121" max="16121" width="43.5" style="470" customWidth="1"/>
    <col min="16122" max="16122" width="19.5" style="470" customWidth="1"/>
    <col min="16123" max="16123" width="17.375" style="470" customWidth="1"/>
    <col min="16124" max="16124" width="50.375" style="470" customWidth="1"/>
    <col min="16125" max="16384" width="9" style="470"/>
  </cols>
  <sheetData>
    <row r="1" spans="1:6" ht="31.5" customHeight="1" x14ac:dyDescent="0.25">
      <c r="A1" s="1026" t="s">
        <v>746</v>
      </c>
      <c r="B1" s="1026"/>
      <c r="C1" s="1026"/>
      <c r="D1" s="1020"/>
      <c r="E1" s="1020"/>
    </row>
    <row r="2" spans="1:6" ht="16.5" thickBot="1" x14ac:dyDescent="0.3"/>
    <row r="3" spans="1:6" s="275" customFormat="1" ht="62.25" customHeight="1" thickTop="1" thickBot="1" x14ac:dyDescent="0.3">
      <c r="A3" s="273" t="s">
        <v>136</v>
      </c>
      <c r="B3" s="473" t="s">
        <v>368</v>
      </c>
      <c r="C3" s="469" t="s">
        <v>347</v>
      </c>
      <c r="D3" s="255" t="s">
        <v>348</v>
      </c>
      <c r="E3" s="469" t="s">
        <v>830</v>
      </c>
    </row>
    <row r="4" spans="1:6" s="257" customFormat="1" ht="21" customHeight="1" x14ac:dyDescent="0.25">
      <c r="A4" s="1021" t="s">
        <v>747</v>
      </c>
      <c r="B4" s="1022"/>
      <c r="C4" s="256"/>
      <c r="D4" s="256"/>
      <c r="E4" s="256"/>
    </row>
    <row r="5" spans="1:6" s="260" customFormat="1" ht="47.25" x14ac:dyDescent="0.25">
      <c r="A5" s="258" t="s">
        <v>748</v>
      </c>
      <c r="B5" s="259" t="s">
        <v>749</v>
      </c>
      <c r="C5" s="121">
        <v>3000</v>
      </c>
      <c r="D5" s="121"/>
      <c r="E5" s="121">
        <f>D5+C5</f>
        <v>3000</v>
      </c>
    </row>
    <row r="6" spans="1:6" s="260" customFormat="1" ht="47.25" x14ac:dyDescent="0.25">
      <c r="A6" s="261"/>
      <c r="B6" s="259" t="s">
        <v>750</v>
      </c>
      <c r="C6" s="121">
        <v>13000</v>
      </c>
      <c r="D6" s="121"/>
      <c r="E6" s="121">
        <f t="shared" ref="E6:E54" si="0">D6+C6</f>
        <v>13000</v>
      </c>
    </row>
    <row r="7" spans="1:6" s="260" customFormat="1" ht="47.25" x14ac:dyDescent="0.25">
      <c r="A7" s="261"/>
      <c r="B7" s="259" t="s">
        <v>751</v>
      </c>
      <c r="C7" s="121">
        <v>3827</v>
      </c>
      <c r="D7" s="121"/>
      <c r="E7" s="121">
        <f t="shared" si="0"/>
        <v>3827</v>
      </c>
    </row>
    <row r="8" spans="1:6" s="260" customFormat="1" ht="94.5" x14ac:dyDescent="0.25">
      <c r="A8" s="261"/>
      <c r="B8" s="259" t="s">
        <v>997</v>
      </c>
      <c r="C8" s="121">
        <v>216679</v>
      </c>
      <c r="D8" s="121">
        <v>6162</v>
      </c>
      <c r="E8" s="121">
        <f t="shared" si="0"/>
        <v>222841</v>
      </c>
    </row>
    <row r="9" spans="1:6" s="260" customFormat="1" ht="76.5" customHeight="1" x14ac:dyDescent="0.25">
      <c r="A9" s="261"/>
      <c r="B9" s="259" t="s">
        <v>752</v>
      </c>
      <c r="C9" s="121">
        <v>25997</v>
      </c>
      <c r="D9" s="121"/>
      <c r="E9" s="121">
        <f t="shared" si="0"/>
        <v>25997</v>
      </c>
    </row>
    <row r="10" spans="1:6" s="260" customFormat="1" ht="33" customHeight="1" x14ac:dyDescent="0.25">
      <c r="A10" s="261"/>
      <c r="B10" s="259" t="s">
        <v>753</v>
      </c>
      <c r="C10" s="121">
        <v>65000</v>
      </c>
      <c r="D10" s="121"/>
      <c r="E10" s="121">
        <f t="shared" si="0"/>
        <v>65000</v>
      </c>
    </row>
    <row r="11" spans="1:6" s="260" customFormat="1" ht="30.75" customHeight="1" x14ac:dyDescent="0.25">
      <c r="A11" s="261"/>
      <c r="B11" s="259" t="s">
        <v>754</v>
      </c>
      <c r="C11" s="121">
        <v>500</v>
      </c>
      <c r="D11" s="121"/>
      <c r="E11" s="121">
        <f t="shared" si="0"/>
        <v>500</v>
      </c>
    </row>
    <row r="12" spans="1:6" s="260" customFormat="1" x14ac:dyDescent="0.25">
      <c r="A12" s="261"/>
      <c r="B12" s="259"/>
      <c r="C12" s="121"/>
      <c r="D12" s="121"/>
      <c r="E12" s="121">
        <f t="shared" si="0"/>
        <v>0</v>
      </c>
    </row>
    <row r="13" spans="1:6" s="264" customFormat="1" x14ac:dyDescent="0.25">
      <c r="A13" s="258"/>
      <c r="B13" s="262" t="s">
        <v>369</v>
      </c>
      <c r="C13" s="263">
        <f>SUM(C5:C12)</f>
        <v>328003</v>
      </c>
      <c r="D13" s="263">
        <f>SUM(D5:D12)</f>
        <v>6162</v>
      </c>
      <c r="E13" s="122">
        <f t="shared" si="0"/>
        <v>334165</v>
      </c>
    </row>
    <row r="14" spans="1:6" s="260" customFormat="1" x14ac:dyDescent="0.25">
      <c r="A14" s="261"/>
      <c r="B14" s="259"/>
      <c r="C14" s="121"/>
      <c r="D14" s="121"/>
      <c r="E14" s="121"/>
    </row>
    <row r="15" spans="1:6" s="260" customFormat="1" ht="31.5" x14ac:dyDescent="0.25">
      <c r="A15" s="258" t="s">
        <v>409</v>
      </c>
      <c r="B15" s="259" t="s">
        <v>638</v>
      </c>
      <c r="C15" s="121">
        <v>0</v>
      </c>
      <c r="D15" s="121">
        <v>0</v>
      </c>
      <c r="E15" s="121">
        <f t="shared" si="0"/>
        <v>0</v>
      </c>
      <c r="F15" s="560" t="s">
        <v>1001</v>
      </c>
    </row>
    <row r="16" spans="1:6" s="260" customFormat="1" x14ac:dyDescent="0.25">
      <c r="A16" s="261"/>
      <c r="B16" s="262" t="s">
        <v>369</v>
      </c>
      <c r="C16" s="263">
        <f t="shared" ref="C16:D16" si="1">SUM(C15)</f>
        <v>0</v>
      </c>
      <c r="D16" s="263">
        <f t="shared" si="1"/>
        <v>0</v>
      </c>
      <c r="E16" s="122">
        <f t="shared" si="0"/>
        <v>0</v>
      </c>
    </row>
    <row r="17" spans="1:6" s="260" customFormat="1" x14ac:dyDescent="0.25">
      <c r="A17" s="261"/>
      <c r="B17" s="262"/>
      <c r="C17" s="263"/>
      <c r="D17" s="263"/>
      <c r="E17" s="121"/>
    </row>
    <row r="18" spans="1:6" s="260" customFormat="1" ht="31.5" x14ac:dyDescent="0.25">
      <c r="A18" s="258" t="s">
        <v>755</v>
      </c>
      <c r="B18" s="259" t="s">
        <v>756</v>
      </c>
      <c r="C18" s="121">
        <v>12000</v>
      </c>
      <c r="D18" s="121"/>
      <c r="E18" s="121">
        <f t="shared" si="0"/>
        <v>12000</v>
      </c>
    </row>
    <row r="19" spans="1:6" s="260" customFormat="1" x14ac:dyDescent="0.25">
      <c r="A19" s="261"/>
      <c r="B19" s="262" t="s">
        <v>369</v>
      </c>
      <c r="C19" s="263">
        <f t="shared" ref="C19:D19" si="2">SUM(C18)</f>
        <v>12000</v>
      </c>
      <c r="D19" s="263">
        <f t="shared" si="2"/>
        <v>0</v>
      </c>
      <c r="E19" s="122">
        <f t="shared" si="0"/>
        <v>12000</v>
      </c>
    </row>
    <row r="20" spans="1:6" s="260" customFormat="1" x14ac:dyDescent="0.25">
      <c r="A20" s="261"/>
      <c r="B20" s="262"/>
      <c r="C20" s="263"/>
      <c r="D20" s="263"/>
      <c r="E20" s="121">
        <f t="shared" si="0"/>
        <v>0</v>
      </c>
    </row>
    <row r="21" spans="1:6" s="260" customFormat="1" ht="31.5" x14ac:dyDescent="0.25">
      <c r="A21" s="258" t="s">
        <v>639</v>
      </c>
      <c r="B21" s="259" t="s">
        <v>640</v>
      </c>
      <c r="C21" s="121">
        <v>6757</v>
      </c>
      <c r="D21" s="121"/>
      <c r="E21" s="121">
        <f t="shared" si="0"/>
        <v>6757</v>
      </c>
    </row>
    <row r="22" spans="1:6" s="260" customFormat="1" x14ac:dyDescent="0.25">
      <c r="A22" s="261"/>
      <c r="B22" s="262" t="s">
        <v>369</v>
      </c>
      <c r="C22" s="263">
        <f>SUM(C21:C21)</f>
        <v>6757</v>
      </c>
      <c r="D22" s="263">
        <f>SUM(D21:D21)</f>
        <v>0</v>
      </c>
      <c r="E22" s="122">
        <f t="shared" si="0"/>
        <v>6757</v>
      </c>
    </row>
    <row r="23" spans="1:6" s="260" customFormat="1" x14ac:dyDescent="0.25">
      <c r="A23" s="261"/>
      <c r="B23" s="262"/>
      <c r="C23" s="263"/>
      <c r="D23" s="263"/>
      <c r="E23" s="121"/>
    </row>
    <row r="24" spans="1:6" s="260" customFormat="1" x14ac:dyDescent="0.25">
      <c r="A24" s="258" t="s">
        <v>405</v>
      </c>
      <c r="B24" s="259" t="s">
        <v>641</v>
      </c>
      <c r="C24" s="121">
        <v>0</v>
      </c>
      <c r="D24" s="121">
        <v>0</v>
      </c>
      <c r="E24" s="121">
        <f t="shared" si="0"/>
        <v>0</v>
      </c>
      <c r="F24" s="559" t="s">
        <v>1001</v>
      </c>
    </row>
    <row r="25" spans="1:6" s="260" customFormat="1" x14ac:dyDescent="0.25">
      <c r="A25" s="258"/>
      <c r="B25" s="259" t="s">
        <v>757</v>
      </c>
      <c r="C25" s="121">
        <v>0</v>
      </c>
      <c r="D25" s="121">
        <v>0</v>
      </c>
      <c r="E25" s="121">
        <f t="shared" si="0"/>
        <v>0</v>
      </c>
    </row>
    <row r="26" spans="1:6" s="260" customFormat="1" x14ac:dyDescent="0.25">
      <c r="A26" s="261"/>
      <c r="B26" s="262" t="s">
        <v>369</v>
      </c>
      <c r="C26" s="263">
        <f>SUM(C24:C25)</f>
        <v>0</v>
      </c>
      <c r="D26" s="263">
        <f>SUM(D24:D25)</f>
        <v>0</v>
      </c>
      <c r="E26" s="122">
        <f t="shared" si="0"/>
        <v>0</v>
      </c>
    </row>
    <row r="27" spans="1:6" s="260" customFormat="1" x14ac:dyDescent="0.25">
      <c r="A27" s="261"/>
      <c r="B27" s="262"/>
      <c r="C27" s="263"/>
      <c r="D27" s="263"/>
      <c r="E27" s="121"/>
    </row>
    <row r="28" spans="1:6" s="260" customFormat="1" ht="47.25" x14ac:dyDescent="0.25">
      <c r="A28" s="258" t="s">
        <v>946</v>
      </c>
      <c r="B28" s="259" t="s">
        <v>987</v>
      </c>
      <c r="C28" s="121">
        <v>5000</v>
      </c>
      <c r="D28" s="121">
        <v>0</v>
      </c>
      <c r="E28" s="121">
        <f t="shared" si="0"/>
        <v>5000</v>
      </c>
    </row>
    <row r="29" spans="1:6" s="260" customFormat="1" x14ac:dyDescent="0.25">
      <c r="A29" s="261"/>
      <c r="B29" s="262" t="s">
        <v>369</v>
      </c>
      <c r="C29" s="263">
        <f>SUM(C28:C28)</f>
        <v>5000</v>
      </c>
      <c r="D29" s="263">
        <f>SUM(D28:D28)</f>
        <v>0</v>
      </c>
      <c r="E29" s="122">
        <f t="shared" si="0"/>
        <v>5000</v>
      </c>
    </row>
    <row r="30" spans="1:6" s="260" customFormat="1" x14ac:dyDescent="0.25">
      <c r="A30" s="261"/>
      <c r="B30" s="259"/>
      <c r="C30" s="121"/>
      <c r="D30" s="121"/>
      <c r="E30" s="121"/>
    </row>
    <row r="31" spans="1:6" s="260" customFormat="1" ht="31.5" x14ac:dyDescent="0.25">
      <c r="A31" s="258" t="s">
        <v>642</v>
      </c>
      <c r="B31" s="259" t="s">
        <v>643</v>
      </c>
      <c r="C31" s="121">
        <v>3267</v>
      </c>
      <c r="D31" s="121"/>
      <c r="E31" s="121">
        <f t="shared" si="0"/>
        <v>3267</v>
      </c>
    </row>
    <row r="32" spans="1:6" s="260" customFormat="1" x14ac:dyDescent="0.25">
      <c r="A32" s="261"/>
      <c r="B32" s="262" t="s">
        <v>369</v>
      </c>
      <c r="C32" s="263">
        <f>SUM(C31:C31)</f>
        <v>3267</v>
      </c>
      <c r="D32" s="263">
        <f>SUM(D31:D31)</f>
        <v>0</v>
      </c>
      <c r="E32" s="122">
        <f t="shared" si="0"/>
        <v>3267</v>
      </c>
    </row>
    <row r="33" spans="1:5" s="260" customFormat="1" x14ac:dyDescent="0.25">
      <c r="A33" s="261"/>
      <c r="B33" s="259"/>
      <c r="C33" s="121"/>
      <c r="D33" s="121"/>
      <c r="E33" s="121"/>
    </row>
    <row r="34" spans="1:5" s="260" customFormat="1" x14ac:dyDescent="0.25">
      <c r="A34" s="258" t="s">
        <v>397</v>
      </c>
      <c r="B34" s="906" t="s">
        <v>758</v>
      </c>
      <c r="C34" s="121">
        <f>25000-20000</f>
        <v>5000</v>
      </c>
      <c r="D34" s="121">
        <v>635</v>
      </c>
      <c r="E34" s="121">
        <f t="shared" si="0"/>
        <v>5635</v>
      </c>
    </row>
    <row r="35" spans="1:5" s="260" customFormat="1" x14ac:dyDescent="0.25">
      <c r="A35" s="261"/>
      <c r="B35" s="262" t="s">
        <v>369</v>
      </c>
      <c r="C35" s="263">
        <f>SUM(C34:C34)</f>
        <v>5000</v>
      </c>
      <c r="D35" s="263">
        <f>SUM(D34:D34)</f>
        <v>635</v>
      </c>
      <c r="E35" s="122">
        <f t="shared" si="0"/>
        <v>5635</v>
      </c>
    </row>
    <row r="36" spans="1:5" s="260" customFormat="1" x14ac:dyDescent="0.25">
      <c r="A36" s="261"/>
      <c r="B36" s="259"/>
      <c r="C36" s="121"/>
      <c r="D36" s="121"/>
      <c r="E36" s="121"/>
    </row>
    <row r="37" spans="1:5" s="260" customFormat="1" x14ac:dyDescent="0.25">
      <c r="A37" s="258" t="s">
        <v>401</v>
      </c>
      <c r="B37" s="259" t="s">
        <v>759</v>
      </c>
      <c r="C37" s="121">
        <v>40000</v>
      </c>
      <c r="D37" s="121">
        <f>-889-6550-6162</f>
        <v>-13601</v>
      </c>
      <c r="E37" s="121">
        <f t="shared" si="0"/>
        <v>26399</v>
      </c>
    </row>
    <row r="38" spans="1:5" s="260" customFormat="1" x14ac:dyDescent="0.25">
      <c r="A38" s="258"/>
      <c r="B38" s="259" t="s">
        <v>996</v>
      </c>
      <c r="C38" s="121"/>
      <c r="D38" s="121">
        <v>6550</v>
      </c>
      <c r="E38" s="121">
        <f t="shared" ref="E38" si="3">D38+C38</f>
        <v>6550</v>
      </c>
    </row>
    <row r="39" spans="1:5" s="260" customFormat="1" x14ac:dyDescent="0.25">
      <c r="A39" s="261"/>
      <c r="B39" s="262" t="s">
        <v>369</v>
      </c>
      <c r="C39" s="263">
        <f>SUM(C37:C38)</f>
        <v>40000</v>
      </c>
      <c r="D39" s="263">
        <f t="shared" ref="D39:E39" si="4">SUM(D37:D38)</f>
        <v>-7051</v>
      </c>
      <c r="E39" s="122">
        <f t="shared" si="4"/>
        <v>32949</v>
      </c>
    </row>
    <row r="40" spans="1:5" s="260" customFormat="1" x14ac:dyDescent="0.25">
      <c r="A40" s="261"/>
      <c r="B40" s="259"/>
      <c r="C40" s="121"/>
      <c r="D40" s="121"/>
      <c r="E40" s="121"/>
    </row>
    <row r="41" spans="1:5" s="260" customFormat="1" x14ac:dyDescent="0.25">
      <c r="A41" s="258" t="s">
        <v>396</v>
      </c>
      <c r="B41" s="259" t="s">
        <v>993</v>
      </c>
      <c r="C41" s="121"/>
      <c r="D41" s="121">
        <v>889</v>
      </c>
      <c r="E41" s="121">
        <f t="shared" ref="E41:E42" si="5">D41+C41</f>
        <v>889</v>
      </c>
    </row>
    <row r="42" spans="1:5" s="260" customFormat="1" x14ac:dyDescent="0.25">
      <c r="A42" s="261"/>
      <c r="B42" s="262" t="s">
        <v>369</v>
      </c>
      <c r="C42" s="263">
        <f>SUM(C41:C41)</f>
        <v>0</v>
      </c>
      <c r="D42" s="263">
        <f>SUM(D41:D41)</f>
        <v>889</v>
      </c>
      <c r="E42" s="122">
        <f t="shared" si="5"/>
        <v>889</v>
      </c>
    </row>
    <row r="43" spans="1:5" s="260" customFormat="1" ht="31.5" x14ac:dyDescent="0.25">
      <c r="A43" s="258" t="s">
        <v>644</v>
      </c>
      <c r="B43" s="259" t="s">
        <v>645</v>
      </c>
      <c r="C43" s="121">
        <v>7365</v>
      </c>
      <c r="D43" s="121"/>
      <c r="E43" s="121">
        <f t="shared" si="0"/>
        <v>7365</v>
      </c>
    </row>
    <row r="44" spans="1:5" s="260" customFormat="1" x14ac:dyDescent="0.25">
      <c r="A44" s="258"/>
      <c r="B44" s="259" t="s">
        <v>646</v>
      </c>
      <c r="C44" s="121">
        <v>6380</v>
      </c>
      <c r="D44" s="121"/>
      <c r="E44" s="121">
        <f t="shared" si="0"/>
        <v>6380</v>
      </c>
    </row>
    <row r="45" spans="1:5" s="260" customFormat="1" x14ac:dyDescent="0.25">
      <c r="A45" s="261"/>
      <c r="B45" s="262" t="s">
        <v>369</v>
      </c>
      <c r="C45" s="263">
        <f>SUM(C43:C44)</f>
        <v>13745</v>
      </c>
      <c r="D45" s="263">
        <f>SUM(D43:D44)</f>
        <v>0</v>
      </c>
      <c r="E45" s="122">
        <f t="shared" si="0"/>
        <v>13745</v>
      </c>
    </row>
    <row r="46" spans="1:5" s="260" customFormat="1" x14ac:dyDescent="0.25">
      <c r="A46" s="261"/>
      <c r="B46" s="259"/>
      <c r="C46" s="121"/>
      <c r="D46" s="121"/>
      <c r="E46" s="121"/>
    </row>
    <row r="47" spans="1:5" s="260" customFormat="1" x14ac:dyDescent="0.25">
      <c r="A47" s="258" t="s">
        <v>647</v>
      </c>
      <c r="B47" s="259" t="s">
        <v>646</v>
      </c>
      <c r="C47" s="121">
        <v>9967</v>
      </c>
      <c r="D47" s="121"/>
      <c r="E47" s="121">
        <f t="shared" si="0"/>
        <v>9967</v>
      </c>
    </row>
    <row r="48" spans="1:5" s="260" customFormat="1" x14ac:dyDescent="0.25">
      <c r="A48" s="261"/>
      <c r="B48" s="262" t="s">
        <v>369</v>
      </c>
      <c r="C48" s="263">
        <f>SUM(C47:C47)</f>
        <v>9967</v>
      </c>
      <c r="D48" s="263">
        <f>SUM(D47:D47)</f>
        <v>0</v>
      </c>
      <c r="E48" s="122">
        <f t="shared" si="0"/>
        <v>9967</v>
      </c>
    </row>
    <row r="49" spans="1:6" s="260" customFormat="1" x14ac:dyDescent="0.25">
      <c r="A49" s="261"/>
      <c r="B49" s="262"/>
      <c r="C49" s="263"/>
      <c r="D49" s="263"/>
      <c r="E49" s="121"/>
    </row>
    <row r="50" spans="1:6" s="260" customFormat="1" ht="31.5" x14ac:dyDescent="0.25">
      <c r="A50" s="258" t="s">
        <v>480</v>
      </c>
      <c r="B50" s="259" t="s">
        <v>651</v>
      </c>
      <c r="C50" s="121">
        <v>15987</v>
      </c>
      <c r="D50" s="121"/>
      <c r="E50" s="121">
        <f t="shared" si="0"/>
        <v>15987</v>
      </c>
    </row>
    <row r="51" spans="1:6" s="260" customFormat="1" x14ac:dyDescent="0.25">
      <c r="A51" s="261"/>
      <c r="B51" s="262" t="s">
        <v>369</v>
      </c>
      <c r="C51" s="263">
        <f>SUM(C50:C50)</f>
        <v>15987</v>
      </c>
      <c r="D51" s="263">
        <f>SUM(D50:D50)</f>
        <v>0</v>
      </c>
      <c r="E51" s="122">
        <f t="shared" si="0"/>
        <v>15987</v>
      </c>
    </row>
    <row r="52" spans="1:6" s="260" customFormat="1" x14ac:dyDescent="0.25">
      <c r="A52" s="261"/>
      <c r="B52" s="262"/>
      <c r="C52" s="263"/>
      <c r="D52" s="263"/>
      <c r="E52" s="121"/>
    </row>
    <row r="53" spans="1:6" s="260" customFormat="1" ht="62.25" customHeight="1" x14ac:dyDescent="0.25">
      <c r="A53" s="258" t="s">
        <v>760</v>
      </c>
      <c r="B53" s="259" t="s">
        <v>1023</v>
      </c>
      <c r="C53" s="121">
        <v>600000</v>
      </c>
      <c r="D53" s="121"/>
      <c r="E53" s="121">
        <f t="shared" si="0"/>
        <v>600000</v>
      </c>
    </row>
    <row r="54" spans="1:6" s="260" customFormat="1" ht="67.5" customHeight="1" x14ac:dyDescent="0.25">
      <c r="A54" s="261"/>
      <c r="B54" s="259" t="s">
        <v>1026</v>
      </c>
      <c r="C54" s="121">
        <v>0</v>
      </c>
      <c r="D54" s="121">
        <f>15000+5921+9586</f>
        <v>30507</v>
      </c>
      <c r="E54" s="121">
        <f t="shared" si="0"/>
        <v>30507</v>
      </c>
      <c r="F54" s="559" t="s">
        <v>1028</v>
      </c>
    </row>
    <row r="55" spans="1:6" s="260" customFormat="1" x14ac:dyDescent="0.25">
      <c r="A55" s="261"/>
      <c r="B55" s="262" t="s">
        <v>369</v>
      </c>
      <c r="C55" s="263">
        <f>SUM(C53:C54)</f>
        <v>600000</v>
      </c>
      <c r="D55" s="263">
        <f>SUM(D53:D54)</f>
        <v>30507</v>
      </c>
      <c r="E55" s="122">
        <f t="shared" ref="E55:E102" si="6">D55+C55</f>
        <v>630507</v>
      </c>
    </row>
    <row r="56" spans="1:6" s="260" customFormat="1" x14ac:dyDescent="0.25">
      <c r="A56" s="261"/>
      <c r="B56" s="259"/>
      <c r="C56" s="121"/>
      <c r="D56" s="121"/>
      <c r="E56" s="121"/>
    </row>
    <row r="57" spans="1:6" s="260" customFormat="1" x14ac:dyDescent="0.25">
      <c r="A57" s="258" t="s">
        <v>1024</v>
      </c>
      <c r="B57" s="259" t="s">
        <v>1027</v>
      </c>
      <c r="C57" s="121"/>
      <c r="D57" s="121">
        <f>5921+6677</f>
        <v>12598</v>
      </c>
      <c r="E57" s="121">
        <f t="shared" ref="E57:E58" si="7">D57+C57</f>
        <v>12598</v>
      </c>
    </row>
    <row r="58" spans="1:6" s="260" customFormat="1" x14ac:dyDescent="0.25">
      <c r="A58" s="261"/>
      <c r="B58" s="262" t="s">
        <v>369</v>
      </c>
      <c r="C58" s="263">
        <f>SUM(C57:C57)</f>
        <v>0</v>
      </c>
      <c r="D58" s="263">
        <f>SUM(D57:D57)</f>
        <v>12598</v>
      </c>
      <c r="E58" s="122">
        <f t="shared" si="7"/>
        <v>12598</v>
      </c>
    </row>
    <row r="59" spans="1:6" s="260" customFormat="1" x14ac:dyDescent="0.25">
      <c r="A59" s="261"/>
      <c r="B59" s="262"/>
      <c r="C59" s="263"/>
      <c r="D59" s="263"/>
      <c r="E59" s="122"/>
    </row>
    <row r="60" spans="1:6" s="260" customFormat="1" x14ac:dyDescent="0.25">
      <c r="A60" s="258" t="s">
        <v>1025</v>
      </c>
      <c r="B60" s="259" t="s">
        <v>1027</v>
      </c>
      <c r="C60" s="121"/>
      <c r="D60" s="121">
        <v>2208</v>
      </c>
      <c r="E60" s="121">
        <f t="shared" ref="E60:E61" si="8">D60+C60</f>
        <v>2208</v>
      </c>
    </row>
    <row r="61" spans="1:6" s="260" customFormat="1" x14ac:dyDescent="0.25">
      <c r="A61" s="261"/>
      <c r="B61" s="262" t="s">
        <v>369</v>
      </c>
      <c r="C61" s="263">
        <f>SUM(C60:C60)</f>
        <v>0</v>
      </c>
      <c r="D61" s="263">
        <f>SUM(D60:D60)</f>
        <v>2208</v>
      </c>
      <c r="E61" s="122">
        <f t="shared" si="8"/>
        <v>2208</v>
      </c>
    </row>
    <row r="62" spans="1:6" s="260" customFormat="1" x14ac:dyDescent="0.25">
      <c r="A62" s="261"/>
      <c r="B62" s="262"/>
      <c r="C62" s="263"/>
      <c r="D62" s="263"/>
      <c r="E62" s="122"/>
    </row>
    <row r="63" spans="1:6" s="260" customFormat="1" x14ac:dyDescent="0.25">
      <c r="A63" s="258" t="s">
        <v>648</v>
      </c>
      <c r="B63" s="259" t="s">
        <v>649</v>
      </c>
      <c r="C63" s="121">
        <v>7000</v>
      </c>
      <c r="D63" s="121">
        <f>7500+7500</f>
        <v>15000</v>
      </c>
      <c r="E63" s="121">
        <f t="shared" si="6"/>
        <v>22000</v>
      </c>
    </row>
    <row r="64" spans="1:6" s="260" customFormat="1" x14ac:dyDescent="0.25">
      <c r="A64" s="261"/>
      <c r="B64" s="262" t="s">
        <v>369</v>
      </c>
      <c r="C64" s="263">
        <f>SUM(C63:C63)</f>
        <v>7000</v>
      </c>
      <c r="D64" s="263">
        <f>SUM(D63:D63)</f>
        <v>15000</v>
      </c>
      <c r="E64" s="122">
        <f t="shared" si="6"/>
        <v>22000</v>
      </c>
    </row>
    <row r="65" spans="1:5" s="260" customFormat="1" x14ac:dyDescent="0.25">
      <c r="A65" s="261"/>
      <c r="B65" s="259"/>
      <c r="C65" s="121"/>
      <c r="D65" s="121"/>
      <c r="E65" s="121"/>
    </row>
    <row r="66" spans="1:5" s="260" customFormat="1" x14ac:dyDescent="0.25">
      <c r="A66" s="258" t="s">
        <v>761</v>
      </c>
      <c r="B66" s="259" t="s">
        <v>370</v>
      </c>
      <c r="C66" s="121">
        <v>52661</v>
      </c>
      <c r="D66" s="121"/>
      <c r="E66" s="121">
        <f t="shared" si="6"/>
        <v>52661</v>
      </c>
    </row>
    <row r="67" spans="1:5" s="264" customFormat="1" x14ac:dyDescent="0.25">
      <c r="A67" s="258"/>
      <c r="B67" s="262" t="s">
        <v>369</v>
      </c>
      <c r="C67" s="122">
        <f>SUM(C66:C66)</f>
        <v>52661</v>
      </c>
      <c r="D67" s="122">
        <f>SUM(D66:D66)</f>
        <v>0</v>
      </c>
      <c r="E67" s="122">
        <f t="shared" si="6"/>
        <v>52661</v>
      </c>
    </row>
    <row r="68" spans="1:5" s="260" customFormat="1" x14ac:dyDescent="0.25">
      <c r="A68" s="261"/>
      <c r="B68" s="259"/>
      <c r="C68" s="121"/>
      <c r="D68" s="121"/>
      <c r="E68" s="121"/>
    </row>
    <row r="69" spans="1:5" s="260" customFormat="1" x14ac:dyDescent="0.25">
      <c r="A69" s="258" t="s">
        <v>390</v>
      </c>
      <c r="B69" s="259" t="s">
        <v>650</v>
      </c>
      <c r="C69" s="121">
        <v>37726</v>
      </c>
      <c r="D69" s="121"/>
      <c r="E69" s="121">
        <f t="shared" si="6"/>
        <v>37726</v>
      </c>
    </row>
    <row r="70" spans="1:5" s="260" customFormat="1" ht="31.5" x14ac:dyDescent="0.25">
      <c r="A70" s="258"/>
      <c r="B70" s="259" t="s">
        <v>762</v>
      </c>
      <c r="C70" s="121">
        <v>62958</v>
      </c>
      <c r="D70" s="121"/>
      <c r="E70" s="121">
        <f t="shared" si="6"/>
        <v>62958</v>
      </c>
    </row>
    <row r="71" spans="1:5" s="264" customFormat="1" x14ac:dyDescent="0.25">
      <c r="A71" s="258"/>
      <c r="B71" s="262" t="s">
        <v>369</v>
      </c>
      <c r="C71" s="122">
        <f>C69+C70</f>
        <v>100684</v>
      </c>
      <c r="D71" s="122">
        <f>D69+D70</f>
        <v>0</v>
      </c>
      <c r="E71" s="122">
        <f t="shared" si="6"/>
        <v>100684</v>
      </c>
    </row>
    <row r="72" spans="1:5" s="260" customFormat="1" x14ac:dyDescent="0.25">
      <c r="A72" s="261"/>
      <c r="B72" s="259"/>
      <c r="C72" s="121"/>
      <c r="D72" s="121"/>
      <c r="E72" s="121"/>
    </row>
    <row r="73" spans="1:5" s="260" customFormat="1" x14ac:dyDescent="0.25">
      <c r="A73" s="258" t="s">
        <v>371</v>
      </c>
      <c r="B73" s="259" t="s">
        <v>372</v>
      </c>
      <c r="C73" s="121">
        <f>14542-12300</f>
        <v>2242</v>
      </c>
      <c r="D73" s="121"/>
      <c r="E73" s="121">
        <f t="shared" si="6"/>
        <v>2242</v>
      </c>
    </row>
    <row r="74" spans="1:5" s="260" customFormat="1" x14ac:dyDescent="0.25">
      <c r="A74" s="258"/>
      <c r="B74" s="259" t="s">
        <v>763</v>
      </c>
      <c r="C74" s="121">
        <v>20000</v>
      </c>
      <c r="D74" s="121"/>
      <c r="E74" s="121">
        <f t="shared" si="6"/>
        <v>20000</v>
      </c>
    </row>
    <row r="75" spans="1:5" s="260" customFormat="1" x14ac:dyDescent="0.25">
      <c r="A75" s="261"/>
      <c r="B75" s="262" t="s">
        <v>369</v>
      </c>
      <c r="C75" s="263">
        <f>SUM(C73:C74)</f>
        <v>22242</v>
      </c>
      <c r="D75" s="263">
        <f>SUM(D73:D74)</f>
        <v>0</v>
      </c>
      <c r="E75" s="122">
        <f t="shared" si="6"/>
        <v>22242</v>
      </c>
    </row>
    <row r="76" spans="1:5" s="260" customFormat="1" x14ac:dyDescent="0.25">
      <c r="A76" s="261"/>
      <c r="B76" s="262"/>
      <c r="C76" s="263"/>
      <c r="D76" s="263"/>
      <c r="E76" s="121"/>
    </row>
    <row r="77" spans="1:5" s="260" customFormat="1" ht="31.5" customHeight="1" x14ac:dyDescent="0.25">
      <c r="A77" s="258" t="s">
        <v>389</v>
      </c>
      <c r="B77" s="266" t="s">
        <v>764</v>
      </c>
      <c r="C77" s="121">
        <v>0</v>
      </c>
      <c r="D77" s="121">
        <v>0</v>
      </c>
      <c r="E77" s="121">
        <f t="shared" si="6"/>
        <v>0</v>
      </c>
    </row>
    <row r="78" spans="1:5" s="260" customFormat="1" ht="33" customHeight="1" x14ac:dyDescent="0.25">
      <c r="A78" s="267"/>
      <c r="B78" s="259" t="s">
        <v>633</v>
      </c>
      <c r="C78" s="121">
        <f>40000-30000</f>
        <v>10000</v>
      </c>
      <c r="D78" s="121"/>
      <c r="E78" s="121">
        <f t="shared" si="6"/>
        <v>10000</v>
      </c>
    </row>
    <row r="79" spans="1:5" s="260" customFormat="1" x14ac:dyDescent="0.25">
      <c r="A79" s="268"/>
      <c r="B79" s="262" t="s">
        <v>369</v>
      </c>
      <c r="C79" s="263">
        <f>C77+C78</f>
        <v>10000</v>
      </c>
      <c r="D79" s="263">
        <f>D77+D78</f>
        <v>0</v>
      </c>
      <c r="E79" s="122">
        <f t="shared" si="6"/>
        <v>10000</v>
      </c>
    </row>
    <row r="80" spans="1:5" s="260" customFormat="1" x14ac:dyDescent="0.25">
      <c r="A80" s="261"/>
      <c r="B80" s="262"/>
      <c r="C80" s="263"/>
      <c r="D80" s="263"/>
      <c r="E80" s="121"/>
    </row>
    <row r="81" spans="1:6" s="260" customFormat="1" ht="31.5" x14ac:dyDescent="0.25">
      <c r="A81" s="258" t="s">
        <v>765</v>
      </c>
      <c r="B81" s="259" t="s">
        <v>766</v>
      </c>
      <c r="C81" s="121">
        <v>0</v>
      </c>
      <c r="D81" s="121">
        <v>0</v>
      </c>
      <c r="E81" s="121">
        <f t="shared" si="6"/>
        <v>0</v>
      </c>
      <c r="F81" s="559" t="s">
        <v>1001</v>
      </c>
    </row>
    <row r="82" spans="1:6" s="260" customFormat="1" x14ac:dyDescent="0.25">
      <c r="A82" s="261"/>
      <c r="B82" s="262" t="s">
        <v>369</v>
      </c>
      <c r="C82" s="263">
        <f>+C81</f>
        <v>0</v>
      </c>
      <c r="D82" s="263">
        <f>+D81</f>
        <v>0</v>
      </c>
      <c r="E82" s="122">
        <f t="shared" si="6"/>
        <v>0</v>
      </c>
    </row>
    <row r="83" spans="1:6" s="260" customFormat="1" x14ac:dyDescent="0.25">
      <c r="A83" s="261"/>
      <c r="B83" s="262"/>
      <c r="C83" s="263"/>
      <c r="D83" s="263"/>
      <c r="E83" s="121"/>
    </row>
    <row r="84" spans="1:6" s="260" customFormat="1" x14ac:dyDescent="0.25">
      <c r="A84" s="258" t="s">
        <v>373</v>
      </c>
      <c r="B84" s="259"/>
      <c r="C84" s="122">
        <v>7376</v>
      </c>
      <c r="D84" s="122"/>
      <c r="E84" s="122">
        <f t="shared" si="6"/>
        <v>7376</v>
      </c>
    </row>
    <row r="85" spans="1:6" s="260" customFormat="1" x14ac:dyDescent="0.25">
      <c r="A85" s="258"/>
      <c r="B85" s="259"/>
      <c r="C85" s="122"/>
      <c r="D85" s="122"/>
      <c r="E85" s="122"/>
    </row>
    <row r="86" spans="1:6" s="264" customFormat="1" x14ac:dyDescent="0.25">
      <c r="A86" s="258" t="s">
        <v>374</v>
      </c>
      <c r="B86" s="259"/>
      <c r="C86" s="269">
        <f>56610-33550</f>
        <v>23060</v>
      </c>
      <c r="D86" s="269"/>
      <c r="E86" s="122">
        <f t="shared" si="6"/>
        <v>23060</v>
      </c>
    </row>
    <row r="87" spans="1:6" s="264" customFormat="1" x14ac:dyDescent="0.25">
      <c r="A87" s="258"/>
      <c r="B87" s="259"/>
      <c r="C87" s="269"/>
      <c r="D87" s="269"/>
      <c r="E87" s="121"/>
    </row>
    <row r="88" spans="1:6" s="260" customFormat="1" x14ac:dyDescent="0.25">
      <c r="A88" s="1023" t="s">
        <v>481</v>
      </c>
      <c r="B88" s="1024"/>
      <c r="C88" s="146"/>
      <c r="D88" s="146"/>
      <c r="E88" s="121"/>
    </row>
    <row r="89" spans="1:6" s="260" customFormat="1" ht="31.5" x14ac:dyDescent="0.25">
      <c r="A89" s="258" t="s">
        <v>407</v>
      </c>
      <c r="B89" s="261" t="s">
        <v>558</v>
      </c>
      <c r="C89" s="121">
        <v>8271</v>
      </c>
      <c r="D89" s="121">
        <v>-7294</v>
      </c>
      <c r="E89" s="121">
        <f t="shared" si="6"/>
        <v>977</v>
      </c>
    </row>
    <row r="90" spans="1:6" s="264" customFormat="1" x14ac:dyDescent="0.25">
      <c r="A90" s="258"/>
      <c r="B90" s="258" t="s">
        <v>369</v>
      </c>
      <c r="C90" s="263">
        <f t="shared" ref="C90:D90" si="9">SUM(C89)</f>
        <v>8271</v>
      </c>
      <c r="D90" s="263">
        <f t="shared" si="9"/>
        <v>-7294</v>
      </c>
      <c r="E90" s="122">
        <f t="shared" si="6"/>
        <v>977</v>
      </c>
    </row>
    <row r="91" spans="1:6" s="260" customFormat="1" x14ac:dyDescent="0.25">
      <c r="A91" s="261"/>
      <c r="B91" s="261"/>
      <c r="C91" s="121"/>
      <c r="D91" s="121"/>
      <c r="E91" s="121"/>
    </row>
    <row r="92" spans="1:6" s="260" customFormat="1" x14ac:dyDescent="0.25">
      <c r="A92" s="258" t="s">
        <v>767</v>
      </c>
      <c r="B92" s="261" t="s">
        <v>559</v>
      </c>
      <c r="C92" s="121">
        <v>2463</v>
      </c>
      <c r="D92" s="121"/>
      <c r="E92" s="121">
        <f t="shared" si="6"/>
        <v>2463</v>
      </c>
    </row>
    <row r="93" spans="1:6" s="264" customFormat="1" x14ac:dyDescent="0.25">
      <c r="A93" s="258"/>
      <c r="B93" s="258" t="s">
        <v>369</v>
      </c>
      <c r="C93" s="263">
        <f t="shared" ref="C93:D93" si="10">SUM(C92)</f>
        <v>2463</v>
      </c>
      <c r="D93" s="263">
        <f t="shared" si="10"/>
        <v>0</v>
      </c>
      <c r="E93" s="122">
        <f t="shared" si="6"/>
        <v>2463</v>
      </c>
    </row>
    <row r="94" spans="1:6" s="260" customFormat="1" x14ac:dyDescent="0.25">
      <c r="A94" s="261"/>
      <c r="B94" s="261"/>
      <c r="C94" s="121"/>
      <c r="D94" s="121"/>
      <c r="E94" s="121"/>
    </row>
    <row r="95" spans="1:6" s="260" customFormat="1" ht="31.5" x14ac:dyDescent="0.25">
      <c r="A95" s="258" t="s">
        <v>768</v>
      </c>
      <c r="B95" s="261" t="s">
        <v>560</v>
      </c>
      <c r="C95" s="121">
        <v>7181</v>
      </c>
      <c r="D95" s="121"/>
      <c r="E95" s="121">
        <f t="shared" si="6"/>
        <v>7181</v>
      </c>
    </row>
    <row r="96" spans="1:6" s="264" customFormat="1" x14ac:dyDescent="0.25">
      <c r="A96" s="258"/>
      <c r="B96" s="258" t="s">
        <v>369</v>
      </c>
      <c r="C96" s="263">
        <f t="shared" ref="C96:D96" si="11">SUM(C95)</f>
        <v>7181</v>
      </c>
      <c r="D96" s="263">
        <f t="shared" si="11"/>
        <v>0</v>
      </c>
      <c r="E96" s="122">
        <f t="shared" si="6"/>
        <v>7181</v>
      </c>
    </row>
    <row r="97" spans="1:8" s="260" customFormat="1" x14ac:dyDescent="0.25">
      <c r="A97" s="261"/>
      <c r="B97" s="261"/>
      <c r="C97" s="121"/>
      <c r="D97" s="121"/>
      <c r="E97" s="121"/>
    </row>
    <row r="98" spans="1:8" s="264" customFormat="1" x14ac:dyDescent="0.25">
      <c r="A98" s="258" t="s">
        <v>769</v>
      </c>
      <c r="B98" s="261" t="s">
        <v>652</v>
      </c>
      <c r="C98" s="121">
        <f>456209-113911+8132</f>
        <v>350430</v>
      </c>
      <c r="D98" s="121">
        <v>-343141</v>
      </c>
      <c r="E98" s="121">
        <f t="shared" ref="E98:E99" si="12">D98+C98</f>
        <v>7289</v>
      </c>
    </row>
    <row r="99" spans="1:8" s="260" customFormat="1" x14ac:dyDescent="0.25">
      <c r="A99" s="258"/>
      <c r="B99" s="258" t="s">
        <v>369</v>
      </c>
      <c r="C99" s="263">
        <f t="shared" ref="C99:D99" si="13">SUM(C98)</f>
        <v>350430</v>
      </c>
      <c r="D99" s="263">
        <f t="shared" si="13"/>
        <v>-343141</v>
      </c>
      <c r="E99" s="122">
        <f t="shared" si="12"/>
        <v>7289</v>
      </c>
    </row>
    <row r="100" spans="1:8" s="260" customFormat="1" x14ac:dyDescent="0.25">
      <c r="A100" s="261"/>
      <c r="B100" s="261"/>
      <c r="C100" s="121"/>
      <c r="D100" s="121"/>
      <c r="E100" s="121"/>
    </row>
    <row r="101" spans="1:8" s="264" customFormat="1" ht="31.5" x14ac:dyDescent="0.25">
      <c r="A101" s="258" t="s">
        <v>1002</v>
      </c>
      <c r="B101" s="261" t="s">
        <v>1003</v>
      </c>
      <c r="C101" s="121">
        <v>0</v>
      </c>
      <c r="D101" s="121">
        <f>70000-61322</f>
        <v>8678</v>
      </c>
      <c r="E101" s="121">
        <f t="shared" si="6"/>
        <v>8678</v>
      </c>
      <c r="F101" s="260" t="s">
        <v>1213</v>
      </c>
      <c r="G101" s="260">
        <v>8678</v>
      </c>
      <c r="H101" s="260">
        <f>70000-G101</f>
        <v>61322</v>
      </c>
    </row>
    <row r="102" spans="1:8" s="260" customFormat="1" x14ac:dyDescent="0.25">
      <c r="A102" s="258"/>
      <c r="B102" s="258" t="s">
        <v>369</v>
      </c>
      <c r="C102" s="263">
        <f t="shared" ref="C102:D102" si="14">SUM(C101)</f>
        <v>0</v>
      </c>
      <c r="D102" s="263">
        <f t="shared" si="14"/>
        <v>8678</v>
      </c>
      <c r="E102" s="122">
        <f t="shared" si="6"/>
        <v>8678</v>
      </c>
    </row>
    <row r="103" spans="1:8" s="260" customFormat="1" x14ac:dyDescent="0.25">
      <c r="A103" s="261"/>
      <c r="B103" s="261"/>
      <c r="C103" s="121"/>
      <c r="D103" s="121"/>
      <c r="E103" s="121"/>
    </row>
    <row r="104" spans="1:8" ht="16.5" thickBot="1" x14ac:dyDescent="0.3">
      <c r="A104" s="270" t="s">
        <v>482</v>
      </c>
      <c r="B104" s="271"/>
      <c r="C104" s="132">
        <f>+C90+C93+C96+C98+C102</f>
        <v>368345</v>
      </c>
      <c r="D104" s="132">
        <f>+D90+D93+D96+D98+D102</f>
        <v>-341757</v>
      </c>
      <c r="E104" s="132">
        <f>+E90+E93+E96+E98+E102</f>
        <v>26588</v>
      </c>
    </row>
    <row r="105" spans="1:8" ht="16.5" thickBot="1" x14ac:dyDescent="0.3">
      <c r="A105" s="1025" t="s">
        <v>375</v>
      </c>
      <c r="B105" s="1025"/>
      <c r="C105" s="272">
        <f>C13+C16+C19+C22+C26+C29+C32+C35+C39+C42+C45+C48+C51+C55+C58+C61+C64+C67+C71+C75+C79+C82+C84+C86+C104</f>
        <v>1631094</v>
      </c>
      <c r="D105" s="272">
        <f>D13+D16+D19+D22+D26+D29+D32+D35+D39+D42+D45+D48+D51+D55+D58+D61+D64+D67+D71+D75+D79+D82+D84+D86+D104</f>
        <v>-280809</v>
      </c>
      <c r="E105" s="272">
        <f>E13+E16+E19+E22+E26+E29+E32+E35+E39+E42+E45+E48+E51+E55+E58+E61+E64+E67+E71+E75+E79+E82+E84+E86+E104</f>
        <v>1350285</v>
      </c>
    </row>
    <row r="106" spans="1:8" x14ac:dyDescent="0.25">
      <c r="A106" s="266"/>
      <c r="B106" s="260"/>
      <c r="C106" s="265"/>
      <c r="D106" s="265"/>
      <c r="E106" s="265"/>
      <c r="F106" s="470" t="s">
        <v>985</v>
      </c>
      <c r="G106" s="472">
        <f>+E105-E106</f>
        <v>1350285</v>
      </c>
    </row>
    <row r="107" spans="1:8" x14ac:dyDescent="0.25">
      <c r="A107" s="193"/>
    </row>
    <row r="114" spans="1:10" x14ac:dyDescent="0.25">
      <c r="A114" s="470"/>
      <c r="C114" s="470"/>
      <c r="D114" s="470"/>
      <c r="E114" s="470"/>
    </row>
    <row r="115" spans="1:10" s="474" customFormat="1" x14ac:dyDescent="0.25">
      <c r="A115" s="470"/>
      <c r="B115" s="470"/>
      <c r="C115" s="470"/>
      <c r="D115" s="470"/>
      <c r="E115" s="470"/>
      <c r="F115" s="470"/>
      <c r="G115" s="470"/>
      <c r="H115" s="470"/>
      <c r="I115" s="470"/>
      <c r="J115" s="470"/>
    </row>
    <row r="116" spans="1:10" s="474" customFormat="1" x14ac:dyDescent="0.25">
      <c r="A116" s="470"/>
      <c r="B116" s="470"/>
      <c r="C116" s="470"/>
      <c r="D116" s="470"/>
      <c r="E116" s="470"/>
      <c r="F116" s="470"/>
      <c r="G116" s="470"/>
      <c r="H116" s="470"/>
      <c r="I116" s="470"/>
      <c r="J116" s="470"/>
    </row>
    <row r="117" spans="1:10" s="474" customFormat="1" x14ac:dyDescent="0.25">
      <c r="A117" s="470"/>
      <c r="B117" s="470"/>
      <c r="C117" s="470"/>
      <c r="D117" s="470"/>
      <c r="E117" s="470"/>
      <c r="F117" s="470"/>
      <c r="G117" s="470"/>
      <c r="H117" s="470"/>
      <c r="I117" s="470"/>
      <c r="J117" s="470"/>
    </row>
    <row r="118" spans="1:10" s="474" customFormat="1" x14ac:dyDescent="0.25">
      <c r="A118" s="470"/>
      <c r="B118" s="470"/>
      <c r="C118" s="470"/>
      <c r="D118" s="470"/>
      <c r="E118" s="470"/>
      <c r="F118" s="470"/>
      <c r="G118" s="470"/>
      <c r="H118" s="470"/>
      <c r="I118" s="470"/>
      <c r="J118" s="470"/>
    </row>
  </sheetData>
  <mergeCells count="4">
    <mergeCell ref="A4:B4"/>
    <mergeCell ref="A88:B88"/>
    <mergeCell ref="A105:B105"/>
    <mergeCell ref="A1:E1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headerFooter>
    <oddHeader>&amp;R&amp;"Times New Roman CE,Félkövér"13. melléklet a 40/2020.(XI.30.) önkormányzati rendelethez
&amp;"Times New Roman CE,Dőlt"&amp;10 14. melléklet az 5/2020.(II.17.) önkormányzati rendelethez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53"/>
  <sheetViews>
    <sheetView topLeftCell="B1" zoomScale="80" zoomScaleNormal="80" workbookViewId="0">
      <selection activeCell="D13" sqref="D13"/>
    </sheetView>
  </sheetViews>
  <sheetFormatPr defaultColWidth="9" defaultRowHeight="15.75" x14ac:dyDescent="0.25"/>
  <cols>
    <col min="1" max="1" width="45.625" style="48" customWidth="1"/>
    <col min="2" max="2" width="16" style="49" customWidth="1"/>
    <col min="3" max="3" width="7.5" style="30" customWidth="1"/>
    <col min="4" max="4" width="43.75" style="30" customWidth="1"/>
    <col min="5" max="5" width="16" style="30" customWidth="1"/>
    <col min="6" max="6" width="24.625" style="30" customWidth="1"/>
    <col min="7" max="7" width="10.625" style="30" bestFit="1" customWidth="1"/>
    <col min="8" max="8" width="16.375" style="30" hidden="1" customWidth="1"/>
    <col min="9" max="10" width="0" style="30" hidden="1" customWidth="1"/>
    <col min="11" max="16384" width="9" style="30"/>
  </cols>
  <sheetData>
    <row r="1" spans="1:7" ht="31.5" customHeight="1" x14ac:dyDescent="0.25">
      <c r="A1" s="1029" t="s">
        <v>346</v>
      </c>
      <c r="B1" s="1029"/>
      <c r="C1" s="1029"/>
      <c r="D1" s="1029"/>
      <c r="E1" s="1029"/>
      <c r="F1" s="1029"/>
    </row>
    <row r="3" spans="1:7" ht="16.5" thickBot="1" x14ac:dyDescent="0.3"/>
    <row r="4" spans="1:7" ht="33" thickTop="1" thickBot="1" x14ac:dyDescent="0.3">
      <c r="A4" s="28" t="s">
        <v>53</v>
      </c>
      <c r="B4" s="29" t="s">
        <v>347</v>
      </c>
      <c r="D4" s="28" t="s">
        <v>53</v>
      </c>
      <c r="E4" s="29" t="s">
        <v>347</v>
      </c>
    </row>
    <row r="5" spans="1:7" s="32" customFormat="1" ht="16.5" thickTop="1" x14ac:dyDescent="0.25">
      <c r="A5" s="31" t="s">
        <v>279</v>
      </c>
      <c r="B5" s="134"/>
      <c r="D5" s="33" t="s">
        <v>280</v>
      </c>
      <c r="E5" s="34"/>
    </row>
    <row r="6" spans="1:7" s="37" customFormat="1" ht="31.5" x14ac:dyDescent="0.25">
      <c r="A6" s="35" t="s">
        <v>55</v>
      </c>
      <c r="B6" s="36">
        <v>8926594</v>
      </c>
      <c r="D6" s="35" t="s">
        <v>257</v>
      </c>
      <c r="E6" s="36">
        <v>7317526</v>
      </c>
      <c r="G6" s="252"/>
    </row>
    <row r="7" spans="1:7" s="37" customFormat="1" ht="31.5" x14ac:dyDescent="0.25">
      <c r="A7" s="35" t="s">
        <v>32</v>
      </c>
      <c r="B7" s="36">
        <v>1642033</v>
      </c>
      <c r="D7" s="35" t="s">
        <v>56</v>
      </c>
      <c r="E7" s="36">
        <v>17879027</v>
      </c>
    </row>
    <row r="8" spans="1:7" s="37" customFormat="1" ht="16.5" thickBot="1" x14ac:dyDescent="0.3">
      <c r="A8" s="35" t="s">
        <v>57</v>
      </c>
      <c r="B8" s="36">
        <v>13391158</v>
      </c>
      <c r="D8" s="43" t="s">
        <v>54</v>
      </c>
      <c r="E8" s="44">
        <v>2821393</v>
      </c>
    </row>
    <row r="9" spans="1:7" s="37" customFormat="1" ht="16.5" thickTop="1" x14ac:dyDescent="0.25">
      <c r="A9" s="39" t="s">
        <v>438</v>
      </c>
      <c r="B9" s="36">
        <v>232571</v>
      </c>
      <c r="D9" s="43" t="s">
        <v>259</v>
      </c>
      <c r="E9" s="44">
        <v>229672</v>
      </c>
      <c r="F9" s="1030" t="s">
        <v>284</v>
      </c>
    </row>
    <row r="10" spans="1:7" s="37" customFormat="1" ht="15.75" customHeight="1" x14ac:dyDescent="0.25">
      <c r="A10" s="35" t="s">
        <v>264</v>
      </c>
      <c r="B10" s="135">
        <v>12229819</v>
      </c>
      <c r="D10" s="43"/>
      <c r="E10" s="44"/>
      <c r="F10" s="1031"/>
    </row>
    <row r="11" spans="1:7" s="37" customFormat="1" ht="16.5" customHeight="1" thickBot="1" x14ac:dyDescent="0.3">
      <c r="A11" s="39" t="s">
        <v>58</v>
      </c>
      <c r="B11" s="135">
        <v>3614451</v>
      </c>
      <c r="D11" s="40"/>
      <c r="E11" s="41"/>
      <c r="F11" s="1032"/>
    </row>
    <row r="12" spans="1:7" s="47" customFormat="1" ht="17.25" thickTop="1" thickBot="1" x14ac:dyDescent="0.3">
      <c r="A12" s="45" t="s">
        <v>277</v>
      </c>
      <c r="B12" s="46">
        <f>SUM(B5:B11)</f>
        <v>40036626</v>
      </c>
      <c r="D12" s="45" t="s">
        <v>278</v>
      </c>
      <c r="E12" s="46">
        <f>SUM(E6:E10)</f>
        <v>28247618</v>
      </c>
      <c r="F12" s="46">
        <f>+E12-B12</f>
        <v>-11789008</v>
      </c>
    </row>
    <row r="13" spans="1:7" s="47" customFormat="1" ht="17.25" thickTop="1" thickBot="1" x14ac:dyDescent="0.3">
      <c r="A13" s="83"/>
      <c r="B13" s="84"/>
      <c r="D13" s="83"/>
      <c r="E13" s="84"/>
      <c r="F13" s="84"/>
    </row>
    <row r="14" spans="1:7" s="32" customFormat="1" ht="17.25" thickTop="1" thickBot="1" x14ac:dyDescent="0.3">
      <c r="A14" s="33" t="s">
        <v>288</v>
      </c>
      <c r="B14" s="50"/>
      <c r="D14" s="33" t="s">
        <v>289</v>
      </c>
      <c r="E14" s="34"/>
    </row>
    <row r="15" spans="1:7" s="37" customFormat="1" ht="16.5" customHeight="1" thickTop="1" x14ac:dyDescent="0.25">
      <c r="A15" s="42" t="s">
        <v>306</v>
      </c>
      <c r="B15" s="36">
        <f>11521348-B33</f>
        <v>11254453</v>
      </c>
      <c r="D15" s="43" t="s">
        <v>307</v>
      </c>
      <c r="E15" s="38">
        <f>+B15</f>
        <v>11254453</v>
      </c>
      <c r="F15" s="1033" t="s">
        <v>290</v>
      </c>
    </row>
    <row r="16" spans="1:7" s="37" customFormat="1" ht="31.5" x14ac:dyDescent="0.25">
      <c r="A16" s="42"/>
      <c r="B16" s="36"/>
      <c r="D16" s="113" t="s">
        <v>342</v>
      </c>
      <c r="E16" s="38">
        <v>11622671</v>
      </c>
      <c r="F16" s="1034"/>
    </row>
    <row r="17" spans="1:6" s="37" customFormat="1" ht="31.5" x14ac:dyDescent="0.25">
      <c r="A17" s="131" t="s">
        <v>483</v>
      </c>
      <c r="B17" s="135">
        <v>163966</v>
      </c>
      <c r="D17" s="113"/>
      <c r="E17" s="38"/>
      <c r="F17" s="1034"/>
    </row>
    <row r="18" spans="1:6" s="37" customFormat="1" ht="16.5" thickBot="1" x14ac:dyDescent="0.3">
      <c r="A18" s="86"/>
      <c r="B18" s="136"/>
      <c r="D18" s="112"/>
      <c r="E18" s="133"/>
      <c r="F18" s="1035"/>
    </row>
    <row r="19" spans="1:6" s="47" customFormat="1" ht="17.25" thickTop="1" thickBot="1" x14ac:dyDescent="0.3">
      <c r="A19" s="45" t="s">
        <v>291</v>
      </c>
      <c r="B19" s="46">
        <f>SUM(B15:B18)</f>
        <v>11418419</v>
      </c>
      <c r="D19" s="45" t="s">
        <v>292</v>
      </c>
      <c r="E19" s="46">
        <f>SUM(E15:E18)</f>
        <v>22877124</v>
      </c>
      <c r="F19" s="46">
        <f>+E19-B19</f>
        <v>11458705</v>
      </c>
    </row>
    <row r="20" spans="1:6" s="47" customFormat="1" ht="17.25" thickTop="1" thickBot="1" x14ac:dyDescent="0.3">
      <c r="A20" s="83"/>
      <c r="B20" s="84"/>
      <c r="D20" s="83"/>
      <c r="E20" s="84"/>
      <c r="F20" s="84"/>
    </row>
    <row r="21" spans="1:6" s="47" customFormat="1" ht="17.25" thickTop="1" thickBot="1" x14ac:dyDescent="0.3">
      <c r="A21" s="83"/>
      <c r="B21" s="83"/>
      <c r="C21" s="83"/>
      <c r="D21" s="1027" t="s">
        <v>293</v>
      </c>
      <c r="E21" s="1027"/>
      <c r="F21" s="55">
        <f>SUM(F12+F19)</f>
        <v>-330303</v>
      </c>
    </row>
    <row r="22" spans="1:6" s="47" customFormat="1" ht="16.5" thickTop="1" x14ac:dyDescent="0.25">
      <c r="A22" s="83"/>
      <c r="B22" s="84"/>
      <c r="D22" s="83"/>
      <c r="E22" s="84"/>
      <c r="F22" s="84"/>
    </row>
    <row r="23" spans="1:6" s="47" customFormat="1" ht="16.5" thickBot="1" x14ac:dyDescent="0.3">
      <c r="A23" s="83"/>
      <c r="B23" s="84"/>
      <c r="D23" s="83"/>
      <c r="E23" s="84"/>
      <c r="F23" s="84"/>
    </row>
    <row r="24" spans="1:6" ht="33" thickTop="1" thickBot="1" x14ac:dyDescent="0.3">
      <c r="A24" s="28" t="s">
        <v>53</v>
      </c>
      <c r="B24" s="29" t="s">
        <v>347</v>
      </c>
      <c r="D24" s="28" t="s">
        <v>53</v>
      </c>
      <c r="E24" s="29" t="s">
        <v>347</v>
      </c>
    </row>
    <row r="25" spans="1:6" ht="16.5" thickTop="1" x14ac:dyDescent="0.25">
      <c r="A25" s="33" t="s">
        <v>281</v>
      </c>
      <c r="B25" s="50"/>
      <c r="D25" s="33" t="s">
        <v>282</v>
      </c>
      <c r="E25" s="50"/>
    </row>
    <row r="26" spans="1:6" ht="32.25" customHeight="1" thickBot="1" x14ac:dyDescent="0.3">
      <c r="A26" s="35" t="s">
        <v>52</v>
      </c>
      <c r="B26" s="36">
        <v>20898020</v>
      </c>
      <c r="D26" s="35" t="s">
        <v>276</v>
      </c>
      <c r="E26" s="36">
        <v>7495351</v>
      </c>
      <c r="F26" s="116"/>
    </row>
    <row r="27" spans="1:6" ht="16.5" thickTop="1" x14ac:dyDescent="0.25">
      <c r="A27" s="35" t="s">
        <v>60</v>
      </c>
      <c r="B27" s="36">
        <v>377731</v>
      </c>
      <c r="D27" s="35" t="s">
        <v>283</v>
      </c>
      <c r="E27" s="36">
        <v>90076</v>
      </c>
      <c r="F27" s="1033" t="s">
        <v>285</v>
      </c>
    </row>
    <row r="28" spans="1:6" x14ac:dyDescent="0.25">
      <c r="A28" s="35" t="s">
        <v>254</v>
      </c>
      <c r="B28" s="36">
        <v>2688635</v>
      </c>
      <c r="D28" s="35" t="s">
        <v>260</v>
      </c>
      <c r="E28" s="36">
        <v>65677</v>
      </c>
      <c r="F28" s="1034"/>
    </row>
    <row r="29" spans="1:6" ht="16.5" thickBot="1" x14ac:dyDescent="0.3">
      <c r="A29" s="35"/>
      <c r="B29" s="36"/>
      <c r="D29" s="114"/>
      <c r="E29" s="115"/>
      <c r="F29" s="1035"/>
    </row>
    <row r="30" spans="1:6" s="47" customFormat="1" ht="17.25" thickTop="1" thickBot="1" x14ac:dyDescent="0.3">
      <c r="A30" s="45" t="s">
        <v>286</v>
      </c>
      <c r="B30" s="46">
        <f>SUM(B26:B29)</f>
        <v>23964386</v>
      </c>
      <c r="D30" s="45" t="s">
        <v>287</v>
      </c>
      <c r="E30" s="46">
        <f>SUM(E26:E28)</f>
        <v>7651104</v>
      </c>
      <c r="F30" s="46">
        <f>+E30-B30</f>
        <v>-16313282</v>
      </c>
    </row>
    <row r="31" spans="1:6" s="47" customFormat="1" ht="17.25" thickTop="1" thickBot="1" x14ac:dyDescent="0.3">
      <c r="A31" s="83"/>
      <c r="B31" s="84"/>
      <c r="D31" s="83"/>
      <c r="E31" s="84"/>
      <c r="F31" s="84"/>
    </row>
    <row r="32" spans="1:6" s="32" customFormat="1" ht="17.25" thickTop="1" thickBot="1" x14ac:dyDescent="0.3">
      <c r="A32" s="33" t="s">
        <v>294</v>
      </c>
      <c r="B32" s="50"/>
      <c r="D32" s="33" t="s">
        <v>296</v>
      </c>
      <c r="E32" s="34"/>
    </row>
    <row r="33" spans="1:9" s="37" customFormat="1" ht="16.5" thickTop="1" x14ac:dyDescent="0.25">
      <c r="A33" s="42" t="s">
        <v>306</v>
      </c>
      <c r="B33" s="36">
        <v>266895</v>
      </c>
      <c r="D33" s="43" t="s">
        <v>307</v>
      </c>
      <c r="E33" s="38">
        <f>+B33</f>
        <v>266895</v>
      </c>
      <c r="F33" s="1033" t="s">
        <v>303</v>
      </c>
      <c r="H33" s="37" t="s">
        <v>1323</v>
      </c>
      <c r="I33" s="37">
        <v>276437</v>
      </c>
    </row>
    <row r="34" spans="1:9" s="37" customFormat="1" ht="31.5" x14ac:dyDescent="0.25">
      <c r="A34" s="131"/>
      <c r="B34" s="135"/>
      <c r="D34" s="43" t="s">
        <v>341</v>
      </c>
      <c r="E34" s="38">
        <v>16643585</v>
      </c>
      <c r="F34" s="1034"/>
      <c r="H34" s="37" t="s">
        <v>165</v>
      </c>
      <c r="I34" s="37">
        <v>-2866</v>
      </c>
    </row>
    <row r="35" spans="1:9" s="37" customFormat="1" ht="16.5" thickBot="1" x14ac:dyDescent="0.3">
      <c r="A35" s="86"/>
      <c r="B35" s="136"/>
      <c r="D35" s="42"/>
      <c r="E35" s="139"/>
      <c r="F35" s="1035"/>
      <c r="H35" s="37" t="s">
        <v>168</v>
      </c>
      <c r="I35" s="37">
        <v>-4725</v>
      </c>
    </row>
    <row r="36" spans="1:9" s="47" customFormat="1" ht="17.25" thickTop="1" thickBot="1" x14ac:dyDescent="0.3">
      <c r="A36" s="45" t="s">
        <v>295</v>
      </c>
      <c r="B36" s="46">
        <f>SUM(B33)</f>
        <v>266895</v>
      </c>
      <c r="D36" s="45" t="s">
        <v>297</v>
      </c>
      <c r="E36" s="46">
        <f>SUM(E33:E35)</f>
        <v>16910480</v>
      </c>
      <c r="F36" s="46">
        <f>+E36-B36</f>
        <v>16643585</v>
      </c>
      <c r="H36" s="672" t="s">
        <v>170</v>
      </c>
      <c r="I36" s="672">
        <v>-1951</v>
      </c>
    </row>
    <row r="37" spans="1:9" s="47" customFormat="1" ht="17.25" thickTop="1" thickBot="1" x14ac:dyDescent="0.3">
      <c r="A37" s="83"/>
      <c r="B37" s="84"/>
      <c r="D37" s="83"/>
      <c r="E37" s="84"/>
      <c r="F37" s="84"/>
      <c r="H37" s="47" t="s">
        <v>1324</v>
      </c>
      <c r="I37" s="673">
        <f>SUM(I33:I36)</f>
        <v>266895</v>
      </c>
    </row>
    <row r="38" spans="1:9" s="47" customFormat="1" ht="17.25" thickTop="1" thickBot="1" x14ac:dyDescent="0.3">
      <c r="A38" s="83"/>
      <c r="B38" s="83"/>
      <c r="C38" s="83"/>
      <c r="D38" s="1027" t="s">
        <v>298</v>
      </c>
      <c r="E38" s="1027"/>
      <c r="F38" s="55">
        <f>SUM(F30+F36)</f>
        <v>330303</v>
      </c>
    </row>
    <row r="39" spans="1:9" s="47" customFormat="1" ht="17.25" thickTop="1" thickBot="1" x14ac:dyDescent="0.3">
      <c r="A39" s="83"/>
      <c r="B39" s="84"/>
      <c r="D39" s="83"/>
      <c r="E39" s="84"/>
      <c r="F39" s="84"/>
    </row>
    <row r="40" spans="1:9" s="47" customFormat="1" ht="33" thickTop="1" thickBot="1" x14ac:dyDescent="0.3">
      <c r="A40" s="83"/>
      <c r="B40" s="84"/>
      <c r="D40" s="83"/>
      <c r="E40" s="84"/>
      <c r="F40" s="52" t="s">
        <v>61</v>
      </c>
    </row>
    <row r="41" spans="1:9" s="47" customFormat="1" ht="17.25" thickTop="1" thickBot="1" x14ac:dyDescent="0.3">
      <c r="A41" s="53" t="s">
        <v>62</v>
      </c>
      <c r="B41" s="137">
        <f>SUM(B30+B12)</f>
        <v>64001012</v>
      </c>
      <c r="C41" s="30"/>
      <c r="D41" s="53" t="s">
        <v>63</v>
      </c>
      <c r="E41" s="54">
        <f>SUM(E30+E12)</f>
        <v>35898722</v>
      </c>
      <c r="F41" s="55">
        <f>SUM(E41-B41)</f>
        <v>-28102290</v>
      </c>
    </row>
    <row r="42" spans="1:9" s="47" customFormat="1" ht="17.25" thickTop="1" thickBot="1" x14ac:dyDescent="0.3">
      <c r="A42" s="85"/>
      <c r="B42" s="138"/>
      <c r="C42" s="30"/>
      <c r="D42" s="85"/>
      <c r="E42" s="87"/>
      <c r="F42" s="87"/>
    </row>
    <row r="43" spans="1:9" s="47" customFormat="1" ht="33" thickTop="1" thickBot="1" x14ac:dyDescent="0.3">
      <c r="A43" s="83"/>
      <c r="B43" s="84"/>
      <c r="D43" s="83"/>
      <c r="E43" s="84"/>
      <c r="F43" s="52" t="s">
        <v>302</v>
      </c>
    </row>
    <row r="44" spans="1:9" s="47" customFormat="1" ht="17.25" thickTop="1" thickBot="1" x14ac:dyDescent="0.3">
      <c r="A44" s="53" t="s">
        <v>299</v>
      </c>
      <c r="B44" s="137">
        <f>SUM(B36+B19)</f>
        <v>11685314</v>
      </c>
      <c r="C44" s="30"/>
      <c r="D44" s="53" t="s">
        <v>300</v>
      </c>
      <c r="E44" s="54">
        <f>SUM(E36+E19)</f>
        <v>39787604</v>
      </c>
      <c r="F44" s="55">
        <f>SUM(E44-B44)</f>
        <v>28102290</v>
      </c>
    </row>
    <row r="45" spans="1:9" s="47" customFormat="1" ht="17.25" thickTop="1" thickBot="1" x14ac:dyDescent="0.3">
      <c r="A45" s="83"/>
      <c r="B45" s="84"/>
      <c r="D45" s="83"/>
      <c r="E45" s="84"/>
      <c r="F45" s="84"/>
    </row>
    <row r="46" spans="1:9" s="47" customFormat="1" ht="17.25" thickTop="1" thickBot="1" x14ac:dyDescent="0.3">
      <c r="A46" s="83"/>
      <c r="B46" s="84"/>
      <c r="D46" s="1028" t="s">
        <v>301</v>
      </c>
      <c r="E46" s="1028"/>
      <c r="F46" s="46">
        <f>SUM(F41+F44)</f>
        <v>0</v>
      </c>
    </row>
    <row r="47" spans="1:9" s="47" customFormat="1" ht="16.5" thickTop="1" x14ac:dyDescent="0.25">
      <c r="A47" s="83"/>
      <c r="B47" s="84"/>
      <c r="D47" s="83"/>
      <c r="E47" s="84"/>
      <c r="F47" s="84"/>
    </row>
    <row r="48" spans="1:9" x14ac:dyDescent="0.25">
      <c r="A48" s="56"/>
      <c r="C48" s="51"/>
      <c r="E48" s="49"/>
      <c r="F48" s="51"/>
    </row>
    <row r="49" spans="1:6" x14ac:dyDescent="0.25">
      <c r="E49" s="49"/>
    </row>
    <row r="50" spans="1:6" x14ac:dyDescent="0.25">
      <c r="A50" s="56"/>
      <c r="B50" s="57"/>
      <c r="E50" s="57"/>
      <c r="F50" s="51"/>
    </row>
    <row r="51" spans="1:6" x14ac:dyDescent="0.25">
      <c r="A51" s="56"/>
      <c r="C51" s="51"/>
      <c r="E51" s="49"/>
    </row>
    <row r="52" spans="1:6" x14ac:dyDescent="0.25">
      <c r="C52" s="51"/>
      <c r="E52" s="49"/>
    </row>
    <row r="53" spans="1:6" x14ac:dyDescent="0.25">
      <c r="A53" s="56"/>
      <c r="D53" s="58"/>
      <c r="E53" s="49"/>
    </row>
  </sheetData>
  <mergeCells count="8">
    <mergeCell ref="D38:E38"/>
    <mergeCell ref="D46:E46"/>
    <mergeCell ref="A1:F1"/>
    <mergeCell ref="F9:F11"/>
    <mergeCell ref="F15:F18"/>
    <mergeCell ref="D21:E21"/>
    <mergeCell ref="F27:F29"/>
    <mergeCell ref="F33:F35"/>
  </mergeCells>
  <printOptions horizontalCentered="1"/>
  <pageMargins left="0.31496062992125984" right="0.23622047244094491" top="0.47244094488188981" bottom="0.23622047244094491" header="0.23622047244094491" footer="0.15748031496062992"/>
  <pageSetup paperSize="9" scale="58" orientation="landscape" r:id="rId1"/>
  <headerFooter alignWithMargins="0">
    <oddHeader>&amp;R&amp;"Times New Roman CE,Félkövér"14.melléklet a 40/2020. (XI.30.) önkormányzati rendelethez&amp;"Times New Roman CE,Dőlt"&amp;10
16. melléklet
az 5/2020.(II.17.) önkormányzati rendelethez</oddHeader>
    <oddFooter xml:space="preserve">&amp;C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T36"/>
  <sheetViews>
    <sheetView zoomScale="70" zoomScaleNormal="70" workbookViewId="0">
      <pane xSplit="1" ySplit="4" topLeftCell="B5" activePane="bottomRight" state="frozen"/>
      <selection activeCell="D13" sqref="D13"/>
      <selection pane="topRight" activeCell="D13" sqref="D13"/>
      <selection pane="bottomLeft" activeCell="D13" sqref="D13"/>
      <selection pane="bottomRight" activeCell="D13" sqref="D13"/>
    </sheetView>
  </sheetViews>
  <sheetFormatPr defaultColWidth="8" defaultRowHeight="15.75" x14ac:dyDescent="0.25"/>
  <cols>
    <col min="1" max="1" width="26.125" style="475" bestFit="1" customWidth="1"/>
    <col min="2" max="2" width="11" style="476" bestFit="1" customWidth="1"/>
    <col min="3" max="3" width="12" style="476" customWidth="1"/>
    <col min="4" max="5" width="11" style="476" bestFit="1" customWidth="1"/>
    <col min="6" max="6" width="10.5" style="476" customWidth="1"/>
    <col min="7" max="7" width="12.5" style="476" customWidth="1"/>
    <col min="8" max="8" width="11.125" style="476" customWidth="1"/>
    <col min="9" max="9" width="10.875" style="476" bestFit="1" customWidth="1"/>
    <col min="10" max="10" width="11" style="476" bestFit="1" customWidth="1"/>
    <col min="11" max="11" width="11" style="476" customWidth="1"/>
    <col min="12" max="12" width="11.5" style="476" bestFit="1" customWidth="1"/>
    <col min="13" max="13" width="11.625" style="476" customWidth="1"/>
    <col min="14" max="14" width="11" style="476" bestFit="1" customWidth="1"/>
    <col min="15" max="15" width="9.875" style="612" hidden="1" customWidth="1"/>
    <col min="16" max="16" width="9.875" style="615" hidden="1" customWidth="1"/>
    <col min="17" max="17" width="9.375" style="480" hidden="1" customWidth="1"/>
    <col min="18" max="18" width="12.75" style="475" hidden="1" customWidth="1"/>
    <col min="19" max="19" width="10.875" style="475" hidden="1" customWidth="1"/>
    <col min="20" max="20" width="9.625" style="475" hidden="1" customWidth="1"/>
    <col min="21" max="16384" width="8" style="475"/>
  </cols>
  <sheetData>
    <row r="2" spans="1:20" x14ac:dyDescent="0.25">
      <c r="I2" s="481"/>
      <c r="J2" s="481"/>
      <c r="K2" s="481"/>
      <c r="L2" s="482"/>
      <c r="M2" s="478"/>
      <c r="N2" s="478"/>
    </row>
    <row r="3" spans="1:20" ht="16.5" thickBot="1" x14ac:dyDescent="0.3">
      <c r="A3" s="483" t="s">
        <v>494</v>
      </c>
      <c r="D3" s="478"/>
      <c r="I3" s="481"/>
      <c r="J3" s="481"/>
      <c r="K3" s="670"/>
      <c r="L3" s="669"/>
      <c r="M3" s="478"/>
      <c r="N3" s="478"/>
    </row>
    <row r="4" spans="1:20" s="488" customFormat="1" x14ac:dyDescent="0.25">
      <c r="A4" s="484" t="s">
        <v>136</v>
      </c>
      <c r="B4" s="485" t="s">
        <v>495</v>
      </c>
      <c r="C4" s="485" t="s">
        <v>496</v>
      </c>
      <c r="D4" s="485" t="s">
        <v>497</v>
      </c>
      <c r="E4" s="485" t="s">
        <v>498</v>
      </c>
      <c r="F4" s="485" t="s">
        <v>499</v>
      </c>
      <c r="G4" s="485" t="s">
        <v>500</v>
      </c>
      <c r="H4" s="485" t="s">
        <v>501</v>
      </c>
      <c r="I4" s="485" t="s">
        <v>502</v>
      </c>
      <c r="J4" s="485" t="s">
        <v>503</v>
      </c>
      <c r="K4" s="485" t="s">
        <v>504</v>
      </c>
      <c r="L4" s="485" t="s">
        <v>505</v>
      </c>
      <c r="M4" s="485" t="s">
        <v>506</v>
      </c>
      <c r="N4" s="486" t="s">
        <v>507</v>
      </c>
      <c r="O4" s="624" t="s">
        <v>1265</v>
      </c>
      <c r="P4" s="613"/>
      <c r="Q4" s="487" t="s">
        <v>1250</v>
      </c>
      <c r="R4" s="616" t="s">
        <v>1251</v>
      </c>
    </row>
    <row r="5" spans="1:20" ht="31.5" x14ac:dyDescent="0.25">
      <c r="A5" s="489" t="s">
        <v>257</v>
      </c>
      <c r="B5" s="668">
        <v>957911</v>
      </c>
      <c r="C5" s="668">
        <v>405980</v>
      </c>
      <c r="D5" s="668">
        <v>560</v>
      </c>
      <c r="E5" s="668">
        <v>398774</v>
      </c>
      <c r="F5" s="668">
        <v>402087</v>
      </c>
      <c r="G5" s="668">
        <v>585517</v>
      </c>
      <c r="H5" s="668">
        <v>1039287</v>
      </c>
      <c r="I5" s="668">
        <v>410951</v>
      </c>
      <c r="J5" s="668">
        <v>407855</v>
      </c>
      <c r="K5" s="668">
        <v>419996</v>
      </c>
      <c r="L5" s="490">
        <f>27979+394677+500000</f>
        <v>922656</v>
      </c>
      <c r="M5" s="490">
        <v>1365952</v>
      </c>
      <c r="N5" s="491">
        <f t="shared" ref="N5:N12" si="0">SUM(B5:M5)</f>
        <v>7317526</v>
      </c>
      <c r="O5" s="612">
        <v>7317526</v>
      </c>
      <c r="P5" s="614" t="s">
        <v>164</v>
      </c>
      <c r="Q5" s="479">
        <f>+O5-N5</f>
        <v>0</v>
      </c>
      <c r="R5" s="475">
        <f>+Q5/2</f>
        <v>0</v>
      </c>
    </row>
    <row r="6" spans="1:20" ht="31.5" x14ac:dyDescent="0.25">
      <c r="A6" s="489" t="s">
        <v>258</v>
      </c>
      <c r="B6" s="668">
        <v>4370</v>
      </c>
      <c r="C6" s="668">
        <v>0</v>
      </c>
      <c r="D6" s="668">
        <v>0</v>
      </c>
      <c r="E6" s="668">
        <v>1779806</v>
      </c>
      <c r="F6" s="668">
        <v>3151177</v>
      </c>
      <c r="G6" s="668">
        <v>14285</v>
      </c>
      <c r="H6" s="668">
        <v>606092</v>
      </c>
      <c r="I6" s="668">
        <v>496598</v>
      </c>
      <c r="J6" s="668">
        <v>270584</v>
      </c>
      <c r="K6" s="668">
        <v>9905</v>
      </c>
      <c r="L6" s="490">
        <v>386168</v>
      </c>
      <c r="M6" s="490">
        <v>776366</v>
      </c>
      <c r="N6" s="491">
        <f t="shared" si="0"/>
        <v>7495351</v>
      </c>
      <c r="O6" s="612">
        <v>7495351</v>
      </c>
      <c r="P6" s="614" t="s">
        <v>165</v>
      </c>
      <c r="Q6" s="479">
        <f t="shared" ref="Q6:Q12" si="1">+O6-N6</f>
        <v>0</v>
      </c>
    </row>
    <row r="7" spans="1:20" x14ac:dyDescent="0.25">
      <c r="A7" s="489" t="s">
        <v>56</v>
      </c>
      <c r="B7" s="668">
        <v>61038</v>
      </c>
      <c r="C7" s="668">
        <v>214920</v>
      </c>
      <c r="D7" s="668">
        <v>8059057</v>
      </c>
      <c r="E7" s="668">
        <v>766</v>
      </c>
      <c r="F7" s="668">
        <v>900</v>
      </c>
      <c r="G7" s="668">
        <v>251238</v>
      </c>
      <c r="H7" s="668">
        <v>1605</v>
      </c>
      <c r="I7" s="668">
        <v>347789</v>
      </c>
      <c r="J7" s="668">
        <v>8287250</v>
      </c>
      <c r="K7" s="668">
        <v>628360</v>
      </c>
      <c r="L7" s="490">
        <v>480</v>
      </c>
      <c r="M7" s="490">
        <v>25624</v>
      </c>
      <c r="N7" s="491">
        <f t="shared" si="0"/>
        <v>17879027</v>
      </c>
      <c r="O7" s="612">
        <v>17879027</v>
      </c>
      <c r="P7" s="614" t="s">
        <v>166</v>
      </c>
      <c r="Q7" s="479">
        <f t="shared" si="1"/>
        <v>0</v>
      </c>
    </row>
    <row r="8" spans="1:20" x14ac:dyDescent="0.25">
      <c r="A8" s="489" t="s">
        <v>54</v>
      </c>
      <c r="B8" s="668">
        <f>94618+283006</f>
        <v>377624</v>
      </c>
      <c r="C8" s="668">
        <f>109287+269120</f>
        <v>378407</v>
      </c>
      <c r="D8" s="668">
        <f>80351+6931</f>
        <v>87282</v>
      </c>
      <c r="E8" s="668">
        <f>66346+104975</f>
        <v>171321</v>
      </c>
      <c r="F8" s="668">
        <f>743957+66685</f>
        <v>810642</v>
      </c>
      <c r="G8" s="668">
        <f>23778+56927</f>
        <v>80705</v>
      </c>
      <c r="H8" s="668">
        <f>81729+67000</f>
        <v>148729</v>
      </c>
      <c r="I8" s="668">
        <f>92729+94577</f>
        <v>187306</v>
      </c>
      <c r="J8" s="668">
        <f>133866+138229</f>
        <v>272095</v>
      </c>
      <c r="K8" s="490">
        <f>87439+148395</f>
        <v>235834</v>
      </c>
      <c r="L8" s="490">
        <v>35000</v>
      </c>
      <c r="M8" s="490">
        <v>36448</v>
      </c>
      <c r="N8" s="491">
        <f t="shared" si="0"/>
        <v>2821393</v>
      </c>
      <c r="O8" s="612">
        <v>2821393</v>
      </c>
      <c r="P8" s="614" t="s">
        <v>1264</v>
      </c>
      <c r="Q8" s="479">
        <f t="shared" si="1"/>
        <v>0</v>
      </c>
    </row>
    <row r="9" spans="1:20" x14ac:dyDescent="0.25">
      <c r="A9" s="489" t="s">
        <v>59</v>
      </c>
      <c r="B9" s="668">
        <v>68</v>
      </c>
      <c r="C9" s="668">
        <v>648</v>
      </c>
      <c r="D9" s="668">
        <f>15+487</f>
        <v>502</v>
      </c>
      <c r="E9" s="668">
        <v>26980</v>
      </c>
      <c r="F9" s="668">
        <v>2824</v>
      </c>
      <c r="G9" s="668">
        <v>50</v>
      </c>
      <c r="H9" s="668">
        <v>6665</v>
      </c>
      <c r="I9" s="668">
        <v>11337</v>
      </c>
      <c r="J9" s="668">
        <f>633+11</f>
        <v>644</v>
      </c>
      <c r="K9" s="668">
        <v>933</v>
      </c>
      <c r="L9" s="490">
        <v>353</v>
      </c>
      <c r="M9" s="490">
        <v>39072</v>
      </c>
      <c r="N9" s="491">
        <f t="shared" si="0"/>
        <v>90076</v>
      </c>
      <c r="O9" s="612">
        <v>90076</v>
      </c>
      <c r="P9" s="614" t="s">
        <v>1322</v>
      </c>
      <c r="Q9" s="479">
        <f t="shared" si="1"/>
        <v>0</v>
      </c>
    </row>
    <row r="10" spans="1:20" ht="31.5" x14ac:dyDescent="0.25">
      <c r="A10" s="489" t="s">
        <v>508</v>
      </c>
      <c r="B10" s="668">
        <f>29922+1850</f>
        <v>31772</v>
      </c>
      <c r="C10" s="668">
        <v>305</v>
      </c>
      <c r="D10" s="668">
        <v>62506</v>
      </c>
      <c r="E10" s="668">
        <v>33284</v>
      </c>
      <c r="F10" s="668">
        <v>1594</v>
      </c>
      <c r="G10" s="668">
        <v>15316</v>
      </c>
      <c r="H10" s="668">
        <v>21786</v>
      </c>
      <c r="I10" s="668">
        <v>124</v>
      </c>
      <c r="J10" s="668">
        <f>6314+69</f>
        <v>6383</v>
      </c>
      <c r="K10" s="668">
        <v>337</v>
      </c>
      <c r="L10" s="490">
        <v>18150</v>
      </c>
      <c r="M10" s="490">
        <v>38115</v>
      </c>
      <c r="N10" s="491">
        <f t="shared" si="0"/>
        <v>229672</v>
      </c>
      <c r="O10" s="612">
        <v>229672</v>
      </c>
      <c r="P10" s="614" t="s">
        <v>1266</v>
      </c>
      <c r="Q10" s="479">
        <f t="shared" si="1"/>
        <v>0</v>
      </c>
      <c r="R10" s="475">
        <f>+Q10/2</f>
        <v>0</v>
      </c>
    </row>
    <row r="11" spans="1:20" ht="31.5" x14ac:dyDescent="0.25">
      <c r="A11" s="489" t="s">
        <v>509</v>
      </c>
      <c r="B11" s="668">
        <v>726</v>
      </c>
      <c r="C11" s="668">
        <v>992</v>
      </c>
      <c r="D11" s="668">
        <f>584+1951</f>
        <v>2535</v>
      </c>
      <c r="E11" s="668">
        <v>638</v>
      </c>
      <c r="F11" s="668">
        <v>538</v>
      </c>
      <c r="G11" s="668">
        <v>891</v>
      </c>
      <c r="H11" s="668">
        <v>478</v>
      </c>
      <c r="I11" s="668">
        <v>420</v>
      </c>
      <c r="J11" s="668">
        <v>8810</v>
      </c>
      <c r="K11" s="668">
        <f>3690+416</f>
        <v>4106</v>
      </c>
      <c r="L11" s="490">
        <v>25804</v>
      </c>
      <c r="M11" s="490">
        <v>19739</v>
      </c>
      <c r="N11" s="491">
        <f t="shared" si="0"/>
        <v>65677</v>
      </c>
      <c r="O11" s="612">
        <v>65677</v>
      </c>
      <c r="P11" s="614" t="s">
        <v>1267</v>
      </c>
      <c r="Q11" s="479">
        <f t="shared" si="1"/>
        <v>0</v>
      </c>
      <c r="R11" s="475">
        <f>+Q11/2</f>
        <v>0</v>
      </c>
    </row>
    <row r="12" spans="1:20" x14ac:dyDescent="0.25">
      <c r="A12" s="489" t="s">
        <v>261</v>
      </c>
      <c r="B12" s="668"/>
      <c r="C12" s="668"/>
      <c r="D12" s="668"/>
      <c r="E12" s="668">
        <f>27417796+848460</f>
        <v>28266256</v>
      </c>
      <c r="F12" s="668"/>
      <c r="G12" s="668"/>
      <c r="H12" s="668"/>
      <c r="I12" s="668"/>
      <c r="J12" s="668"/>
      <c r="K12" s="668"/>
      <c r="L12" s="668"/>
      <c r="M12" s="490"/>
      <c r="N12" s="491">
        <f t="shared" si="0"/>
        <v>28266256</v>
      </c>
      <c r="O12" s="612">
        <v>28266256</v>
      </c>
      <c r="P12" s="614">
        <f>+O12-N12</f>
        <v>0</v>
      </c>
      <c r="Q12" s="479">
        <f t="shared" si="1"/>
        <v>0</v>
      </c>
    </row>
    <row r="13" spans="1:20" s="496" customFormat="1" ht="16.5" thickBot="1" x14ac:dyDescent="0.3">
      <c r="A13" s="492" t="s">
        <v>510</v>
      </c>
      <c r="B13" s="493">
        <f t="shared" ref="B13:N13" si="2">SUM(B5:B12)</f>
        <v>1433509</v>
      </c>
      <c r="C13" s="493">
        <f t="shared" si="2"/>
        <v>1001252</v>
      </c>
      <c r="D13" s="493">
        <f t="shared" si="2"/>
        <v>8212442</v>
      </c>
      <c r="E13" s="493">
        <f t="shared" si="2"/>
        <v>30677825</v>
      </c>
      <c r="F13" s="493">
        <f t="shared" si="2"/>
        <v>4369762</v>
      </c>
      <c r="G13" s="493">
        <f t="shared" si="2"/>
        <v>948002</v>
      </c>
      <c r="H13" s="493">
        <f t="shared" si="2"/>
        <v>1824642</v>
      </c>
      <c r="I13" s="493">
        <f t="shared" si="2"/>
        <v>1454525</v>
      </c>
      <c r="J13" s="493">
        <f t="shared" si="2"/>
        <v>9253621</v>
      </c>
      <c r="K13" s="493">
        <f t="shared" si="2"/>
        <v>1299471</v>
      </c>
      <c r="L13" s="493">
        <f t="shared" si="2"/>
        <v>1388611</v>
      </c>
      <c r="M13" s="493">
        <f t="shared" si="2"/>
        <v>2301316</v>
      </c>
      <c r="N13" s="494">
        <f t="shared" si="2"/>
        <v>64164978</v>
      </c>
      <c r="O13" s="614">
        <f>SUM(O5:O12)</f>
        <v>64164978</v>
      </c>
      <c r="P13" s="614"/>
      <c r="Q13" s="495"/>
    </row>
    <row r="14" spans="1:20" x14ac:dyDescent="0.25">
      <c r="A14" s="483"/>
      <c r="B14" s="477"/>
      <c r="C14" s="477"/>
      <c r="D14" s="477"/>
      <c r="E14" s="477"/>
      <c r="F14" s="477"/>
      <c r="G14" s="477"/>
      <c r="H14" s="477"/>
      <c r="I14" s="477"/>
      <c r="J14" s="477"/>
      <c r="K14" s="477"/>
      <c r="L14" s="477"/>
      <c r="M14" s="477"/>
      <c r="N14" s="477"/>
    </row>
    <row r="15" spans="1:20" ht="16.5" thickBot="1" x14ac:dyDescent="0.3">
      <c r="A15" s="497" t="s">
        <v>511</v>
      </c>
    </row>
    <row r="16" spans="1:20" x14ac:dyDescent="0.25">
      <c r="A16" s="498" t="s">
        <v>512</v>
      </c>
      <c r="B16" s="499">
        <v>1180827</v>
      </c>
      <c r="C16" s="499">
        <v>1134897</v>
      </c>
      <c r="D16" s="499">
        <v>1225816</v>
      </c>
      <c r="E16" s="499">
        <f>940214+5000</f>
        <v>945214</v>
      </c>
      <c r="F16" s="499">
        <v>960027</v>
      </c>
      <c r="G16" s="499">
        <v>936179</v>
      </c>
      <c r="H16" s="499">
        <v>1049222</v>
      </c>
      <c r="I16" s="499">
        <v>1046253</v>
      </c>
      <c r="J16" s="499">
        <v>922284</v>
      </c>
      <c r="K16" s="499">
        <v>1148186</v>
      </c>
      <c r="L16" s="499">
        <v>2254853</v>
      </c>
      <c r="M16" s="499">
        <v>2254854</v>
      </c>
      <c r="N16" s="500">
        <f t="shared" ref="N16:N21" si="3">SUM(B16:M16)</f>
        <v>15058612</v>
      </c>
      <c r="O16" s="612">
        <v>15058612</v>
      </c>
      <c r="P16" s="615" t="s">
        <v>980</v>
      </c>
      <c r="R16" s="476">
        <f>+O16-N16</f>
        <v>0</v>
      </c>
      <c r="S16" s="476">
        <f>+R16/2</f>
        <v>0</v>
      </c>
      <c r="T16" s="476"/>
    </row>
    <row r="17" spans="1:19" ht="31.5" x14ac:dyDescent="0.25">
      <c r="A17" s="489" t="s">
        <v>513</v>
      </c>
      <c r="B17" s="490">
        <v>1709783</v>
      </c>
      <c r="C17" s="490">
        <f>1189049-300000</f>
        <v>889049</v>
      </c>
      <c r="D17" s="490">
        <f>1122906</f>
        <v>1122906</v>
      </c>
      <c r="E17" s="490">
        <f>4774342-1000000-100000-43719-24300</f>
        <v>3606323</v>
      </c>
      <c r="F17" s="490">
        <f>1168717</f>
        <v>1168717</v>
      </c>
      <c r="G17" s="490">
        <f>1722310-80000</f>
        <v>1642310</v>
      </c>
      <c r="H17" s="490">
        <f>1188717-140000</f>
        <v>1048717</v>
      </c>
      <c r="I17" s="490">
        <f>1175570-140000</f>
        <v>1035570</v>
      </c>
      <c r="J17" s="490">
        <f>1221310-140000</f>
        <v>1081310</v>
      </c>
      <c r="K17" s="490">
        <f>1241310-150000</f>
        <v>1091310</v>
      </c>
      <c r="L17" s="490">
        <v>1097781</v>
      </c>
      <c r="M17" s="490">
        <v>1097781</v>
      </c>
      <c r="N17" s="491">
        <f t="shared" si="3"/>
        <v>16591557</v>
      </c>
      <c r="O17" s="612">
        <f>+O23-O16-O18-O19-O20-O21-O22</f>
        <v>16591557</v>
      </c>
      <c r="P17" s="615" t="s">
        <v>981</v>
      </c>
      <c r="R17" s="476">
        <f>+O17-N17</f>
        <v>0</v>
      </c>
      <c r="S17" s="476">
        <f>+R17/2</f>
        <v>0</v>
      </c>
    </row>
    <row r="18" spans="1:19" x14ac:dyDescent="0.25">
      <c r="A18" s="489" t="s">
        <v>304</v>
      </c>
      <c r="B18" s="490">
        <v>14013</v>
      </c>
      <c r="C18" s="490">
        <v>922</v>
      </c>
      <c r="D18" s="490">
        <v>3441</v>
      </c>
      <c r="E18" s="490">
        <v>1</v>
      </c>
      <c r="F18" s="490">
        <v>650</v>
      </c>
      <c r="G18" s="490">
        <v>601</v>
      </c>
      <c r="H18" s="490">
        <v>13266</v>
      </c>
      <c r="I18" s="490">
        <v>0</v>
      </c>
      <c r="J18" s="490">
        <v>1244</v>
      </c>
      <c r="K18" s="490">
        <v>4605</v>
      </c>
      <c r="L18" s="490">
        <v>40500</v>
      </c>
      <c r="M18" s="490">
        <v>90030</v>
      </c>
      <c r="N18" s="491">
        <f t="shared" si="3"/>
        <v>169273</v>
      </c>
      <c r="O18" s="612">
        <v>169273</v>
      </c>
      <c r="P18" s="615" t="s">
        <v>982</v>
      </c>
      <c r="Q18" s="479">
        <f>+O18-N18</f>
        <v>0</v>
      </c>
    </row>
    <row r="19" spans="1:19" s="476" customFormat="1" x14ac:dyDescent="0.25">
      <c r="A19" s="489" t="s">
        <v>519</v>
      </c>
      <c r="B19" s="490">
        <v>75420</v>
      </c>
      <c r="C19" s="490">
        <v>1108</v>
      </c>
      <c r="D19" s="490">
        <v>35494</v>
      </c>
      <c r="E19" s="490">
        <v>20294</v>
      </c>
      <c r="F19" s="490">
        <v>48349</v>
      </c>
      <c r="G19" s="490">
        <v>144134</v>
      </c>
      <c r="H19" s="490">
        <v>55785</v>
      </c>
      <c r="I19" s="490">
        <v>70473</v>
      </c>
      <c r="J19" s="490">
        <v>123328</v>
      </c>
      <c r="K19" s="490">
        <v>79446</v>
      </c>
      <c r="L19" s="490">
        <v>348227</v>
      </c>
      <c r="M19" s="490">
        <v>348227</v>
      </c>
      <c r="N19" s="491">
        <f t="shared" si="3"/>
        <v>1350285</v>
      </c>
      <c r="O19" s="612">
        <v>1350285</v>
      </c>
      <c r="P19" s="614" t="s">
        <v>982</v>
      </c>
      <c r="Q19" s="479">
        <f>+O19-N19</f>
        <v>0</v>
      </c>
      <c r="R19" s="476">
        <f>+Q19/2</f>
        <v>0</v>
      </c>
    </row>
    <row r="20" spans="1:19" s="476" customFormat="1" ht="45.75" customHeight="1" x14ac:dyDescent="0.25">
      <c r="A20" s="489" t="s">
        <v>514</v>
      </c>
      <c r="B20" s="490">
        <v>165484</v>
      </c>
      <c r="C20" s="490">
        <v>132259</v>
      </c>
      <c r="D20" s="490">
        <v>575955</v>
      </c>
      <c r="E20" s="490">
        <v>225613</v>
      </c>
      <c r="F20" s="490">
        <v>465269</v>
      </c>
      <c r="G20" s="490">
        <v>462235</v>
      </c>
      <c r="H20" s="490">
        <v>378211</v>
      </c>
      <c r="I20" s="490">
        <v>1440324</v>
      </c>
      <c r="J20" s="490">
        <v>373888</v>
      </c>
      <c r="K20" s="490">
        <v>495024</v>
      </c>
      <c r="L20" s="490">
        <v>13084713</v>
      </c>
      <c r="M20" s="490">
        <v>9417859</v>
      </c>
      <c r="N20" s="491">
        <f t="shared" si="3"/>
        <v>27216834</v>
      </c>
      <c r="O20" s="612">
        <f>26375147+841687</f>
        <v>27216834</v>
      </c>
      <c r="P20" s="614" t="s">
        <v>983</v>
      </c>
      <c r="Q20" s="479">
        <f t="shared" ref="Q20:Q22" si="4">+O20-N20</f>
        <v>0</v>
      </c>
    </row>
    <row r="21" spans="1:19" s="476" customFormat="1" x14ac:dyDescent="0.25">
      <c r="A21" s="489" t="s">
        <v>515</v>
      </c>
      <c r="B21" s="490"/>
      <c r="C21" s="490"/>
      <c r="D21" s="490"/>
      <c r="E21" s="490">
        <f>150000+85921+100000</f>
        <v>335921</v>
      </c>
      <c r="F21" s="490"/>
      <c r="G21" s="490">
        <f>250000+85921+250000</f>
        <v>585921</v>
      </c>
      <c r="H21" s="490"/>
      <c r="I21" s="490"/>
      <c r="J21" s="490">
        <f>300000+85921+300000+300000</f>
        <v>985921</v>
      </c>
      <c r="K21" s="490"/>
      <c r="L21" s="490"/>
      <c r="M21" s="490">
        <v>1706688</v>
      </c>
      <c r="N21" s="491">
        <f t="shared" si="3"/>
        <v>3614451</v>
      </c>
      <c r="O21" s="612">
        <v>3614451</v>
      </c>
      <c r="P21" s="614" t="s">
        <v>985</v>
      </c>
      <c r="Q21" s="479">
        <f t="shared" si="4"/>
        <v>0</v>
      </c>
    </row>
    <row r="22" spans="1:19" s="476" customFormat="1" ht="31.5" x14ac:dyDescent="0.25">
      <c r="A22" s="501" t="s">
        <v>516</v>
      </c>
      <c r="B22" s="502">
        <v>163966</v>
      </c>
      <c r="C22" s="502"/>
      <c r="D22" s="502"/>
      <c r="E22" s="502"/>
      <c r="F22" s="502"/>
      <c r="H22" s="502"/>
      <c r="I22" s="502"/>
      <c r="J22" s="502"/>
      <c r="K22" s="502"/>
      <c r="L22" s="502"/>
      <c r="M22" s="502"/>
      <c r="N22" s="503">
        <f>SUM(B22:M22)</f>
        <v>163966</v>
      </c>
      <c r="O22" s="612">
        <v>163966</v>
      </c>
      <c r="P22" s="614"/>
      <c r="Q22" s="479">
        <f t="shared" si="4"/>
        <v>0</v>
      </c>
    </row>
    <row r="23" spans="1:19" s="476" customFormat="1" ht="16.5" thickBot="1" x14ac:dyDescent="0.3">
      <c r="A23" s="492" t="s">
        <v>517</v>
      </c>
      <c r="B23" s="493">
        <f t="shared" ref="B23:N23" si="5">SUM(B16:B22)</f>
        <v>3309493</v>
      </c>
      <c r="C23" s="493">
        <f t="shared" si="5"/>
        <v>2158235</v>
      </c>
      <c r="D23" s="493">
        <f t="shared" si="5"/>
        <v>2963612</v>
      </c>
      <c r="E23" s="493">
        <f t="shared" si="5"/>
        <v>5133366</v>
      </c>
      <c r="F23" s="493">
        <f t="shared" si="5"/>
        <v>2643012</v>
      </c>
      <c r="G23" s="493">
        <f t="shared" si="5"/>
        <v>3771380</v>
      </c>
      <c r="H23" s="493">
        <f t="shared" si="5"/>
        <v>2545201</v>
      </c>
      <c r="I23" s="493">
        <f t="shared" si="5"/>
        <v>3592620</v>
      </c>
      <c r="J23" s="493">
        <f t="shared" si="5"/>
        <v>3487975</v>
      </c>
      <c r="K23" s="493">
        <f t="shared" si="5"/>
        <v>2818571</v>
      </c>
      <c r="L23" s="493">
        <f t="shared" si="5"/>
        <v>16826074</v>
      </c>
      <c r="M23" s="504">
        <f t="shared" si="5"/>
        <v>14915439</v>
      </c>
      <c r="N23" s="493">
        <f t="shared" si="5"/>
        <v>64164978</v>
      </c>
      <c r="O23" s="671">
        <f>64001012+163966</f>
        <v>64164978</v>
      </c>
      <c r="P23" s="614">
        <f>+O23-O13</f>
        <v>0</v>
      </c>
      <c r="Q23" s="479"/>
    </row>
    <row r="24" spans="1:19" s="476" customFormat="1" ht="73.5" customHeight="1" x14ac:dyDescent="0.25">
      <c r="A24" s="483"/>
      <c r="B24" s="477"/>
      <c r="C24" s="477"/>
      <c r="D24" s="477"/>
      <c r="E24" s="477"/>
      <c r="F24" s="477"/>
      <c r="G24" s="477"/>
      <c r="H24" s="477"/>
      <c r="I24" s="477"/>
      <c r="J24" s="477"/>
      <c r="K24" s="477"/>
      <c r="L24" s="477"/>
      <c r="M24" s="477"/>
      <c r="N24" s="505"/>
      <c r="O24" s="612"/>
      <c r="P24" s="614"/>
      <c r="Q24" s="479"/>
    </row>
    <row r="25" spans="1:19" s="476" customFormat="1" ht="31.5" x14ac:dyDescent="0.25">
      <c r="A25" s="506" t="s">
        <v>797</v>
      </c>
      <c r="B25" s="507">
        <f>3055001</f>
        <v>3055001</v>
      </c>
      <c r="C25" s="507">
        <f>+B27</f>
        <v>1179017</v>
      </c>
      <c r="D25" s="507">
        <f t="shared" ref="D25:M25" si="6">+C27</f>
        <v>22034</v>
      </c>
      <c r="E25" s="507">
        <f t="shared" si="6"/>
        <v>5270864</v>
      </c>
      <c r="F25" s="507">
        <f t="shared" si="6"/>
        <v>30815323</v>
      </c>
      <c r="G25" s="507">
        <f t="shared" si="6"/>
        <v>32542073</v>
      </c>
      <c r="H25" s="507">
        <f t="shared" si="6"/>
        <v>29718695</v>
      </c>
      <c r="I25" s="507">
        <f t="shared" si="6"/>
        <v>28998136</v>
      </c>
      <c r="J25" s="507">
        <f t="shared" si="6"/>
        <v>26860041</v>
      </c>
      <c r="K25" s="507">
        <f t="shared" si="6"/>
        <v>32625687</v>
      </c>
      <c r="L25" s="507">
        <f t="shared" si="6"/>
        <v>31106587</v>
      </c>
      <c r="M25" s="507">
        <f t="shared" si="6"/>
        <v>15669124</v>
      </c>
      <c r="N25" s="505"/>
      <c r="O25" s="612"/>
      <c r="P25" s="614"/>
      <c r="Q25" s="479"/>
    </row>
    <row r="26" spans="1:19" s="476" customFormat="1" ht="47.25" x14ac:dyDescent="0.25">
      <c r="A26" s="506" t="s">
        <v>798</v>
      </c>
      <c r="B26" s="507">
        <f>+B13-B23-B12+B12</f>
        <v>-1875984</v>
      </c>
      <c r="C26" s="507">
        <f>+C13-C23-C12+C12</f>
        <v>-1156983</v>
      </c>
      <c r="D26" s="507">
        <f t="shared" ref="D26:M26" si="7">+D13-D23-D12+D12</f>
        <v>5248830</v>
      </c>
      <c r="E26" s="507">
        <f t="shared" si="7"/>
        <v>25544459</v>
      </c>
      <c r="F26" s="507">
        <f t="shared" si="7"/>
        <v>1726750</v>
      </c>
      <c r="G26" s="507">
        <f t="shared" si="7"/>
        <v>-2823378</v>
      </c>
      <c r="H26" s="507">
        <f t="shared" si="7"/>
        <v>-720559</v>
      </c>
      <c r="I26" s="507">
        <f t="shared" si="7"/>
        <v>-2138095</v>
      </c>
      <c r="J26" s="507">
        <f t="shared" si="7"/>
        <v>5765646</v>
      </c>
      <c r="K26" s="507">
        <f t="shared" si="7"/>
        <v>-1519100</v>
      </c>
      <c r="L26" s="507">
        <f t="shared" si="7"/>
        <v>-15437463</v>
      </c>
      <c r="M26" s="507">
        <f t="shared" si="7"/>
        <v>-12614123</v>
      </c>
      <c r="N26" s="505"/>
      <c r="O26" s="612"/>
      <c r="P26" s="614"/>
      <c r="Q26" s="479"/>
    </row>
    <row r="27" spans="1:19" s="476" customFormat="1" ht="47.25" x14ac:dyDescent="0.25">
      <c r="A27" s="506" t="s">
        <v>561</v>
      </c>
      <c r="B27" s="507">
        <f t="shared" ref="B27:M27" si="8">+B25+B26</f>
        <v>1179017</v>
      </c>
      <c r="C27" s="507">
        <f t="shared" si="8"/>
        <v>22034</v>
      </c>
      <c r="D27" s="507">
        <f t="shared" si="8"/>
        <v>5270864</v>
      </c>
      <c r="E27" s="507">
        <f t="shared" si="8"/>
        <v>30815323</v>
      </c>
      <c r="F27" s="507">
        <f t="shared" si="8"/>
        <v>32542073</v>
      </c>
      <c r="G27" s="507">
        <f t="shared" si="8"/>
        <v>29718695</v>
      </c>
      <c r="H27" s="507">
        <f t="shared" si="8"/>
        <v>28998136</v>
      </c>
      <c r="I27" s="507">
        <f t="shared" si="8"/>
        <v>26860041</v>
      </c>
      <c r="J27" s="507">
        <f t="shared" si="8"/>
        <v>32625687</v>
      </c>
      <c r="K27" s="507">
        <f t="shared" si="8"/>
        <v>31106587</v>
      </c>
      <c r="L27" s="507">
        <f t="shared" si="8"/>
        <v>15669124</v>
      </c>
      <c r="M27" s="507">
        <f t="shared" si="8"/>
        <v>3055001</v>
      </c>
      <c r="N27" s="505"/>
      <c r="O27" s="612"/>
      <c r="P27" s="614"/>
      <c r="Q27" s="479"/>
    </row>
    <row r="28" spans="1:19" s="476" customFormat="1" x14ac:dyDescent="0.25">
      <c r="A28" s="475"/>
      <c r="N28" s="508"/>
      <c r="O28" s="612"/>
      <c r="P28" s="614"/>
      <c r="Q28" s="479"/>
    </row>
    <row r="29" spans="1:19" x14ac:dyDescent="0.25">
      <c r="B29" s="477"/>
      <c r="C29" s="477"/>
      <c r="D29" s="477"/>
      <c r="E29" s="477"/>
      <c r="F29" s="477"/>
      <c r="G29" s="477"/>
      <c r="H29" s="477"/>
      <c r="I29" s="477"/>
      <c r="J29" s="477"/>
      <c r="K29" s="477"/>
      <c r="L29" s="477"/>
      <c r="M29" s="477"/>
      <c r="N29" s="477"/>
    </row>
    <row r="30" spans="1:19" x14ac:dyDescent="0.25">
      <c r="A30" s="475" t="s">
        <v>518</v>
      </c>
    </row>
    <row r="32" spans="1:19" x14ac:dyDescent="0.25">
      <c r="A32" s="193"/>
    </row>
    <row r="34" spans="1:14" x14ac:dyDescent="0.25">
      <c r="A34" s="496"/>
      <c r="B34" s="477"/>
      <c r="C34" s="477"/>
      <c r="D34" s="477"/>
      <c r="E34" s="477"/>
      <c r="F34" s="477"/>
      <c r="G34" s="477"/>
      <c r="H34" s="477"/>
      <c r="I34" s="477"/>
      <c r="J34" s="477"/>
      <c r="K34" s="477"/>
      <c r="L34" s="477"/>
      <c r="M34" s="477"/>
      <c r="N34" s="477"/>
    </row>
    <row r="36" spans="1:14" x14ac:dyDescent="0.25">
      <c r="A36" s="509"/>
      <c r="B36" s="510"/>
      <c r="C36" s="510"/>
      <c r="D36" s="510"/>
      <c r="E36" s="510"/>
      <c r="F36" s="510"/>
      <c r="H36" s="510"/>
      <c r="I36" s="510"/>
      <c r="J36" s="510"/>
      <c r="K36" s="510"/>
      <c r="L36" s="510"/>
      <c r="M36" s="510"/>
      <c r="N36" s="510"/>
    </row>
  </sheetData>
  <pageMargins left="0.51181102362204722" right="0.51181102362204722" top="0.74803149606299213" bottom="0.35433070866141736" header="0.31496062992125984" footer="0.31496062992125984"/>
  <pageSetup paperSize="9" scale="68" orientation="landscape" r:id="rId1"/>
  <headerFooter>
    <oddHeader>&amp;C&amp;"Times New Roman CE,Félkövér"
2020. évi előirányzat-felhasználási terv 
(eFt-ban)&amp;R&amp;"Times New Roman CE,Félkövér"&amp;9 15.melléklet a 40/2020. (XI.30.)  rendelethez 
&amp;"Times New Roman CE,Dőlt"17. melléklet
az 5/2020.(II.17.) önkorm. rendelethez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35"/>
  <sheetViews>
    <sheetView topLeftCell="A10" zoomScale="80" zoomScaleNormal="80" workbookViewId="0">
      <selection activeCell="D13" sqref="D13"/>
    </sheetView>
  </sheetViews>
  <sheetFormatPr defaultColWidth="8" defaultRowHeight="15.75" x14ac:dyDescent="0.25"/>
  <cols>
    <col min="1" max="1" width="53.375" style="511" bestFit="1" customWidth="1"/>
    <col min="2" max="2" width="12.375" style="511" customWidth="1"/>
    <col min="3" max="3" width="12.125" style="511" customWidth="1"/>
    <col min="4" max="4" width="11.75" style="511" customWidth="1"/>
    <col min="5" max="6" width="13.625" style="511" customWidth="1"/>
    <col min="7" max="7" width="13.25" style="511" customWidth="1"/>
    <col min="8" max="8" width="0" style="511" hidden="1" customWidth="1"/>
    <col min="9" max="9" width="13" style="474" hidden="1" customWidth="1"/>
    <col min="10" max="10" width="10.375" style="511" hidden="1" customWidth="1"/>
    <col min="11" max="11" width="6.125" style="511" hidden="1" customWidth="1"/>
    <col min="12" max="12" width="9.75" style="511" customWidth="1"/>
    <col min="13" max="13" width="12.25" style="511" bestFit="1" customWidth="1"/>
    <col min="14" max="14" width="9.125" style="511" bestFit="1" customWidth="1"/>
    <col min="15" max="16384" width="8" style="511"/>
  </cols>
  <sheetData>
    <row r="1" spans="1:10" ht="18.75" x14ac:dyDescent="0.3">
      <c r="A1" s="1036" t="s">
        <v>978</v>
      </c>
      <c r="B1" s="1036"/>
      <c r="C1" s="1036"/>
      <c r="D1" s="1036"/>
      <c r="E1" s="1036"/>
      <c r="F1" s="1036"/>
      <c r="G1" s="1036"/>
    </row>
    <row r="2" spans="1:10" s="512" customFormat="1" ht="18.75" x14ac:dyDescent="0.3">
      <c r="A2" s="1037" t="s">
        <v>979</v>
      </c>
      <c r="B2" s="1037"/>
      <c r="C2" s="1037"/>
      <c r="D2" s="1037"/>
      <c r="E2" s="1037"/>
      <c r="F2" s="1037"/>
      <c r="G2" s="1037"/>
      <c r="I2" s="603"/>
    </row>
    <row r="3" spans="1:10" s="512" customFormat="1" x14ac:dyDescent="0.25">
      <c r="I3" s="603"/>
    </row>
    <row r="4" spans="1:10" ht="16.5" thickBot="1" x14ac:dyDescent="0.3">
      <c r="A4" s="513"/>
      <c r="B4" s="513"/>
      <c r="C4" s="513"/>
      <c r="D4" s="513"/>
      <c r="E4" s="513"/>
      <c r="F4" s="513"/>
      <c r="G4" s="513"/>
    </row>
    <row r="5" spans="1:10" s="516" customFormat="1" ht="33" thickTop="1" thickBot="1" x14ac:dyDescent="0.3">
      <c r="A5" s="514" t="s">
        <v>136</v>
      </c>
      <c r="B5" s="515" t="s">
        <v>806</v>
      </c>
      <c r="C5" s="515" t="s">
        <v>807</v>
      </c>
      <c r="D5" s="515" t="s">
        <v>808</v>
      </c>
      <c r="E5" s="515" t="s">
        <v>809</v>
      </c>
      <c r="F5" s="515" t="s">
        <v>810</v>
      </c>
      <c r="G5" s="515" t="s">
        <v>488</v>
      </c>
      <c r="I5" s="604"/>
    </row>
    <row r="6" spans="1:10" ht="17.25" thickTop="1" thickBot="1" x14ac:dyDescent="0.3">
      <c r="A6" s="517" t="s">
        <v>137</v>
      </c>
      <c r="B6" s="518" t="s">
        <v>139</v>
      </c>
      <c r="C6" s="518" t="s">
        <v>140</v>
      </c>
      <c r="D6" s="518" t="s">
        <v>141</v>
      </c>
      <c r="E6" s="518" t="s">
        <v>142</v>
      </c>
      <c r="F6" s="518" t="s">
        <v>142</v>
      </c>
      <c r="G6" s="518" t="s">
        <v>811</v>
      </c>
    </row>
    <row r="7" spans="1:10" ht="16.5" thickTop="1" x14ac:dyDescent="0.25">
      <c r="A7" s="519"/>
      <c r="B7" s="520"/>
      <c r="C7" s="520"/>
      <c r="D7" s="520"/>
      <c r="E7" s="520"/>
      <c r="F7" s="520"/>
      <c r="G7" s="520"/>
    </row>
    <row r="8" spans="1:10" ht="31.5" x14ac:dyDescent="0.25">
      <c r="A8" s="521" t="s">
        <v>812</v>
      </c>
      <c r="B8" s="522"/>
      <c r="C8" s="522"/>
      <c r="D8" s="522"/>
      <c r="E8" s="522"/>
      <c r="F8" s="522"/>
      <c r="G8" s="523"/>
    </row>
    <row r="9" spans="1:10" x14ac:dyDescent="0.25">
      <c r="A9" s="524" t="s">
        <v>744</v>
      </c>
      <c r="B9" s="525">
        <f>1827363-1316538</f>
        <v>510825</v>
      </c>
      <c r="C9" s="525">
        <v>1316538</v>
      </c>
      <c r="D9" s="525"/>
      <c r="E9" s="525"/>
      <c r="F9" s="525"/>
      <c r="G9" s="523">
        <f t="shared" ref="G9:G22" si="0">SUM(B9:F9)</f>
        <v>1827363</v>
      </c>
    </row>
    <row r="10" spans="1:10" x14ac:dyDescent="0.25">
      <c r="A10" s="524" t="s">
        <v>478</v>
      </c>
      <c r="B10" s="525">
        <f>1204213+116134</f>
        <v>1320347</v>
      </c>
      <c r="C10" s="525">
        <f>450582-116134</f>
        <v>334448</v>
      </c>
      <c r="D10" s="525"/>
      <c r="E10" s="525"/>
      <c r="F10" s="525"/>
      <c r="G10" s="523">
        <f t="shared" si="0"/>
        <v>1654795</v>
      </c>
    </row>
    <row r="11" spans="1:10" ht="47.25" x14ac:dyDescent="0.25">
      <c r="A11" s="524" t="s">
        <v>813</v>
      </c>
      <c r="B11" s="525">
        <v>1174224</v>
      </c>
      <c r="C11" s="525"/>
      <c r="D11" s="525"/>
      <c r="E11" s="525"/>
      <c r="F11" s="525"/>
      <c r="G11" s="523">
        <f t="shared" si="0"/>
        <v>1174224</v>
      </c>
      <c r="H11" s="511" t="s">
        <v>1245</v>
      </c>
    </row>
    <row r="12" spans="1:10" ht="31.5" x14ac:dyDescent="0.25">
      <c r="A12" s="524" t="s">
        <v>557</v>
      </c>
      <c r="B12" s="525">
        <f>523800+161442</f>
        <v>685242</v>
      </c>
      <c r="C12" s="525">
        <f>254464-161442</f>
        <v>93022</v>
      </c>
      <c r="D12" s="525"/>
      <c r="E12" s="525"/>
      <c r="F12" s="525"/>
      <c r="G12" s="523">
        <f t="shared" si="0"/>
        <v>778264</v>
      </c>
    </row>
    <row r="13" spans="1:10" x14ac:dyDescent="0.25">
      <c r="A13" s="524" t="s">
        <v>814</v>
      </c>
      <c r="B13" s="525">
        <f>456209-343141</f>
        <v>113068</v>
      </c>
      <c r="C13" s="525"/>
      <c r="D13" s="525"/>
      <c r="E13" s="525"/>
      <c r="F13" s="525"/>
      <c r="G13" s="523">
        <f t="shared" si="0"/>
        <v>113068</v>
      </c>
    </row>
    <row r="14" spans="1:10" x14ac:dyDescent="0.25">
      <c r="A14" s="524" t="s">
        <v>815</v>
      </c>
      <c r="B14" s="525">
        <v>849</v>
      </c>
      <c r="C14" s="525"/>
      <c r="D14" s="525"/>
      <c r="E14" s="525"/>
      <c r="F14" s="525"/>
      <c r="G14" s="523">
        <f t="shared" si="0"/>
        <v>849</v>
      </c>
    </row>
    <row r="15" spans="1:10" x14ac:dyDescent="0.25">
      <c r="A15" s="524" t="s">
        <v>816</v>
      </c>
      <c r="B15" s="525">
        <f>6598+1293</f>
        <v>7891</v>
      </c>
      <c r="C15" s="525">
        <f>6878-1293</f>
        <v>5585</v>
      </c>
      <c r="D15" s="525">
        <v>15800</v>
      </c>
      <c r="E15" s="525">
        <v>1265</v>
      </c>
      <c r="F15" s="525"/>
      <c r="G15" s="523">
        <f t="shared" si="0"/>
        <v>30541</v>
      </c>
    </row>
    <row r="16" spans="1:10" x14ac:dyDescent="0.25">
      <c r="A16" s="524" t="s">
        <v>817</v>
      </c>
      <c r="B16" s="525">
        <f>5790724+3703228</f>
        <v>9493952</v>
      </c>
      <c r="C16" s="525">
        <f>5070380-3703228</f>
        <v>1367152</v>
      </c>
      <c r="D16" s="525">
        <v>4647848</v>
      </c>
      <c r="E16" s="525"/>
      <c r="F16" s="525"/>
      <c r="G16" s="523">
        <f t="shared" si="0"/>
        <v>15508952</v>
      </c>
      <c r="I16" s="511" t="s">
        <v>1247</v>
      </c>
      <c r="J16" s="474">
        <v>4479529</v>
      </c>
    </row>
    <row r="17" spans="1:14" x14ac:dyDescent="0.25">
      <c r="A17" s="524" t="s">
        <v>739</v>
      </c>
      <c r="B17" s="525">
        <f>2375883-1585413</f>
        <v>790470</v>
      </c>
      <c r="C17" s="525">
        <f>1626110+29080</f>
        <v>1655190</v>
      </c>
      <c r="D17" s="525">
        <v>1062432</v>
      </c>
      <c r="E17" s="525">
        <f>971437-273714</f>
        <v>697723</v>
      </c>
      <c r="F17" s="525"/>
      <c r="G17" s="523">
        <f t="shared" si="0"/>
        <v>4205815</v>
      </c>
      <c r="I17" s="511" t="s">
        <v>1246</v>
      </c>
      <c r="J17" s="610">
        <v>-273714</v>
      </c>
    </row>
    <row r="18" spans="1:14" x14ac:dyDescent="0.25">
      <c r="A18" s="524" t="s">
        <v>818</v>
      </c>
      <c r="B18" s="525">
        <v>253279</v>
      </c>
      <c r="C18" s="525"/>
      <c r="D18" s="525"/>
      <c r="E18" s="525"/>
      <c r="F18" s="525"/>
      <c r="G18" s="523">
        <f t="shared" si="0"/>
        <v>253279</v>
      </c>
      <c r="J18" s="611">
        <f>+J16+J17</f>
        <v>4205815</v>
      </c>
    </row>
    <row r="19" spans="1:14" x14ac:dyDescent="0.25">
      <c r="A19" s="524" t="s">
        <v>479</v>
      </c>
      <c r="B19" s="525">
        <f>1243432-62420</f>
        <v>1181012</v>
      </c>
      <c r="C19" s="525">
        <v>62420</v>
      </c>
      <c r="D19" s="525"/>
      <c r="E19" s="525"/>
      <c r="F19" s="525"/>
      <c r="G19" s="523">
        <f t="shared" si="0"/>
        <v>1243432</v>
      </c>
    </row>
    <row r="20" spans="1:14" x14ac:dyDescent="0.25">
      <c r="A20" s="524" t="s">
        <v>819</v>
      </c>
      <c r="B20" s="525">
        <f>199696-195633</f>
        <v>4063</v>
      </c>
      <c r="C20" s="525">
        <f>900000+195633</f>
        <v>1095633</v>
      </c>
      <c r="D20" s="525">
        <v>900000</v>
      </c>
      <c r="E20" s="525"/>
      <c r="F20" s="525"/>
      <c r="G20" s="523">
        <f t="shared" si="0"/>
        <v>1999696</v>
      </c>
      <c r="I20" s="474">
        <v>1999696</v>
      </c>
    </row>
    <row r="21" spans="1:14" ht="31.5" x14ac:dyDescent="0.25">
      <c r="A21" s="524" t="s">
        <v>820</v>
      </c>
      <c r="B21" s="525">
        <v>2575142</v>
      </c>
      <c r="C21" s="525">
        <v>2901050</v>
      </c>
      <c r="D21" s="525"/>
      <c r="E21" s="525"/>
      <c r="F21" s="525"/>
      <c r="G21" s="523">
        <f t="shared" si="0"/>
        <v>5476192</v>
      </c>
    </row>
    <row r="22" spans="1:14" ht="63.75" thickBot="1" x14ac:dyDescent="0.3">
      <c r="A22" s="524" t="s">
        <v>735</v>
      </c>
      <c r="B22" s="525">
        <f>2380251+6375</f>
        <v>2386626</v>
      </c>
      <c r="C22" s="525"/>
      <c r="D22" s="525"/>
      <c r="E22" s="525"/>
      <c r="F22" s="525"/>
      <c r="G22" s="523">
        <f t="shared" si="0"/>
        <v>2386626</v>
      </c>
      <c r="L22" s="526"/>
      <c r="M22" s="526"/>
    </row>
    <row r="23" spans="1:14" ht="33" thickTop="1" thickBot="1" x14ac:dyDescent="0.3">
      <c r="A23" s="527" t="s">
        <v>821</v>
      </c>
      <c r="B23" s="528">
        <f t="shared" ref="B23:G23" si="1">SUM(B9:B22)</f>
        <v>20496990</v>
      </c>
      <c r="C23" s="528">
        <f t="shared" si="1"/>
        <v>8831038</v>
      </c>
      <c r="D23" s="528">
        <f t="shared" si="1"/>
        <v>6626080</v>
      </c>
      <c r="E23" s="528">
        <f t="shared" si="1"/>
        <v>698988</v>
      </c>
      <c r="F23" s="528">
        <f t="shared" si="1"/>
        <v>0</v>
      </c>
      <c r="G23" s="528">
        <f t="shared" si="1"/>
        <v>36653096</v>
      </c>
    </row>
    <row r="24" spans="1:14" ht="16.5" thickTop="1" x14ac:dyDescent="0.25">
      <c r="A24" s="529"/>
      <c r="B24" s="530"/>
      <c r="C24" s="530"/>
      <c r="D24" s="530"/>
      <c r="E24" s="530"/>
      <c r="F24" s="530"/>
      <c r="G24" s="530"/>
    </row>
    <row r="25" spans="1:14" x14ac:dyDescent="0.25">
      <c r="A25" s="519" t="s">
        <v>822</v>
      </c>
      <c r="B25" s="520"/>
      <c r="C25" s="520"/>
      <c r="D25" s="520"/>
      <c r="E25" s="520"/>
      <c r="F25" s="520"/>
      <c r="G25" s="520"/>
    </row>
    <row r="26" spans="1:14" ht="31.5" x14ac:dyDescent="0.25">
      <c r="A26" s="531" t="s">
        <v>823</v>
      </c>
      <c r="B26" s="522">
        <v>22225</v>
      </c>
      <c r="C26" s="522">
        <v>22225</v>
      </c>
      <c r="D26" s="522">
        <v>22225</v>
      </c>
      <c r="E26" s="522">
        <v>22225</v>
      </c>
      <c r="F26" s="522"/>
      <c r="G26" s="523">
        <f>SUM(B26:F26)</f>
        <v>88900</v>
      </c>
    </row>
    <row r="27" spans="1:14" ht="48" thickBot="1" x14ac:dyDescent="0.3">
      <c r="A27" s="532" t="s">
        <v>828</v>
      </c>
      <c r="B27" s="522">
        <f>979317-605287</f>
        <v>374030</v>
      </c>
      <c r="C27" s="522">
        <f>194713+605287</f>
        <v>800000</v>
      </c>
      <c r="D27" s="522"/>
      <c r="E27" s="522"/>
      <c r="F27" s="522"/>
      <c r="G27" s="523">
        <f>SUM(B27:F27)</f>
        <v>1174030</v>
      </c>
      <c r="I27" s="474">
        <v>1174030</v>
      </c>
    </row>
    <row r="28" spans="1:14" ht="17.25" thickTop="1" thickBot="1" x14ac:dyDescent="0.3">
      <c r="A28" s="527" t="s">
        <v>824</v>
      </c>
      <c r="B28" s="528">
        <f t="shared" ref="B28:G28" si="2">SUM(B27:B27)</f>
        <v>374030</v>
      </c>
      <c r="C28" s="528">
        <f t="shared" si="2"/>
        <v>800000</v>
      </c>
      <c r="D28" s="528">
        <f t="shared" si="2"/>
        <v>0</v>
      </c>
      <c r="E28" s="528">
        <f t="shared" si="2"/>
        <v>0</v>
      </c>
      <c r="F28" s="528">
        <f t="shared" si="2"/>
        <v>0</v>
      </c>
      <c r="G28" s="528">
        <f t="shared" si="2"/>
        <v>1174030</v>
      </c>
      <c r="N28" s="533"/>
    </row>
    <row r="29" spans="1:14" ht="16.5" thickTop="1" x14ac:dyDescent="0.25">
      <c r="A29" s="529"/>
      <c r="B29" s="530"/>
      <c r="C29" s="530"/>
      <c r="D29" s="530"/>
      <c r="E29" s="530"/>
      <c r="F29" s="530"/>
      <c r="G29" s="530"/>
    </row>
    <row r="30" spans="1:14" x14ac:dyDescent="0.25">
      <c r="A30" s="534" t="s">
        <v>825</v>
      </c>
      <c r="B30" s="522"/>
      <c r="C30" s="522"/>
      <c r="D30" s="522"/>
      <c r="E30" s="522"/>
      <c r="F30" s="522"/>
      <c r="G30" s="523"/>
    </row>
    <row r="31" spans="1:14" ht="48" thickBot="1" x14ac:dyDescent="0.3">
      <c r="A31" s="535" t="s">
        <v>826</v>
      </c>
      <c r="B31" s="536">
        <v>63000</v>
      </c>
      <c r="C31" s="536">
        <v>63000</v>
      </c>
      <c r="D31" s="536">
        <v>63000</v>
      </c>
      <c r="E31" s="536"/>
      <c r="F31" s="536"/>
      <c r="G31" s="523">
        <f>SUM(B31:F31)</f>
        <v>189000</v>
      </c>
    </row>
    <row r="32" spans="1:14" ht="33" thickTop="1" thickBot="1" x14ac:dyDescent="0.3">
      <c r="A32" s="527" t="s">
        <v>827</v>
      </c>
      <c r="B32" s="528">
        <f t="shared" ref="B32:G32" si="3">SUM(B31:B31)</f>
        <v>63000</v>
      </c>
      <c r="C32" s="528">
        <f t="shared" si="3"/>
        <v>63000</v>
      </c>
      <c r="D32" s="528">
        <f t="shared" si="3"/>
        <v>63000</v>
      </c>
      <c r="E32" s="528">
        <f t="shared" si="3"/>
        <v>0</v>
      </c>
      <c r="F32" s="528">
        <f t="shared" si="3"/>
        <v>0</v>
      </c>
      <c r="G32" s="528">
        <f t="shared" si="3"/>
        <v>189000</v>
      </c>
    </row>
    <row r="33" spans="1:7" ht="17.25" thickTop="1" thickBot="1" x14ac:dyDescent="0.3">
      <c r="A33" s="537" t="s">
        <v>488</v>
      </c>
      <c r="B33" s="538">
        <f>SUM(B23,B28,B32)</f>
        <v>20934020</v>
      </c>
      <c r="C33" s="538">
        <f>SUM(C23,C28,C32)</f>
        <v>9694038</v>
      </c>
      <c r="D33" s="538">
        <f>SUM(D23,D28,D32)</f>
        <v>6689080</v>
      </c>
      <c r="E33" s="538">
        <f t="shared" ref="E33:F33" si="4">SUM(E23,E28,E32)</f>
        <v>698988</v>
      </c>
      <c r="F33" s="538">
        <f t="shared" si="4"/>
        <v>0</v>
      </c>
      <c r="G33" s="538">
        <f>SUM(G23,G28,G32)</f>
        <v>38016126</v>
      </c>
    </row>
    <row r="34" spans="1:7" ht="16.5" thickTop="1" x14ac:dyDescent="0.25">
      <c r="G34" s="539"/>
    </row>
    <row r="35" spans="1:7" x14ac:dyDescent="0.25">
      <c r="A35" s="193"/>
    </row>
  </sheetData>
  <mergeCells count="2">
    <mergeCell ref="A1:G1"/>
    <mergeCell ref="A2:G2"/>
  </mergeCells>
  <pageMargins left="0.55118110236220474" right="0.31496062992125984" top="0.94488188976377963" bottom="0.74803149606299213" header="0.35433070866141736" footer="0.31496062992125984"/>
  <pageSetup paperSize="9" scale="62" orientation="landscape" r:id="rId1"/>
  <headerFooter>
    <oddHeader>&amp;R&amp;"Times New Roman CE,Félkövér"16.melléklet a 40/2020.(XI.30.) önkormányzati rendelethez
&amp;"Times New Roman CE,Dőlt"&amp;10 18. melléklet az 5/2020(II.17.) önkorányzati rendelethez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FD109-3A50-4C71-A3E2-3BCE107ECEFE}">
  <dimension ref="A1:E2109"/>
  <sheetViews>
    <sheetView topLeftCell="A34" workbookViewId="0">
      <selection activeCell="A41" sqref="A41"/>
    </sheetView>
  </sheetViews>
  <sheetFormatPr defaultRowHeight="15.75" x14ac:dyDescent="0.25"/>
  <cols>
    <col min="1" max="1" width="33" style="927" customWidth="1"/>
    <col min="2" max="5" width="10.5" style="928" customWidth="1"/>
    <col min="6" max="256" width="9" style="907"/>
    <col min="257" max="257" width="31.875" style="907" customWidth="1"/>
    <col min="258" max="261" width="10.5" style="907" customWidth="1"/>
    <col min="262" max="512" width="9" style="907"/>
    <col min="513" max="513" width="31.875" style="907" customWidth="1"/>
    <col min="514" max="517" width="10.5" style="907" customWidth="1"/>
    <col min="518" max="768" width="9" style="907"/>
    <col min="769" max="769" width="31.875" style="907" customWidth="1"/>
    <col min="770" max="773" width="10.5" style="907" customWidth="1"/>
    <col min="774" max="1024" width="9" style="907"/>
    <col min="1025" max="1025" width="31.875" style="907" customWidth="1"/>
    <col min="1026" max="1029" width="10.5" style="907" customWidth="1"/>
    <col min="1030" max="1280" width="9" style="907"/>
    <col min="1281" max="1281" width="31.875" style="907" customWidth="1"/>
    <col min="1282" max="1285" width="10.5" style="907" customWidth="1"/>
    <col min="1286" max="1536" width="9" style="907"/>
    <col min="1537" max="1537" width="31.875" style="907" customWidth="1"/>
    <col min="1538" max="1541" width="10.5" style="907" customWidth="1"/>
    <col min="1542" max="1792" width="9" style="907"/>
    <col min="1793" max="1793" width="31.875" style="907" customWidth="1"/>
    <col min="1794" max="1797" width="10.5" style="907" customWidth="1"/>
    <col min="1798" max="2048" width="9" style="907"/>
    <col min="2049" max="2049" width="31.875" style="907" customWidth="1"/>
    <col min="2050" max="2053" width="10.5" style="907" customWidth="1"/>
    <col min="2054" max="2304" width="9" style="907"/>
    <col min="2305" max="2305" width="31.875" style="907" customWidth="1"/>
    <col min="2306" max="2309" width="10.5" style="907" customWidth="1"/>
    <col min="2310" max="2560" width="9" style="907"/>
    <col min="2561" max="2561" width="31.875" style="907" customWidth="1"/>
    <col min="2562" max="2565" width="10.5" style="907" customWidth="1"/>
    <col min="2566" max="2816" width="9" style="907"/>
    <col min="2817" max="2817" width="31.875" style="907" customWidth="1"/>
    <col min="2818" max="2821" width="10.5" style="907" customWidth="1"/>
    <col min="2822" max="3072" width="9" style="907"/>
    <col min="3073" max="3073" width="31.875" style="907" customWidth="1"/>
    <col min="3074" max="3077" width="10.5" style="907" customWidth="1"/>
    <col min="3078" max="3328" width="9" style="907"/>
    <col min="3329" max="3329" width="31.875" style="907" customWidth="1"/>
    <col min="3330" max="3333" width="10.5" style="907" customWidth="1"/>
    <col min="3334" max="3584" width="9" style="907"/>
    <col min="3585" max="3585" width="31.875" style="907" customWidth="1"/>
    <col min="3586" max="3589" width="10.5" style="907" customWidth="1"/>
    <col min="3590" max="3840" width="9" style="907"/>
    <col min="3841" max="3841" width="31.875" style="907" customWidth="1"/>
    <col min="3842" max="3845" width="10.5" style="907" customWidth="1"/>
    <col min="3846" max="4096" width="9" style="907"/>
    <col min="4097" max="4097" width="31.875" style="907" customWidth="1"/>
    <col min="4098" max="4101" width="10.5" style="907" customWidth="1"/>
    <col min="4102" max="4352" width="9" style="907"/>
    <col min="4353" max="4353" width="31.875" style="907" customWidth="1"/>
    <col min="4354" max="4357" width="10.5" style="907" customWidth="1"/>
    <col min="4358" max="4608" width="9" style="907"/>
    <col min="4609" max="4609" width="31.875" style="907" customWidth="1"/>
    <col min="4610" max="4613" width="10.5" style="907" customWidth="1"/>
    <col min="4614" max="4864" width="9" style="907"/>
    <col min="4865" max="4865" width="31.875" style="907" customWidth="1"/>
    <col min="4866" max="4869" width="10.5" style="907" customWidth="1"/>
    <col min="4870" max="5120" width="9" style="907"/>
    <col min="5121" max="5121" width="31.875" style="907" customWidth="1"/>
    <col min="5122" max="5125" width="10.5" style="907" customWidth="1"/>
    <col min="5126" max="5376" width="9" style="907"/>
    <col min="5377" max="5377" width="31.875" style="907" customWidth="1"/>
    <col min="5378" max="5381" width="10.5" style="907" customWidth="1"/>
    <col min="5382" max="5632" width="9" style="907"/>
    <col min="5633" max="5633" width="31.875" style="907" customWidth="1"/>
    <col min="5634" max="5637" width="10.5" style="907" customWidth="1"/>
    <col min="5638" max="5888" width="9" style="907"/>
    <col min="5889" max="5889" width="31.875" style="907" customWidth="1"/>
    <col min="5890" max="5893" width="10.5" style="907" customWidth="1"/>
    <col min="5894" max="6144" width="9" style="907"/>
    <col min="6145" max="6145" width="31.875" style="907" customWidth="1"/>
    <col min="6146" max="6149" width="10.5" style="907" customWidth="1"/>
    <col min="6150" max="6400" width="9" style="907"/>
    <col min="6401" max="6401" width="31.875" style="907" customWidth="1"/>
    <col min="6402" max="6405" width="10.5" style="907" customWidth="1"/>
    <col min="6406" max="6656" width="9" style="907"/>
    <col min="6657" max="6657" width="31.875" style="907" customWidth="1"/>
    <col min="6658" max="6661" width="10.5" style="907" customWidth="1"/>
    <col min="6662" max="6912" width="9" style="907"/>
    <col min="6913" max="6913" width="31.875" style="907" customWidth="1"/>
    <col min="6914" max="6917" width="10.5" style="907" customWidth="1"/>
    <col min="6918" max="7168" width="9" style="907"/>
    <col min="7169" max="7169" width="31.875" style="907" customWidth="1"/>
    <col min="7170" max="7173" width="10.5" style="907" customWidth="1"/>
    <col min="7174" max="7424" width="9" style="907"/>
    <col min="7425" max="7425" width="31.875" style="907" customWidth="1"/>
    <col min="7426" max="7429" width="10.5" style="907" customWidth="1"/>
    <col min="7430" max="7680" width="9" style="907"/>
    <col min="7681" max="7681" width="31.875" style="907" customWidth="1"/>
    <col min="7682" max="7685" width="10.5" style="907" customWidth="1"/>
    <col min="7686" max="7936" width="9" style="907"/>
    <col min="7937" max="7937" width="31.875" style="907" customWidth="1"/>
    <col min="7938" max="7941" width="10.5" style="907" customWidth="1"/>
    <col min="7942" max="8192" width="9" style="907"/>
    <col min="8193" max="8193" width="31.875" style="907" customWidth="1"/>
    <col min="8194" max="8197" width="10.5" style="907" customWidth="1"/>
    <col min="8198" max="8448" width="9" style="907"/>
    <col min="8449" max="8449" width="31.875" style="907" customWidth="1"/>
    <col min="8450" max="8453" width="10.5" style="907" customWidth="1"/>
    <col min="8454" max="8704" width="9" style="907"/>
    <col min="8705" max="8705" width="31.875" style="907" customWidth="1"/>
    <col min="8706" max="8709" width="10.5" style="907" customWidth="1"/>
    <col min="8710" max="8960" width="9" style="907"/>
    <col min="8961" max="8961" width="31.875" style="907" customWidth="1"/>
    <col min="8962" max="8965" width="10.5" style="907" customWidth="1"/>
    <col min="8966" max="9216" width="9" style="907"/>
    <col min="9217" max="9217" width="31.875" style="907" customWidth="1"/>
    <col min="9218" max="9221" width="10.5" style="907" customWidth="1"/>
    <col min="9222" max="9472" width="9" style="907"/>
    <col min="9473" max="9473" width="31.875" style="907" customWidth="1"/>
    <col min="9474" max="9477" width="10.5" style="907" customWidth="1"/>
    <col min="9478" max="9728" width="9" style="907"/>
    <col min="9729" max="9729" width="31.875" style="907" customWidth="1"/>
    <col min="9730" max="9733" width="10.5" style="907" customWidth="1"/>
    <col min="9734" max="9984" width="9" style="907"/>
    <col min="9985" max="9985" width="31.875" style="907" customWidth="1"/>
    <col min="9986" max="9989" width="10.5" style="907" customWidth="1"/>
    <col min="9990" max="10240" width="9" style="907"/>
    <col min="10241" max="10241" width="31.875" style="907" customWidth="1"/>
    <col min="10242" max="10245" width="10.5" style="907" customWidth="1"/>
    <col min="10246" max="10496" width="9" style="907"/>
    <col min="10497" max="10497" width="31.875" style="907" customWidth="1"/>
    <col min="10498" max="10501" width="10.5" style="907" customWidth="1"/>
    <col min="10502" max="10752" width="9" style="907"/>
    <col min="10753" max="10753" width="31.875" style="907" customWidth="1"/>
    <col min="10754" max="10757" width="10.5" style="907" customWidth="1"/>
    <col min="10758" max="11008" width="9" style="907"/>
    <col min="11009" max="11009" width="31.875" style="907" customWidth="1"/>
    <col min="11010" max="11013" width="10.5" style="907" customWidth="1"/>
    <col min="11014" max="11264" width="9" style="907"/>
    <col min="11265" max="11265" width="31.875" style="907" customWidth="1"/>
    <col min="11266" max="11269" width="10.5" style="907" customWidth="1"/>
    <col min="11270" max="11520" width="9" style="907"/>
    <col min="11521" max="11521" width="31.875" style="907" customWidth="1"/>
    <col min="11522" max="11525" width="10.5" style="907" customWidth="1"/>
    <col min="11526" max="11776" width="9" style="907"/>
    <col min="11777" max="11777" width="31.875" style="907" customWidth="1"/>
    <col min="11778" max="11781" width="10.5" style="907" customWidth="1"/>
    <col min="11782" max="12032" width="9" style="907"/>
    <col min="12033" max="12033" width="31.875" style="907" customWidth="1"/>
    <col min="12034" max="12037" width="10.5" style="907" customWidth="1"/>
    <col min="12038" max="12288" width="9" style="907"/>
    <col min="12289" max="12289" width="31.875" style="907" customWidth="1"/>
    <col min="12290" max="12293" width="10.5" style="907" customWidth="1"/>
    <col min="12294" max="12544" width="9" style="907"/>
    <col min="12545" max="12545" width="31.875" style="907" customWidth="1"/>
    <col min="12546" max="12549" width="10.5" style="907" customWidth="1"/>
    <col min="12550" max="12800" width="9" style="907"/>
    <col min="12801" max="12801" width="31.875" style="907" customWidth="1"/>
    <col min="12802" max="12805" width="10.5" style="907" customWidth="1"/>
    <col min="12806" max="13056" width="9" style="907"/>
    <col min="13057" max="13057" width="31.875" style="907" customWidth="1"/>
    <col min="13058" max="13061" width="10.5" style="907" customWidth="1"/>
    <col min="13062" max="13312" width="9" style="907"/>
    <col min="13313" max="13313" width="31.875" style="907" customWidth="1"/>
    <col min="13314" max="13317" width="10.5" style="907" customWidth="1"/>
    <col min="13318" max="13568" width="9" style="907"/>
    <col min="13569" max="13569" width="31.875" style="907" customWidth="1"/>
    <col min="13570" max="13573" width="10.5" style="907" customWidth="1"/>
    <col min="13574" max="13824" width="9" style="907"/>
    <col min="13825" max="13825" width="31.875" style="907" customWidth="1"/>
    <col min="13826" max="13829" width="10.5" style="907" customWidth="1"/>
    <col min="13830" max="14080" width="9" style="907"/>
    <col min="14081" max="14081" width="31.875" style="907" customWidth="1"/>
    <col min="14082" max="14085" width="10.5" style="907" customWidth="1"/>
    <col min="14086" max="14336" width="9" style="907"/>
    <col min="14337" max="14337" width="31.875" style="907" customWidth="1"/>
    <col min="14338" max="14341" width="10.5" style="907" customWidth="1"/>
    <col min="14342" max="14592" width="9" style="907"/>
    <col min="14593" max="14593" width="31.875" style="907" customWidth="1"/>
    <col min="14594" max="14597" width="10.5" style="907" customWidth="1"/>
    <col min="14598" max="14848" width="9" style="907"/>
    <col min="14849" max="14849" width="31.875" style="907" customWidth="1"/>
    <col min="14850" max="14853" width="10.5" style="907" customWidth="1"/>
    <col min="14854" max="15104" width="9" style="907"/>
    <col min="15105" max="15105" width="31.875" style="907" customWidth="1"/>
    <col min="15106" max="15109" width="10.5" style="907" customWidth="1"/>
    <col min="15110" max="15360" width="9" style="907"/>
    <col min="15361" max="15361" width="31.875" style="907" customWidth="1"/>
    <col min="15362" max="15365" width="10.5" style="907" customWidth="1"/>
    <col min="15366" max="15616" width="9" style="907"/>
    <col min="15617" max="15617" width="31.875" style="907" customWidth="1"/>
    <col min="15618" max="15621" width="10.5" style="907" customWidth="1"/>
    <col min="15622" max="15872" width="9" style="907"/>
    <col min="15873" max="15873" width="31.875" style="907" customWidth="1"/>
    <col min="15874" max="15877" width="10.5" style="907" customWidth="1"/>
    <col min="15878" max="16128" width="9" style="907"/>
    <col min="16129" max="16129" width="31.875" style="907" customWidth="1"/>
    <col min="16130" max="16133" width="10.5" style="907" customWidth="1"/>
    <col min="16134" max="16384" width="9" style="907"/>
  </cols>
  <sheetData>
    <row r="1" spans="1:5" ht="15" x14ac:dyDescent="0.25">
      <c r="A1" s="1038" t="s">
        <v>1489</v>
      </c>
      <c r="B1" s="1039"/>
      <c r="C1" s="1039"/>
      <c r="D1" s="1039"/>
      <c r="E1" s="1039"/>
    </row>
    <row r="2" spans="1:5" ht="15" x14ac:dyDescent="0.25">
      <c r="A2" s="1039" t="s">
        <v>1490</v>
      </c>
      <c r="B2" s="1039"/>
      <c r="C2" s="1039"/>
      <c r="D2" s="1039"/>
      <c r="E2" s="1039"/>
    </row>
    <row r="3" spans="1:5" thickBot="1" x14ac:dyDescent="0.3">
      <c r="A3" s="929"/>
      <c r="B3" s="929"/>
      <c r="C3" s="929"/>
      <c r="D3" s="929"/>
      <c r="E3" s="929"/>
    </row>
    <row r="4" spans="1:5" ht="29.25" thickBot="1" x14ac:dyDescent="0.3">
      <c r="A4" s="908" t="s">
        <v>440</v>
      </c>
      <c r="B4" s="909" t="s">
        <v>1491</v>
      </c>
      <c r="C4" s="909" t="s">
        <v>1492</v>
      </c>
      <c r="D4" s="909" t="s">
        <v>1493</v>
      </c>
      <c r="E4" s="909" t="s">
        <v>1494</v>
      </c>
    </row>
    <row r="5" spans="1:5" x14ac:dyDescent="0.25">
      <c r="A5" s="910" t="s">
        <v>410</v>
      </c>
      <c r="B5" s="911">
        <v>13458</v>
      </c>
      <c r="C5" s="911">
        <v>2272</v>
      </c>
      <c r="D5" s="911"/>
      <c r="E5" s="912"/>
    </row>
    <row r="6" spans="1:5" ht="30.75" thickBot="1" x14ac:dyDescent="0.3">
      <c r="A6" s="913" t="s">
        <v>409</v>
      </c>
      <c r="B6" s="911">
        <v>3624</v>
      </c>
      <c r="C6" s="911">
        <v>454</v>
      </c>
      <c r="D6" s="911">
        <f>[3]élelmezés!B4</f>
        <v>11016</v>
      </c>
      <c r="E6" s="912">
        <f>[3]élelmezés!C4</f>
        <v>2974</v>
      </c>
    </row>
    <row r="7" spans="1:5" ht="17.25" thickTop="1" thickBot="1" x14ac:dyDescent="0.3">
      <c r="A7" s="914" t="s">
        <v>408</v>
      </c>
      <c r="B7" s="915">
        <f>SUM(B5:B6)</f>
        <v>17082</v>
      </c>
      <c r="C7" s="915">
        <f>SUM(C5:C6)</f>
        <v>2726</v>
      </c>
      <c r="D7" s="915">
        <f>SUM(D5:D6)</f>
        <v>11016</v>
      </c>
      <c r="E7" s="916">
        <f>SUM(E5:E6)</f>
        <v>2974</v>
      </c>
    </row>
    <row r="8" spans="1:5" ht="16.5" thickTop="1" x14ac:dyDescent="0.25">
      <c r="A8" s="917" t="s">
        <v>407</v>
      </c>
      <c r="B8" s="911">
        <v>6679</v>
      </c>
      <c r="C8" s="911">
        <v>532</v>
      </c>
      <c r="D8" s="911">
        <f>[3]élelmezés!B6</f>
        <v>3450</v>
      </c>
      <c r="E8" s="912">
        <f>[3]élelmezés!C6</f>
        <v>932</v>
      </c>
    </row>
    <row r="9" spans="1:5" x14ac:dyDescent="0.25">
      <c r="A9" s="910" t="s">
        <v>1495</v>
      </c>
      <c r="B9" s="911">
        <v>3317</v>
      </c>
      <c r="C9" s="911">
        <v>420</v>
      </c>
      <c r="D9" s="911">
        <f>[3]élelmezés!B7</f>
        <v>3477</v>
      </c>
      <c r="E9" s="912">
        <f>[3]élelmezés!C7</f>
        <v>939</v>
      </c>
    </row>
    <row r="10" spans="1:5" x14ac:dyDescent="0.25">
      <c r="A10" s="910" t="s">
        <v>406</v>
      </c>
      <c r="B10" s="911">
        <v>1900</v>
      </c>
      <c r="C10" s="911">
        <v>513</v>
      </c>
      <c r="D10" s="911">
        <f>[3]élelmezés!B8</f>
        <v>3427</v>
      </c>
      <c r="E10" s="912">
        <f>[3]élelmezés!C8</f>
        <v>925</v>
      </c>
    </row>
    <row r="11" spans="1:5" x14ac:dyDescent="0.25">
      <c r="A11" s="910" t="s">
        <v>405</v>
      </c>
      <c r="B11" s="911">
        <v>1854</v>
      </c>
      <c r="C11" s="911">
        <v>501</v>
      </c>
      <c r="D11" s="911">
        <f>[3]élelmezés!B9</f>
        <v>1438</v>
      </c>
      <c r="E11" s="912">
        <f>[3]élelmezés!C9</f>
        <v>388</v>
      </c>
    </row>
    <row r="12" spans="1:5" x14ac:dyDescent="0.25">
      <c r="A12" s="910" t="s">
        <v>1496</v>
      </c>
      <c r="B12" s="911">
        <v>5955</v>
      </c>
      <c r="C12" s="911">
        <v>489</v>
      </c>
      <c r="D12" s="911">
        <f>[3]élelmezés!B10</f>
        <v>4274</v>
      </c>
      <c r="E12" s="912">
        <f>[3]élelmezés!C10</f>
        <v>1154</v>
      </c>
    </row>
    <row r="13" spans="1:5" ht="16.5" thickBot="1" x14ac:dyDescent="0.3">
      <c r="A13" s="910" t="s">
        <v>1497</v>
      </c>
      <c r="B13" s="911">
        <v>3825</v>
      </c>
      <c r="C13" s="911">
        <v>373</v>
      </c>
      <c r="D13" s="911">
        <f>[3]élelmezés!B11</f>
        <v>3637</v>
      </c>
      <c r="E13" s="912">
        <f>[3]élelmezés!C11</f>
        <v>982</v>
      </c>
    </row>
    <row r="14" spans="1:5" ht="17.25" thickTop="1" thickBot="1" x14ac:dyDescent="0.3">
      <c r="A14" s="914" t="s">
        <v>404</v>
      </c>
      <c r="B14" s="915">
        <f>SUM(B8:B13)</f>
        <v>23530</v>
      </c>
      <c r="C14" s="915">
        <f>SUM(C8:C13)</f>
        <v>2828</v>
      </c>
      <c r="D14" s="915">
        <f>SUM(D8:D13)</f>
        <v>19703</v>
      </c>
      <c r="E14" s="916">
        <f>SUM(E8:E13)</f>
        <v>5320</v>
      </c>
    </row>
    <row r="15" spans="1:5" ht="16.5" thickTop="1" x14ac:dyDescent="0.25">
      <c r="A15" s="910" t="s">
        <v>403</v>
      </c>
      <c r="B15" s="911">
        <v>10520</v>
      </c>
      <c r="C15" s="911">
        <v>973</v>
      </c>
      <c r="D15" s="911">
        <v>30252</v>
      </c>
      <c r="E15" s="912">
        <v>8168</v>
      </c>
    </row>
    <row r="16" spans="1:5" x14ac:dyDescent="0.25">
      <c r="A16" s="910" t="s">
        <v>660</v>
      </c>
      <c r="B16" s="911">
        <v>9121</v>
      </c>
      <c r="C16" s="911">
        <v>971</v>
      </c>
      <c r="D16" s="911">
        <v>25794</v>
      </c>
      <c r="E16" s="912">
        <v>6964</v>
      </c>
    </row>
    <row r="17" spans="1:5" x14ac:dyDescent="0.25">
      <c r="A17" s="910" t="s">
        <v>973</v>
      </c>
      <c r="B17" s="911">
        <v>9923</v>
      </c>
      <c r="C17" s="911">
        <v>2679</v>
      </c>
      <c r="D17" s="911">
        <v>45835</v>
      </c>
      <c r="E17" s="912">
        <v>12375</v>
      </c>
    </row>
    <row r="18" spans="1:5" x14ac:dyDescent="0.25">
      <c r="A18" s="910" t="s">
        <v>402</v>
      </c>
      <c r="B18" s="911">
        <f>5519+429-2234</f>
        <v>3714</v>
      </c>
      <c r="C18" s="911">
        <f>882+116-229</f>
        <v>769</v>
      </c>
      <c r="D18" s="911">
        <f>34803+4894-9866</f>
        <v>29831</v>
      </c>
      <c r="E18" s="912">
        <f>9397+1321-2664</f>
        <v>8054</v>
      </c>
    </row>
    <row r="19" spans="1:5" x14ac:dyDescent="0.25">
      <c r="A19" s="910" t="s">
        <v>401</v>
      </c>
      <c r="B19" s="911">
        <v>11748</v>
      </c>
      <c r="C19" s="911">
        <v>1154</v>
      </c>
      <c r="D19" s="911">
        <v>27210</v>
      </c>
      <c r="E19" s="912">
        <v>7347</v>
      </c>
    </row>
    <row r="20" spans="1:5" x14ac:dyDescent="0.25">
      <c r="A20" s="910" t="s">
        <v>400</v>
      </c>
      <c r="B20" s="911">
        <v>5180</v>
      </c>
      <c r="C20" s="911">
        <v>1399</v>
      </c>
      <c r="D20" s="911">
        <v>22075</v>
      </c>
      <c r="E20" s="912">
        <v>5960</v>
      </c>
    </row>
    <row r="21" spans="1:5" x14ac:dyDescent="0.25">
      <c r="A21" s="910" t="s">
        <v>399</v>
      </c>
      <c r="B21" s="911">
        <v>7210</v>
      </c>
      <c r="C21" s="911">
        <v>1017</v>
      </c>
      <c r="D21" s="911">
        <v>31931</v>
      </c>
      <c r="E21" s="912">
        <v>8621</v>
      </c>
    </row>
    <row r="22" spans="1:5" x14ac:dyDescent="0.25">
      <c r="A22" s="910" t="s">
        <v>444</v>
      </c>
      <c r="B22" s="911">
        <f>7388+2234</f>
        <v>9622</v>
      </c>
      <c r="C22" s="911">
        <f>796+229</f>
        <v>1025</v>
      </c>
      <c r="D22" s="911">
        <f>30690+9866</f>
        <v>40556</v>
      </c>
      <c r="E22" s="912">
        <f>8286+2664</f>
        <v>10950</v>
      </c>
    </row>
    <row r="23" spans="1:5" x14ac:dyDescent="0.25">
      <c r="A23" s="910" t="s">
        <v>398</v>
      </c>
      <c r="B23" s="911">
        <v>791</v>
      </c>
      <c r="C23" s="911">
        <v>213</v>
      </c>
      <c r="D23" s="911">
        <v>4430</v>
      </c>
      <c r="E23" s="912">
        <v>1196</v>
      </c>
    </row>
    <row r="24" spans="1:5" x14ac:dyDescent="0.25">
      <c r="A24" s="910" t="s">
        <v>445</v>
      </c>
      <c r="B24" s="911">
        <v>12141</v>
      </c>
      <c r="C24" s="911">
        <v>1465</v>
      </c>
      <c r="D24" s="911">
        <v>33703</v>
      </c>
      <c r="E24" s="912">
        <v>9100</v>
      </c>
    </row>
    <row r="25" spans="1:5" x14ac:dyDescent="0.25">
      <c r="A25" s="910" t="s">
        <v>397</v>
      </c>
      <c r="B25" s="911">
        <v>8667</v>
      </c>
      <c r="C25" s="911">
        <v>1121</v>
      </c>
      <c r="D25" s="911">
        <v>27895</v>
      </c>
      <c r="E25" s="912">
        <v>7532</v>
      </c>
    </row>
    <row r="26" spans="1:5" ht="16.5" thickBot="1" x14ac:dyDescent="0.3">
      <c r="A26" s="910" t="s">
        <v>396</v>
      </c>
      <c r="B26" s="911">
        <v>8477</v>
      </c>
      <c r="C26" s="911">
        <v>795</v>
      </c>
      <c r="D26" s="911">
        <v>30657</v>
      </c>
      <c r="E26" s="912">
        <v>8277</v>
      </c>
    </row>
    <row r="27" spans="1:5" ht="17.25" thickTop="1" thickBot="1" x14ac:dyDescent="0.3">
      <c r="A27" s="914" t="s">
        <v>395</v>
      </c>
      <c r="B27" s="915">
        <f>SUM(B15:B26)</f>
        <v>97114</v>
      </c>
      <c r="C27" s="915">
        <f>SUM(C15:C26)</f>
        <v>13581</v>
      </c>
      <c r="D27" s="915">
        <f>SUM(D15:D26)</f>
        <v>350169</v>
      </c>
      <c r="E27" s="916">
        <f>SUM(E15:E26)</f>
        <v>94544</v>
      </c>
    </row>
    <row r="28" spans="1:5" ht="17.25" thickTop="1" thickBot="1" x14ac:dyDescent="0.3">
      <c r="A28" s="914" t="s">
        <v>1498</v>
      </c>
      <c r="B28" s="915">
        <f>SUM(B27+B14+B7)</f>
        <v>137726</v>
      </c>
      <c r="C28" s="915">
        <f>SUM(C27+C14+C7)</f>
        <v>19135</v>
      </c>
      <c r="D28" s="915">
        <f>SUM(D27+D14+D7)</f>
        <v>380888</v>
      </c>
      <c r="E28" s="916">
        <f>SUM(E27+E14+E7)</f>
        <v>102838</v>
      </c>
    </row>
    <row r="29" spans="1:5" ht="16.5" thickTop="1" x14ac:dyDescent="0.25">
      <c r="A29" s="910" t="s">
        <v>748</v>
      </c>
      <c r="B29" s="911">
        <v>34472</v>
      </c>
      <c r="C29" s="911">
        <v>8452</v>
      </c>
      <c r="D29" s="911">
        <f>[3]élelmezés!B27</f>
        <v>206135</v>
      </c>
      <c r="E29" s="912">
        <f>[3]élelmezés!C27</f>
        <v>55656</v>
      </c>
    </row>
    <row r="30" spans="1:5" ht="31.5" x14ac:dyDescent="0.25">
      <c r="A30" s="910" t="s">
        <v>796</v>
      </c>
      <c r="B30" s="911">
        <v>2120</v>
      </c>
      <c r="C30" s="911">
        <v>292</v>
      </c>
      <c r="D30" s="911"/>
      <c r="E30" s="912"/>
    </row>
    <row r="31" spans="1:5" ht="16.5" thickBot="1" x14ac:dyDescent="0.3">
      <c r="A31" s="910" t="s">
        <v>376</v>
      </c>
      <c r="B31" s="911">
        <v>15493</v>
      </c>
      <c r="C31" s="911">
        <v>4023</v>
      </c>
      <c r="D31" s="911">
        <f>[3]élelmezés!B29</f>
        <v>17360</v>
      </c>
      <c r="E31" s="912">
        <f>[3]élelmezés!C29</f>
        <v>4687</v>
      </c>
    </row>
    <row r="32" spans="1:5" ht="17.25" thickTop="1" thickBot="1" x14ac:dyDescent="0.3">
      <c r="A32" s="914" t="s">
        <v>393</v>
      </c>
      <c r="B32" s="915">
        <f>SUM(B29:B31)</f>
        <v>52085</v>
      </c>
      <c r="C32" s="915">
        <f>SUM(C29:C31)</f>
        <v>12767</v>
      </c>
      <c r="D32" s="915">
        <f>SUM(D29:D31)</f>
        <v>223495</v>
      </c>
      <c r="E32" s="916">
        <f>SUM(E29:E31)</f>
        <v>60343</v>
      </c>
    </row>
    <row r="33" spans="1:5" ht="17.25" thickTop="1" thickBot="1" x14ac:dyDescent="0.3">
      <c r="A33" s="914" t="s">
        <v>392</v>
      </c>
      <c r="B33" s="915">
        <v>56884</v>
      </c>
      <c r="C33" s="915">
        <v>0</v>
      </c>
      <c r="D33" s="915">
        <f>820061-205102</f>
        <v>614959</v>
      </c>
      <c r="E33" s="916">
        <f>221416-55377</f>
        <v>166039</v>
      </c>
    </row>
    <row r="34" spans="1:5" ht="16.5" thickTop="1" x14ac:dyDescent="0.25">
      <c r="A34" s="910" t="s">
        <v>1499</v>
      </c>
      <c r="B34" s="911">
        <v>2596</v>
      </c>
      <c r="C34" s="911">
        <v>245</v>
      </c>
      <c r="D34" s="911"/>
      <c r="E34" s="912"/>
    </row>
    <row r="35" spans="1:5" x14ac:dyDescent="0.25">
      <c r="A35" s="910" t="s">
        <v>390</v>
      </c>
      <c r="B35" s="911">
        <v>14388</v>
      </c>
      <c r="C35" s="911">
        <v>1644</v>
      </c>
      <c r="D35" s="911"/>
      <c r="E35" s="912"/>
    </row>
    <row r="36" spans="1:5" x14ac:dyDescent="0.25">
      <c r="A36" s="910" t="s">
        <v>389</v>
      </c>
      <c r="B36" s="911">
        <v>33145</v>
      </c>
      <c r="C36" s="911">
        <v>5557</v>
      </c>
      <c r="D36" s="911"/>
      <c r="E36" s="912"/>
    </row>
    <row r="37" spans="1:5" x14ac:dyDescent="0.25">
      <c r="A37" s="918" t="s">
        <v>1500</v>
      </c>
      <c r="B37" s="911">
        <v>1156</v>
      </c>
      <c r="C37" s="911">
        <v>312</v>
      </c>
      <c r="D37" s="911"/>
      <c r="E37" s="912"/>
    </row>
    <row r="38" spans="1:5" x14ac:dyDescent="0.25">
      <c r="A38" s="910" t="s">
        <v>1501</v>
      </c>
      <c r="B38" s="911">
        <v>6579</v>
      </c>
      <c r="C38" s="911">
        <v>1776</v>
      </c>
      <c r="D38" s="911"/>
      <c r="E38" s="912"/>
    </row>
    <row r="39" spans="1:5" x14ac:dyDescent="0.25">
      <c r="A39" s="918" t="s">
        <v>387</v>
      </c>
      <c r="B39" s="911">
        <v>50486</v>
      </c>
      <c r="C39" s="911">
        <v>9222</v>
      </c>
      <c r="D39" s="911"/>
      <c r="E39" s="912"/>
    </row>
    <row r="40" spans="1:5" x14ac:dyDescent="0.25">
      <c r="A40" s="910" t="s">
        <v>564</v>
      </c>
      <c r="B40" s="911">
        <v>491</v>
      </c>
      <c r="C40" s="911">
        <v>132</v>
      </c>
      <c r="D40" s="911"/>
      <c r="E40" s="912"/>
    </row>
    <row r="41" spans="1:5" ht="32.25" thickBot="1" x14ac:dyDescent="0.3">
      <c r="A41" s="969" t="s">
        <v>1512</v>
      </c>
      <c r="B41" s="911">
        <v>15744</v>
      </c>
      <c r="C41" s="911">
        <v>2586</v>
      </c>
      <c r="D41" s="911"/>
      <c r="E41" s="912"/>
    </row>
    <row r="42" spans="1:5" ht="17.25" thickTop="1" thickBot="1" x14ac:dyDescent="0.3">
      <c r="A42" s="919" t="s">
        <v>976</v>
      </c>
      <c r="B42" s="915">
        <f>SUM(B34:B41)</f>
        <v>124585</v>
      </c>
      <c r="C42" s="915">
        <f>SUM(C34:C41)</f>
        <v>21474</v>
      </c>
      <c r="D42" s="915">
        <f>SUM(D34:D41)</f>
        <v>0</v>
      </c>
      <c r="E42" s="916">
        <f>SUM(E34:E41)</f>
        <v>0</v>
      </c>
    </row>
    <row r="43" spans="1:5" ht="17.25" thickTop="1" thickBot="1" x14ac:dyDescent="0.3">
      <c r="A43" s="920" t="s">
        <v>1502</v>
      </c>
      <c r="B43" s="921">
        <f>SUM(B28+B32+B33+B42)</f>
        <v>371280</v>
      </c>
      <c r="C43" s="921">
        <f>SUM(C28+C32+C33+C42)</f>
        <v>53376</v>
      </c>
      <c r="D43" s="921">
        <f>SUM(D28+D32+D33+D42)</f>
        <v>1219342</v>
      </c>
      <c r="E43" s="922">
        <f>SUM(E28+E32+E33+E42)</f>
        <v>329220</v>
      </c>
    </row>
    <row r="44" spans="1:5" ht="16.5" thickBot="1" x14ac:dyDescent="0.3">
      <c r="A44" s="910" t="s">
        <v>382</v>
      </c>
      <c r="B44" s="911">
        <v>49194</v>
      </c>
      <c r="C44" s="911">
        <v>7206</v>
      </c>
      <c r="D44" s="911"/>
      <c r="E44" s="912"/>
    </row>
    <row r="45" spans="1:5" ht="17.25" thickTop="1" thickBot="1" x14ac:dyDescent="0.3">
      <c r="A45" s="920" t="s">
        <v>1503</v>
      </c>
      <c r="B45" s="921">
        <f>B44+B43</f>
        <v>420474</v>
      </c>
      <c r="C45" s="921">
        <f>C44+C43</f>
        <v>60582</v>
      </c>
      <c r="D45" s="921">
        <f>D44+D43</f>
        <v>1219342</v>
      </c>
      <c r="E45" s="922">
        <f>E44+E43</f>
        <v>329220</v>
      </c>
    </row>
    <row r="46" spans="1:5" ht="15" x14ac:dyDescent="0.25">
      <c r="A46" s="923"/>
      <c r="B46" s="924"/>
      <c r="C46" s="924"/>
      <c r="D46" s="924"/>
      <c r="E46" s="924"/>
    </row>
    <row r="47" spans="1:5" ht="15" x14ac:dyDescent="0.25">
      <c r="A47" s="923"/>
      <c r="B47" s="924"/>
      <c r="C47" s="924"/>
      <c r="D47" s="924"/>
      <c r="E47" s="924"/>
    </row>
    <row r="48" spans="1:5" ht="15" x14ac:dyDescent="0.25">
      <c r="A48" s="923"/>
      <c r="B48" s="924"/>
      <c r="C48" s="924"/>
      <c r="D48" s="924"/>
      <c r="E48" s="924"/>
    </row>
    <row r="49" spans="1:5" ht="15" x14ac:dyDescent="0.25">
      <c r="A49" s="923"/>
      <c r="B49" s="924"/>
      <c r="C49" s="924"/>
      <c r="D49" s="924"/>
      <c r="E49" s="924"/>
    </row>
    <row r="50" spans="1:5" x14ac:dyDescent="0.25">
      <c r="A50" s="925"/>
      <c r="B50" s="926"/>
      <c r="C50" s="926"/>
      <c r="D50" s="926"/>
      <c r="E50" s="926"/>
    </row>
    <row r="51" spans="1:5" x14ac:dyDescent="0.25">
      <c r="A51" s="925"/>
      <c r="B51" s="926"/>
      <c r="C51" s="926"/>
      <c r="D51" s="926"/>
      <c r="E51" s="926"/>
    </row>
    <row r="52" spans="1:5" x14ac:dyDescent="0.25">
      <c r="A52" s="925"/>
      <c r="B52" s="926"/>
      <c r="C52" s="926"/>
      <c r="D52" s="926"/>
      <c r="E52" s="926"/>
    </row>
    <row r="53" spans="1:5" x14ac:dyDescent="0.25">
      <c r="A53" s="925"/>
      <c r="B53" s="926"/>
      <c r="C53" s="926"/>
      <c r="D53" s="926"/>
      <c r="E53" s="926"/>
    </row>
    <row r="54" spans="1:5" x14ac:dyDescent="0.25">
      <c r="A54" s="925"/>
      <c r="B54" s="926"/>
      <c r="C54" s="926"/>
      <c r="D54" s="926"/>
      <c r="E54" s="926"/>
    </row>
    <row r="55" spans="1:5" x14ac:dyDescent="0.25">
      <c r="A55" s="925"/>
      <c r="B55" s="926"/>
      <c r="C55" s="926"/>
      <c r="D55" s="926"/>
      <c r="E55" s="926"/>
    </row>
    <row r="56" spans="1:5" x14ac:dyDescent="0.25">
      <c r="A56" s="925"/>
      <c r="B56" s="926"/>
      <c r="C56" s="926"/>
      <c r="D56" s="926"/>
      <c r="E56" s="926"/>
    </row>
    <row r="57" spans="1:5" x14ac:dyDescent="0.25">
      <c r="A57" s="925"/>
      <c r="B57" s="926"/>
      <c r="C57" s="926"/>
      <c r="D57" s="926"/>
      <c r="E57" s="926"/>
    </row>
    <row r="58" spans="1:5" x14ac:dyDescent="0.25">
      <c r="A58" s="925"/>
      <c r="B58" s="926"/>
      <c r="C58" s="926"/>
      <c r="D58" s="926"/>
      <c r="E58" s="926"/>
    </row>
    <row r="59" spans="1:5" x14ac:dyDescent="0.25">
      <c r="A59" s="925"/>
      <c r="B59" s="926"/>
      <c r="C59" s="926"/>
      <c r="D59" s="926"/>
      <c r="E59" s="926"/>
    </row>
    <row r="60" spans="1:5" x14ac:dyDescent="0.25">
      <c r="A60" s="925"/>
      <c r="B60" s="926"/>
      <c r="C60" s="926"/>
      <c r="D60" s="926"/>
      <c r="E60" s="926"/>
    </row>
    <row r="61" spans="1:5" x14ac:dyDescent="0.25">
      <c r="A61" s="925"/>
      <c r="B61" s="926"/>
      <c r="C61" s="926"/>
      <c r="D61" s="926"/>
      <c r="E61" s="926"/>
    </row>
    <row r="62" spans="1:5" x14ac:dyDescent="0.25">
      <c r="A62" s="925"/>
      <c r="B62" s="926"/>
      <c r="C62" s="926"/>
      <c r="D62" s="926"/>
      <c r="E62" s="926"/>
    </row>
    <row r="63" spans="1:5" x14ac:dyDescent="0.25">
      <c r="A63" s="925"/>
      <c r="B63" s="926"/>
      <c r="C63" s="926"/>
      <c r="D63" s="926"/>
      <c r="E63" s="926"/>
    </row>
    <row r="64" spans="1:5" x14ac:dyDescent="0.25">
      <c r="A64" s="925"/>
      <c r="B64" s="926"/>
      <c r="C64" s="926"/>
      <c r="D64" s="926"/>
      <c r="E64" s="926"/>
    </row>
    <row r="65" spans="1:5" x14ac:dyDescent="0.25">
      <c r="A65" s="925"/>
      <c r="B65" s="926"/>
      <c r="C65" s="926"/>
      <c r="D65" s="926"/>
      <c r="E65" s="926"/>
    </row>
    <row r="66" spans="1:5" x14ac:dyDescent="0.25">
      <c r="A66" s="925"/>
      <c r="B66" s="926"/>
      <c r="C66" s="926"/>
      <c r="D66" s="926"/>
      <c r="E66" s="926"/>
    </row>
    <row r="67" spans="1:5" x14ac:dyDescent="0.25">
      <c r="A67" s="925"/>
      <c r="B67" s="926"/>
      <c r="C67" s="926"/>
      <c r="D67" s="926"/>
      <c r="E67" s="926"/>
    </row>
    <row r="68" spans="1:5" x14ac:dyDescent="0.25">
      <c r="A68" s="925"/>
      <c r="B68" s="926"/>
      <c r="C68" s="926"/>
      <c r="D68" s="926"/>
      <c r="E68" s="926"/>
    </row>
    <row r="69" spans="1:5" x14ac:dyDescent="0.25">
      <c r="A69" s="925"/>
      <c r="B69" s="926"/>
      <c r="C69" s="926"/>
      <c r="D69" s="926"/>
      <c r="E69" s="926"/>
    </row>
    <row r="70" spans="1:5" x14ac:dyDescent="0.25">
      <c r="A70" s="925"/>
      <c r="B70" s="926"/>
      <c r="C70" s="926"/>
      <c r="D70" s="926"/>
      <c r="E70" s="926"/>
    </row>
    <row r="71" spans="1:5" x14ac:dyDescent="0.25">
      <c r="A71" s="925"/>
      <c r="B71" s="926"/>
      <c r="C71" s="926"/>
      <c r="D71" s="926"/>
      <c r="E71" s="926"/>
    </row>
    <row r="72" spans="1:5" x14ac:dyDescent="0.25">
      <c r="A72" s="925"/>
      <c r="B72" s="926"/>
      <c r="C72" s="926"/>
      <c r="D72" s="926"/>
      <c r="E72" s="926"/>
    </row>
    <row r="73" spans="1:5" x14ac:dyDescent="0.25">
      <c r="A73" s="925"/>
      <c r="B73" s="926"/>
      <c r="C73" s="926"/>
      <c r="D73" s="926"/>
      <c r="E73" s="926"/>
    </row>
    <row r="74" spans="1:5" x14ac:dyDescent="0.25">
      <c r="A74" s="925"/>
      <c r="B74" s="926"/>
      <c r="C74" s="926"/>
      <c r="D74" s="926"/>
      <c r="E74" s="926"/>
    </row>
    <row r="75" spans="1:5" x14ac:dyDescent="0.25">
      <c r="A75" s="925"/>
      <c r="B75" s="926"/>
      <c r="C75" s="926"/>
      <c r="D75" s="926"/>
      <c r="E75" s="926"/>
    </row>
    <row r="76" spans="1:5" x14ac:dyDescent="0.25">
      <c r="A76" s="925"/>
      <c r="B76" s="926"/>
      <c r="C76" s="926"/>
      <c r="D76" s="926"/>
      <c r="E76" s="926"/>
    </row>
    <row r="77" spans="1:5" x14ac:dyDescent="0.25">
      <c r="A77" s="925"/>
      <c r="B77" s="926"/>
      <c r="C77" s="926"/>
      <c r="D77" s="926"/>
      <c r="E77" s="926"/>
    </row>
    <row r="78" spans="1:5" x14ac:dyDescent="0.25">
      <c r="A78" s="925"/>
      <c r="B78" s="926"/>
      <c r="C78" s="926"/>
      <c r="D78" s="926"/>
      <c r="E78" s="926"/>
    </row>
    <row r="79" spans="1:5" x14ac:dyDescent="0.25">
      <c r="A79" s="925"/>
      <c r="B79" s="926"/>
      <c r="C79" s="926"/>
      <c r="D79" s="926"/>
      <c r="E79" s="926"/>
    </row>
    <row r="80" spans="1:5" x14ac:dyDescent="0.25">
      <c r="A80" s="925"/>
      <c r="B80" s="926"/>
      <c r="C80" s="926"/>
      <c r="D80" s="926"/>
      <c r="E80" s="926"/>
    </row>
    <row r="81" spans="1:5" x14ac:dyDescent="0.25">
      <c r="A81" s="925"/>
      <c r="B81" s="926"/>
      <c r="C81" s="926"/>
      <c r="D81" s="926"/>
      <c r="E81" s="926"/>
    </row>
    <row r="82" spans="1:5" x14ac:dyDescent="0.25">
      <c r="A82" s="925"/>
      <c r="B82" s="926"/>
      <c r="C82" s="926"/>
      <c r="D82" s="926"/>
      <c r="E82" s="926"/>
    </row>
    <row r="83" spans="1:5" x14ac:dyDescent="0.25">
      <c r="A83" s="925"/>
      <c r="B83" s="926"/>
      <c r="C83" s="926"/>
      <c r="D83" s="926"/>
      <c r="E83" s="926"/>
    </row>
    <row r="84" spans="1:5" x14ac:dyDescent="0.25">
      <c r="A84" s="925"/>
      <c r="B84" s="926"/>
      <c r="C84" s="926"/>
      <c r="D84" s="926"/>
      <c r="E84" s="926"/>
    </row>
    <row r="85" spans="1:5" x14ac:dyDescent="0.25">
      <c r="A85" s="925"/>
      <c r="B85" s="926"/>
      <c r="C85" s="926"/>
      <c r="D85" s="926"/>
      <c r="E85" s="926"/>
    </row>
    <row r="86" spans="1:5" x14ac:dyDescent="0.25">
      <c r="A86" s="925"/>
      <c r="B86" s="926"/>
      <c r="C86" s="926"/>
      <c r="D86" s="926"/>
      <c r="E86" s="926"/>
    </row>
    <row r="87" spans="1:5" x14ac:dyDescent="0.25">
      <c r="A87" s="925"/>
      <c r="B87" s="926"/>
      <c r="C87" s="926"/>
      <c r="D87" s="926"/>
      <c r="E87" s="926"/>
    </row>
    <row r="88" spans="1:5" x14ac:dyDescent="0.25">
      <c r="A88" s="925"/>
      <c r="B88" s="926"/>
      <c r="C88" s="926"/>
      <c r="D88" s="926"/>
      <c r="E88" s="926"/>
    </row>
    <row r="89" spans="1:5" x14ac:dyDescent="0.25">
      <c r="A89" s="925"/>
      <c r="B89" s="926"/>
      <c r="C89" s="926"/>
      <c r="D89" s="926"/>
      <c r="E89" s="926"/>
    </row>
    <row r="90" spans="1:5" x14ac:dyDescent="0.25">
      <c r="A90" s="925"/>
      <c r="B90" s="926"/>
      <c r="C90" s="926"/>
      <c r="D90" s="926"/>
      <c r="E90" s="926"/>
    </row>
    <row r="91" spans="1:5" x14ac:dyDescent="0.25">
      <c r="A91" s="925"/>
      <c r="B91" s="926"/>
      <c r="C91" s="926"/>
      <c r="D91" s="926"/>
      <c r="E91" s="926"/>
    </row>
    <row r="92" spans="1:5" x14ac:dyDescent="0.25">
      <c r="A92" s="925"/>
      <c r="B92" s="926"/>
      <c r="C92" s="926"/>
      <c r="D92" s="926"/>
      <c r="E92" s="926"/>
    </row>
    <row r="93" spans="1:5" x14ac:dyDescent="0.25">
      <c r="A93" s="925"/>
      <c r="B93" s="926"/>
      <c r="C93" s="926"/>
      <c r="D93" s="926"/>
      <c r="E93" s="926"/>
    </row>
    <row r="94" spans="1:5" x14ac:dyDescent="0.25">
      <c r="A94" s="925"/>
      <c r="B94" s="926"/>
      <c r="C94" s="926"/>
      <c r="D94" s="926"/>
      <c r="E94" s="926"/>
    </row>
    <row r="95" spans="1:5" x14ac:dyDescent="0.25">
      <c r="A95" s="925"/>
      <c r="B95" s="926"/>
      <c r="C95" s="926"/>
      <c r="D95" s="926"/>
      <c r="E95" s="926"/>
    </row>
    <row r="96" spans="1:5" x14ac:dyDescent="0.25">
      <c r="A96" s="925"/>
      <c r="B96" s="926"/>
      <c r="C96" s="926"/>
      <c r="D96" s="926"/>
      <c r="E96" s="926"/>
    </row>
    <row r="97" spans="1:5" x14ac:dyDescent="0.25">
      <c r="A97" s="925"/>
      <c r="B97" s="926"/>
      <c r="C97" s="926"/>
      <c r="D97" s="926"/>
      <c r="E97" s="926"/>
    </row>
    <row r="98" spans="1:5" x14ac:dyDescent="0.25">
      <c r="A98" s="925"/>
      <c r="B98" s="926"/>
      <c r="C98" s="926"/>
      <c r="D98" s="926"/>
      <c r="E98" s="926"/>
    </row>
    <row r="99" spans="1:5" x14ac:dyDescent="0.25">
      <c r="A99" s="925"/>
      <c r="B99" s="926"/>
      <c r="C99" s="926"/>
      <c r="D99" s="926"/>
      <c r="E99" s="926"/>
    </row>
    <row r="100" spans="1:5" x14ac:dyDescent="0.25">
      <c r="A100" s="925"/>
      <c r="B100" s="926"/>
      <c r="C100" s="926"/>
      <c r="D100" s="926"/>
      <c r="E100" s="926"/>
    </row>
    <row r="101" spans="1:5" x14ac:dyDescent="0.25">
      <c r="A101" s="925"/>
      <c r="B101" s="926"/>
      <c r="C101" s="926"/>
      <c r="D101" s="926"/>
      <c r="E101" s="926"/>
    </row>
    <row r="102" spans="1:5" x14ac:dyDescent="0.25">
      <c r="A102" s="925"/>
      <c r="B102" s="926"/>
      <c r="C102" s="926"/>
      <c r="D102" s="926"/>
      <c r="E102" s="926"/>
    </row>
    <row r="103" spans="1:5" x14ac:dyDescent="0.25">
      <c r="A103" s="925"/>
      <c r="B103" s="926"/>
      <c r="C103" s="926"/>
      <c r="D103" s="926"/>
      <c r="E103" s="926"/>
    </row>
    <row r="104" spans="1:5" x14ac:dyDescent="0.25">
      <c r="A104" s="925"/>
      <c r="B104" s="926"/>
      <c r="C104" s="926"/>
      <c r="D104" s="926"/>
      <c r="E104" s="926"/>
    </row>
    <row r="105" spans="1:5" x14ac:dyDescent="0.25">
      <c r="A105" s="925"/>
      <c r="B105" s="926"/>
      <c r="C105" s="926"/>
      <c r="D105" s="926"/>
      <c r="E105" s="926"/>
    </row>
    <row r="106" spans="1:5" x14ac:dyDescent="0.25">
      <c r="A106" s="925"/>
      <c r="B106" s="926"/>
      <c r="C106" s="926"/>
      <c r="D106" s="926"/>
      <c r="E106" s="926"/>
    </row>
    <row r="107" spans="1:5" x14ac:dyDescent="0.25">
      <c r="A107" s="925"/>
      <c r="B107" s="926"/>
      <c r="C107" s="926"/>
      <c r="D107" s="926"/>
      <c r="E107" s="926"/>
    </row>
    <row r="108" spans="1:5" x14ac:dyDescent="0.25">
      <c r="A108" s="925"/>
      <c r="B108" s="926"/>
      <c r="C108" s="926"/>
      <c r="D108" s="926"/>
      <c r="E108" s="926"/>
    </row>
    <row r="109" spans="1:5" x14ac:dyDescent="0.25">
      <c r="A109" s="925"/>
      <c r="B109" s="926"/>
      <c r="C109" s="926"/>
      <c r="D109" s="926"/>
      <c r="E109" s="926"/>
    </row>
    <row r="110" spans="1:5" x14ac:dyDescent="0.25">
      <c r="A110" s="925"/>
      <c r="B110" s="926"/>
      <c r="C110" s="926"/>
      <c r="D110" s="926"/>
      <c r="E110" s="926"/>
    </row>
    <row r="111" spans="1:5" x14ac:dyDescent="0.25">
      <c r="A111" s="925"/>
      <c r="B111" s="926"/>
      <c r="C111" s="926"/>
      <c r="D111" s="926"/>
      <c r="E111" s="926"/>
    </row>
    <row r="112" spans="1:5" x14ac:dyDescent="0.25">
      <c r="A112" s="925"/>
      <c r="B112" s="926"/>
      <c r="C112" s="926"/>
      <c r="D112" s="926"/>
      <c r="E112" s="926"/>
    </row>
    <row r="113" spans="1:5" x14ac:dyDescent="0.25">
      <c r="A113" s="925"/>
      <c r="B113" s="926"/>
      <c r="C113" s="926"/>
      <c r="D113" s="926"/>
      <c r="E113" s="926"/>
    </row>
    <row r="114" spans="1:5" x14ac:dyDescent="0.25">
      <c r="A114" s="925"/>
      <c r="B114" s="926"/>
      <c r="C114" s="926"/>
      <c r="D114" s="926"/>
      <c r="E114" s="926"/>
    </row>
    <row r="115" spans="1:5" x14ac:dyDescent="0.25">
      <c r="A115" s="925"/>
      <c r="B115" s="926"/>
      <c r="C115" s="926"/>
      <c r="D115" s="926"/>
      <c r="E115" s="926"/>
    </row>
    <row r="116" spans="1:5" x14ac:dyDescent="0.25">
      <c r="A116" s="925"/>
      <c r="B116" s="926"/>
      <c r="C116" s="926"/>
      <c r="D116" s="926"/>
      <c r="E116" s="926"/>
    </row>
    <row r="117" spans="1:5" x14ac:dyDescent="0.25">
      <c r="A117" s="925"/>
      <c r="B117" s="926"/>
      <c r="C117" s="926"/>
      <c r="D117" s="926"/>
      <c r="E117" s="926"/>
    </row>
    <row r="118" spans="1:5" x14ac:dyDescent="0.25">
      <c r="A118" s="925"/>
      <c r="B118" s="926"/>
      <c r="C118" s="926"/>
      <c r="D118" s="926"/>
      <c r="E118" s="926"/>
    </row>
    <row r="119" spans="1:5" x14ac:dyDescent="0.25">
      <c r="A119" s="925"/>
      <c r="B119" s="926"/>
      <c r="C119" s="926"/>
      <c r="D119" s="926"/>
      <c r="E119" s="926"/>
    </row>
    <row r="120" spans="1:5" x14ac:dyDescent="0.25">
      <c r="A120" s="925"/>
      <c r="B120" s="926"/>
      <c r="C120" s="926"/>
      <c r="D120" s="926"/>
      <c r="E120" s="926"/>
    </row>
    <row r="121" spans="1:5" x14ac:dyDescent="0.25">
      <c r="A121" s="925"/>
      <c r="B121" s="926"/>
      <c r="C121" s="926"/>
      <c r="D121" s="926"/>
      <c r="E121" s="926"/>
    </row>
    <row r="122" spans="1:5" x14ac:dyDescent="0.25">
      <c r="A122" s="925"/>
      <c r="B122" s="926"/>
      <c r="C122" s="926"/>
      <c r="D122" s="926"/>
      <c r="E122" s="926"/>
    </row>
    <row r="123" spans="1:5" x14ac:dyDescent="0.25">
      <c r="A123" s="925"/>
      <c r="B123" s="926"/>
      <c r="C123" s="926"/>
      <c r="D123" s="926"/>
      <c r="E123" s="926"/>
    </row>
    <row r="124" spans="1:5" x14ac:dyDescent="0.25">
      <c r="A124" s="925"/>
      <c r="B124" s="926"/>
      <c r="C124" s="926"/>
      <c r="D124" s="926"/>
      <c r="E124" s="926"/>
    </row>
    <row r="125" spans="1:5" x14ac:dyDescent="0.25">
      <c r="A125" s="925"/>
      <c r="B125" s="926"/>
      <c r="C125" s="926"/>
      <c r="D125" s="926"/>
      <c r="E125" s="926"/>
    </row>
    <row r="126" spans="1:5" x14ac:dyDescent="0.25">
      <c r="A126" s="925"/>
      <c r="B126" s="926"/>
      <c r="C126" s="926"/>
      <c r="D126" s="926"/>
      <c r="E126" s="926"/>
    </row>
    <row r="127" spans="1:5" x14ac:dyDescent="0.25">
      <c r="A127" s="925"/>
      <c r="B127" s="926"/>
      <c r="C127" s="926"/>
      <c r="D127" s="926"/>
      <c r="E127" s="926"/>
    </row>
    <row r="128" spans="1:5" x14ac:dyDescent="0.25">
      <c r="A128" s="925"/>
      <c r="B128" s="926"/>
      <c r="C128" s="926"/>
      <c r="D128" s="926"/>
      <c r="E128" s="926"/>
    </row>
    <row r="129" spans="1:5" x14ac:dyDescent="0.25">
      <c r="A129" s="925"/>
      <c r="B129" s="926"/>
      <c r="C129" s="926"/>
      <c r="D129" s="926"/>
      <c r="E129" s="926"/>
    </row>
    <row r="130" spans="1:5" x14ac:dyDescent="0.25">
      <c r="A130" s="925"/>
      <c r="B130" s="926"/>
      <c r="C130" s="926"/>
      <c r="D130" s="926"/>
      <c r="E130" s="926"/>
    </row>
    <row r="131" spans="1:5" x14ac:dyDescent="0.25">
      <c r="A131" s="925"/>
      <c r="B131" s="926"/>
      <c r="C131" s="926"/>
      <c r="D131" s="926"/>
      <c r="E131" s="926"/>
    </row>
    <row r="132" spans="1:5" x14ac:dyDescent="0.25">
      <c r="A132" s="925"/>
      <c r="B132" s="926"/>
      <c r="C132" s="926"/>
      <c r="D132" s="926"/>
      <c r="E132" s="926"/>
    </row>
    <row r="133" spans="1:5" x14ac:dyDescent="0.25">
      <c r="A133" s="925"/>
      <c r="B133" s="926"/>
      <c r="C133" s="926"/>
      <c r="D133" s="926"/>
      <c r="E133" s="926"/>
    </row>
    <row r="134" spans="1:5" x14ac:dyDescent="0.25">
      <c r="A134" s="925"/>
      <c r="B134" s="926"/>
      <c r="C134" s="926"/>
      <c r="D134" s="926"/>
      <c r="E134" s="926"/>
    </row>
    <row r="135" spans="1:5" x14ac:dyDescent="0.25">
      <c r="A135" s="925"/>
      <c r="B135" s="926"/>
      <c r="C135" s="926"/>
      <c r="D135" s="926"/>
      <c r="E135" s="926"/>
    </row>
    <row r="136" spans="1:5" x14ac:dyDescent="0.25">
      <c r="A136" s="925"/>
      <c r="B136" s="926"/>
      <c r="C136" s="926"/>
      <c r="D136" s="926"/>
      <c r="E136" s="926"/>
    </row>
    <row r="137" spans="1:5" x14ac:dyDescent="0.25">
      <c r="A137" s="925"/>
      <c r="B137" s="926"/>
      <c r="C137" s="926"/>
      <c r="D137" s="926"/>
      <c r="E137" s="926"/>
    </row>
    <row r="138" spans="1:5" x14ac:dyDescent="0.25">
      <c r="A138" s="925"/>
      <c r="B138" s="926"/>
      <c r="C138" s="926"/>
      <c r="D138" s="926"/>
      <c r="E138" s="926"/>
    </row>
    <row r="139" spans="1:5" x14ac:dyDescent="0.25">
      <c r="A139" s="925"/>
      <c r="B139" s="926"/>
      <c r="C139" s="926"/>
      <c r="D139" s="926"/>
      <c r="E139" s="926"/>
    </row>
    <row r="140" spans="1:5" x14ac:dyDescent="0.25">
      <c r="A140" s="925"/>
      <c r="B140" s="926"/>
      <c r="C140" s="926"/>
      <c r="D140" s="926"/>
      <c r="E140" s="926"/>
    </row>
    <row r="141" spans="1:5" x14ac:dyDescent="0.25">
      <c r="A141" s="925"/>
      <c r="B141" s="926"/>
      <c r="C141" s="926"/>
      <c r="D141" s="926"/>
      <c r="E141" s="926"/>
    </row>
    <row r="142" spans="1:5" x14ac:dyDescent="0.25">
      <c r="A142" s="925"/>
      <c r="B142" s="926"/>
      <c r="C142" s="926"/>
      <c r="D142" s="926"/>
      <c r="E142" s="926"/>
    </row>
    <row r="143" spans="1:5" x14ac:dyDescent="0.25">
      <c r="A143" s="925"/>
      <c r="B143" s="926"/>
      <c r="C143" s="926"/>
      <c r="D143" s="926"/>
      <c r="E143" s="926"/>
    </row>
    <row r="144" spans="1:5" x14ac:dyDescent="0.25">
      <c r="A144" s="925"/>
      <c r="B144" s="926"/>
      <c r="C144" s="926"/>
      <c r="D144" s="926"/>
      <c r="E144" s="926"/>
    </row>
    <row r="145" spans="1:5" x14ac:dyDescent="0.25">
      <c r="A145" s="925"/>
      <c r="B145" s="926"/>
      <c r="C145" s="926"/>
      <c r="D145" s="926"/>
      <c r="E145" s="926"/>
    </row>
    <row r="146" spans="1:5" x14ac:dyDescent="0.25">
      <c r="A146" s="925"/>
      <c r="B146" s="926"/>
      <c r="C146" s="926"/>
      <c r="D146" s="926"/>
      <c r="E146" s="926"/>
    </row>
    <row r="147" spans="1:5" x14ac:dyDescent="0.25">
      <c r="A147" s="925"/>
      <c r="B147" s="926"/>
      <c r="C147" s="926"/>
      <c r="D147" s="926"/>
      <c r="E147" s="926"/>
    </row>
    <row r="148" spans="1:5" x14ac:dyDescent="0.25">
      <c r="A148" s="925"/>
      <c r="B148" s="926"/>
      <c r="C148" s="926"/>
      <c r="D148" s="926"/>
      <c r="E148" s="926"/>
    </row>
    <row r="149" spans="1:5" x14ac:dyDescent="0.25">
      <c r="A149" s="925"/>
      <c r="B149" s="926"/>
      <c r="C149" s="926"/>
      <c r="D149" s="926"/>
      <c r="E149" s="926"/>
    </row>
    <row r="150" spans="1:5" x14ac:dyDescent="0.25">
      <c r="A150" s="925"/>
      <c r="B150" s="926"/>
      <c r="C150" s="926"/>
      <c r="D150" s="926"/>
      <c r="E150" s="926"/>
    </row>
    <row r="151" spans="1:5" x14ac:dyDescent="0.25">
      <c r="A151" s="925"/>
      <c r="B151" s="926"/>
      <c r="C151" s="926"/>
      <c r="D151" s="926"/>
      <c r="E151" s="926"/>
    </row>
    <row r="152" spans="1:5" x14ac:dyDescent="0.25">
      <c r="A152" s="925"/>
      <c r="B152" s="926"/>
      <c r="C152" s="926"/>
      <c r="D152" s="926"/>
      <c r="E152" s="926"/>
    </row>
    <row r="153" spans="1:5" x14ac:dyDescent="0.25">
      <c r="A153" s="925"/>
      <c r="B153" s="926"/>
      <c r="C153" s="926"/>
      <c r="D153" s="926"/>
      <c r="E153" s="926"/>
    </row>
    <row r="154" spans="1:5" x14ac:dyDescent="0.25">
      <c r="A154" s="925"/>
      <c r="B154" s="926"/>
      <c r="C154" s="926"/>
      <c r="D154" s="926"/>
      <c r="E154" s="926"/>
    </row>
    <row r="155" spans="1:5" x14ac:dyDescent="0.25">
      <c r="A155" s="925"/>
      <c r="B155" s="926"/>
      <c r="C155" s="926"/>
      <c r="D155" s="926"/>
      <c r="E155" s="926"/>
    </row>
    <row r="156" spans="1:5" x14ac:dyDescent="0.25">
      <c r="A156" s="925"/>
      <c r="B156" s="926"/>
      <c r="C156" s="926"/>
      <c r="D156" s="926"/>
      <c r="E156" s="926"/>
    </row>
    <row r="157" spans="1:5" x14ac:dyDescent="0.25">
      <c r="A157" s="925"/>
      <c r="B157" s="926"/>
      <c r="C157" s="926"/>
      <c r="D157" s="926"/>
      <c r="E157" s="926"/>
    </row>
    <row r="158" spans="1:5" x14ac:dyDescent="0.25">
      <c r="A158" s="925"/>
      <c r="B158" s="926"/>
      <c r="C158" s="926"/>
      <c r="D158" s="926"/>
      <c r="E158" s="926"/>
    </row>
    <row r="159" spans="1:5" x14ac:dyDescent="0.25">
      <c r="A159" s="925"/>
      <c r="B159" s="926"/>
      <c r="C159" s="926"/>
      <c r="D159" s="926"/>
      <c r="E159" s="926"/>
    </row>
    <row r="160" spans="1:5" x14ac:dyDescent="0.25">
      <c r="A160" s="925"/>
      <c r="B160" s="926"/>
      <c r="C160" s="926"/>
      <c r="D160" s="926"/>
      <c r="E160" s="926"/>
    </row>
    <row r="161" spans="1:5" x14ac:dyDescent="0.25">
      <c r="A161" s="925"/>
      <c r="B161" s="926"/>
      <c r="C161" s="926"/>
      <c r="D161" s="926"/>
      <c r="E161" s="926"/>
    </row>
    <row r="162" spans="1:5" x14ac:dyDescent="0.25">
      <c r="A162" s="925"/>
      <c r="B162" s="926"/>
      <c r="C162" s="926"/>
      <c r="D162" s="926"/>
      <c r="E162" s="926"/>
    </row>
    <row r="163" spans="1:5" x14ac:dyDescent="0.25">
      <c r="A163" s="925"/>
      <c r="B163" s="926"/>
      <c r="C163" s="926"/>
      <c r="D163" s="926"/>
      <c r="E163" s="926"/>
    </row>
    <row r="164" spans="1:5" x14ac:dyDescent="0.25">
      <c r="A164" s="925"/>
      <c r="B164" s="926"/>
      <c r="C164" s="926"/>
      <c r="D164" s="926"/>
      <c r="E164" s="926"/>
    </row>
    <row r="165" spans="1:5" x14ac:dyDescent="0.25">
      <c r="A165" s="925"/>
      <c r="B165" s="926"/>
      <c r="C165" s="926"/>
      <c r="D165" s="926"/>
      <c r="E165" s="926"/>
    </row>
    <row r="166" spans="1:5" x14ac:dyDescent="0.25">
      <c r="A166" s="925"/>
      <c r="B166" s="926"/>
      <c r="C166" s="926"/>
      <c r="D166" s="926"/>
      <c r="E166" s="926"/>
    </row>
    <row r="167" spans="1:5" x14ac:dyDescent="0.25">
      <c r="A167" s="925"/>
      <c r="B167" s="926"/>
      <c r="C167" s="926"/>
      <c r="D167" s="926"/>
      <c r="E167" s="926"/>
    </row>
    <row r="168" spans="1:5" x14ac:dyDescent="0.25">
      <c r="A168" s="925"/>
      <c r="B168" s="926"/>
      <c r="C168" s="926"/>
      <c r="D168" s="926"/>
      <c r="E168" s="926"/>
    </row>
    <row r="169" spans="1:5" x14ac:dyDescent="0.25">
      <c r="A169" s="925"/>
      <c r="B169" s="926"/>
      <c r="C169" s="926"/>
      <c r="D169" s="926"/>
      <c r="E169" s="926"/>
    </row>
    <row r="170" spans="1:5" x14ac:dyDescent="0.25">
      <c r="A170" s="925"/>
      <c r="B170" s="926"/>
      <c r="C170" s="926"/>
      <c r="D170" s="926"/>
      <c r="E170" s="926"/>
    </row>
    <row r="171" spans="1:5" x14ac:dyDescent="0.25">
      <c r="A171" s="925"/>
      <c r="B171" s="926"/>
      <c r="C171" s="926"/>
      <c r="D171" s="926"/>
      <c r="E171" s="926"/>
    </row>
    <row r="172" spans="1:5" x14ac:dyDescent="0.25">
      <c r="A172" s="925"/>
      <c r="B172" s="926"/>
      <c r="C172" s="926"/>
      <c r="D172" s="926"/>
      <c r="E172" s="926"/>
    </row>
    <row r="173" spans="1:5" x14ac:dyDescent="0.25">
      <c r="A173" s="925"/>
      <c r="B173" s="926"/>
      <c r="C173" s="926"/>
      <c r="D173" s="926"/>
      <c r="E173" s="926"/>
    </row>
    <row r="174" spans="1:5" x14ac:dyDescent="0.25">
      <c r="A174" s="925"/>
      <c r="B174" s="926"/>
      <c r="C174" s="926"/>
      <c r="D174" s="926"/>
      <c r="E174" s="926"/>
    </row>
    <row r="175" spans="1:5" x14ac:dyDescent="0.25">
      <c r="A175" s="925"/>
      <c r="B175" s="926"/>
      <c r="C175" s="926"/>
      <c r="D175" s="926"/>
      <c r="E175" s="926"/>
    </row>
    <row r="176" spans="1:5" x14ac:dyDescent="0.25">
      <c r="A176" s="925"/>
      <c r="B176" s="926"/>
      <c r="C176" s="926"/>
      <c r="D176" s="926"/>
      <c r="E176" s="926"/>
    </row>
    <row r="177" spans="1:5" x14ac:dyDescent="0.25">
      <c r="A177" s="925"/>
      <c r="B177" s="926"/>
      <c r="C177" s="926"/>
      <c r="D177" s="926"/>
      <c r="E177" s="926"/>
    </row>
    <row r="178" spans="1:5" x14ac:dyDescent="0.25">
      <c r="A178" s="925"/>
      <c r="B178" s="926"/>
      <c r="C178" s="926"/>
      <c r="D178" s="926"/>
      <c r="E178" s="926"/>
    </row>
    <row r="179" spans="1:5" x14ac:dyDescent="0.25">
      <c r="A179" s="925"/>
      <c r="B179" s="926"/>
      <c r="C179" s="926"/>
      <c r="D179" s="926"/>
      <c r="E179" s="926"/>
    </row>
    <row r="180" spans="1:5" x14ac:dyDescent="0.25">
      <c r="A180" s="925"/>
      <c r="B180" s="926"/>
      <c r="C180" s="926"/>
      <c r="D180" s="926"/>
      <c r="E180" s="926"/>
    </row>
    <row r="181" spans="1:5" x14ac:dyDescent="0.25">
      <c r="A181" s="925"/>
      <c r="B181" s="926"/>
      <c r="C181" s="926"/>
      <c r="D181" s="926"/>
      <c r="E181" s="926"/>
    </row>
    <row r="182" spans="1:5" x14ac:dyDescent="0.25">
      <c r="A182" s="925"/>
      <c r="B182" s="926"/>
      <c r="C182" s="926"/>
      <c r="D182" s="926"/>
      <c r="E182" s="926"/>
    </row>
    <row r="183" spans="1:5" x14ac:dyDescent="0.25">
      <c r="A183" s="925"/>
      <c r="B183" s="926"/>
      <c r="C183" s="926"/>
      <c r="D183" s="926"/>
      <c r="E183" s="926"/>
    </row>
    <row r="184" spans="1:5" x14ac:dyDescent="0.25">
      <c r="A184" s="925"/>
      <c r="B184" s="926"/>
      <c r="C184" s="926"/>
      <c r="D184" s="926"/>
      <c r="E184" s="926"/>
    </row>
    <row r="185" spans="1:5" x14ac:dyDescent="0.25">
      <c r="A185" s="925"/>
      <c r="B185" s="926"/>
      <c r="C185" s="926"/>
      <c r="D185" s="926"/>
      <c r="E185" s="926"/>
    </row>
    <row r="186" spans="1:5" x14ac:dyDescent="0.25">
      <c r="A186" s="925"/>
      <c r="B186" s="926"/>
      <c r="C186" s="926"/>
      <c r="D186" s="926"/>
      <c r="E186" s="926"/>
    </row>
    <row r="187" spans="1:5" x14ac:dyDescent="0.25">
      <c r="A187" s="925"/>
      <c r="B187" s="926"/>
      <c r="C187" s="926"/>
      <c r="D187" s="926"/>
      <c r="E187" s="926"/>
    </row>
    <row r="188" spans="1:5" x14ac:dyDescent="0.25">
      <c r="A188" s="925"/>
      <c r="B188" s="926"/>
      <c r="C188" s="926"/>
      <c r="D188" s="926"/>
      <c r="E188" s="926"/>
    </row>
    <row r="189" spans="1:5" x14ac:dyDescent="0.25">
      <c r="A189" s="925"/>
      <c r="B189" s="926"/>
      <c r="C189" s="926"/>
      <c r="D189" s="926"/>
      <c r="E189" s="926"/>
    </row>
    <row r="190" spans="1:5" x14ac:dyDescent="0.25">
      <c r="A190" s="925"/>
      <c r="B190" s="926"/>
      <c r="C190" s="926"/>
      <c r="D190" s="926"/>
      <c r="E190" s="926"/>
    </row>
    <row r="191" spans="1:5" x14ac:dyDescent="0.25">
      <c r="A191" s="925"/>
      <c r="B191" s="926"/>
      <c r="C191" s="926"/>
      <c r="D191" s="926"/>
      <c r="E191" s="926"/>
    </row>
    <row r="192" spans="1:5" x14ac:dyDescent="0.25">
      <c r="A192" s="925"/>
      <c r="B192" s="926"/>
      <c r="C192" s="926"/>
      <c r="D192" s="926"/>
      <c r="E192" s="926"/>
    </row>
    <row r="193" spans="1:5" x14ac:dyDescent="0.25">
      <c r="A193" s="925"/>
      <c r="B193" s="926"/>
      <c r="C193" s="926"/>
      <c r="D193" s="926"/>
      <c r="E193" s="926"/>
    </row>
    <row r="194" spans="1:5" x14ac:dyDescent="0.25">
      <c r="A194" s="925"/>
      <c r="B194" s="926"/>
      <c r="C194" s="926"/>
      <c r="D194" s="926"/>
      <c r="E194" s="926"/>
    </row>
    <row r="195" spans="1:5" x14ac:dyDescent="0.25">
      <c r="A195" s="925"/>
      <c r="B195" s="926"/>
      <c r="C195" s="926"/>
      <c r="D195" s="926"/>
      <c r="E195" s="926"/>
    </row>
    <row r="196" spans="1:5" x14ac:dyDescent="0.25">
      <c r="A196" s="925"/>
      <c r="B196" s="926"/>
      <c r="C196" s="926"/>
      <c r="D196" s="926"/>
      <c r="E196" s="926"/>
    </row>
    <row r="197" spans="1:5" x14ac:dyDescent="0.25">
      <c r="A197" s="925"/>
      <c r="B197" s="926"/>
      <c r="C197" s="926"/>
      <c r="D197" s="926"/>
      <c r="E197" s="926"/>
    </row>
    <row r="198" spans="1:5" x14ac:dyDescent="0.25">
      <c r="A198" s="925"/>
      <c r="B198" s="926"/>
      <c r="C198" s="926"/>
      <c r="D198" s="926"/>
      <c r="E198" s="926"/>
    </row>
    <row r="199" spans="1:5" x14ac:dyDescent="0.25">
      <c r="A199" s="925"/>
      <c r="B199" s="926"/>
      <c r="C199" s="926"/>
      <c r="D199" s="926"/>
      <c r="E199" s="926"/>
    </row>
    <row r="200" spans="1:5" x14ac:dyDescent="0.25">
      <c r="A200" s="925"/>
      <c r="B200" s="926"/>
      <c r="C200" s="926"/>
      <c r="D200" s="926"/>
      <c r="E200" s="926"/>
    </row>
    <row r="201" spans="1:5" x14ac:dyDescent="0.25">
      <c r="A201" s="925"/>
      <c r="B201" s="926"/>
      <c r="C201" s="926"/>
      <c r="D201" s="926"/>
      <c r="E201" s="926"/>
    </row>
    <row r="202" spans="1:5" x14ac:dyDescent="0.25">
      <c r="A202" s="925"/>
      <c r="B202" s="926"/>
      <c r="C202" s="926"/>
      <c r="D202" s="926"/>
      <c r="E202" s="926"/>
    </row>
    <row r="203" spans="1:5" x14ac:dyDescent="0.25">
      <c r="A203" s="925"/>
      <c r="B203" s="926"/>
      <c r="C203" s="926"/>
      <c r="D203" s="926"/>
      <c r="E203" s="926"/>
    </row>
    <row r="204" spans="1:5" x14ac:dyDescent="0.25">
      <c r="A204" s="925"/>
      <c r="B204" s="926"/>
      <c r="C204" s="926"/>
      <c r="D204" s="926"/>
      <c r="E204" s="926"/>
    </row>
    <row r="205" spans="1:5" x14ac:dyDescent="0.25">
      <c r="A205" s="925"/>
      <c r="B205" s="926"/>
      <c r="C205" s="926"/>
      <c r="D205" s="926"/>
      <c r="E205" s="926"/>
    </row>
    <row r="206" spans="1:5" x14ac:dyDescent="0.25">
      <c r="A206" s="925"/>
      <c r="B206" s="926"/>
      <c r="C206" s="926"/>
      <c r="D206" s="926"/>
      <c r="E206" s="926"/>
    </row>
    <row r="207" spans="1:5" x14ac:dyDescent="0.25">
      <c r="A207" s="925"/>
      <c r="B207" s="926"/>
      <c r="C207" s="926"/>
      <c r="D207" s="926"/>
      <c r="E207" s="926"/>
    </row>
    <row r="208" spans="1:5" x14ac:dyDescent="0.25">
      <c r="A208" s="925"/>
      <c r="B208" s="926"/>
      <c r="C208" s="926"/>
      <c r="D208" s="926"/>
      <c r="E208" s="926"/>
    </row>
    <row r="209" spans="1:5" x14ac:dyDescent="0.25">
      <c r="A209" s="925"/>
      <c r="B209" s="926"/>
      <c r="C209" s="926"/>
      <c r="D209" s="926"/>
      <c r="E209" s="926"/>
    </row>
    <row r="210" spans="1:5" x14ac:dyDescent="0.25">
      <c r="A210" s="925"/>
      <c r="B210" s="926"/>
      <c r="C210" s="926"/>
      <c r="D210" s="926"/>
      <c r="E210" s="926"/>
    </row>
    <row r="211" spans="1:5" x14ac:dyDescent="0.25">
      <c r="A211" s="925"/>
      <c r="B211" s="926"/>
      <c r="C211" s="926"/>
      <c r="D211" s="926"/>
      <c r="E211" s="926"/>
    </row>
    <row r="212" spans="1:5" x14ac:dyDescent="0.25">
      <c r="A212" s="925"/>
      <c r="B212" s="926"/>
      <c r="C212" s="926"/>
      <c r="D212" s="926"/>
      <c r="E212" s="926"/>
    </row>
    <row r="213" spans="1:5" x14ac:dyDescent="0.25">
      <c r="A213" s="925"/>
      <c r="B213" s="926"/>
      <c r="C213" s="926"/>
      <c r="D213" s="926"/>
      <c r="E213" s="926"/>
    </row>
    <row r="214" spans="1:5" x14ac:dyDescent="0.25">
      <c r="A214" s="925"/>
      <c r="B214" s="926"/>
      <c r="C214" s="926"/>
      <c r="D214" s="926"/>
      <c r="E214" s="926"/>
    </row>
    <row r="215" spans="1:5" x14ac:dyDescent="0.25">
      <c r="A215" s="925"/>
      <c r="B215" s="926"/>
      <c r="C215" s="926"/>
      <c r="D215" s="926"/>
      <c r="E215" s="926"/>
    </row>
    <row r="216" spans="1:5" x14ac:dyDescent="0.25">
      <c r="A216" s="925"/>
      <c r="B216" s="926"/>
      <c r="C216" s="926"/>
      <c r="D216" s="926"/>
      <c r="E216" s="926"/>
    </row>
    <row r="217" spans="1:5" x14ac:dyDescent="0.25">
      <c r="A217" s="925"/>
      <c r="B217" s="926"/>
      <c r="C217" s="926"/>
      <c r="D217" s="926"/>
      <c r="E217" s="926"/>
    </row>
    <row r="218" spans="1:5" x14ac:dyDescent="0.25">
      <c r="A218" s="925"/>
      <c r="B218" s="926"/>
      <c r="C218" s="926"/>
      <c r="D218" s="926"/>
      <c r="E218" s="926"/>
    </row>
    <row r="219" spans="1:5" x14ac:dyDescent="0.25">
      <c r="A219" s="925"/>
      <c r="B219" s="926"/>
      <c r="C219" s="926"/>
      <c r="D219" s="926"/>
      <c r="E219" s="926"/>
    </row>
    <row r="220" spans="1:5" x14ac:dyDescent="0.25">
      <c r="A220" s="925"/>
      <c r="B220" s="926"/>
      <c r="C220" s="926"/>
      <c r="D220" s="926"/>
      <c r="E220" s="926"/>
    </row>
    <row r="221" spans="1:5" x14ac:dyDescent="0.25">
      <c r="A221" s="925"/>
      <c r="B221" s="926"/>
      <c r="C221" s="926"/>
      <c r="D221" s="926"/>
      <c r="E221" s="926"/>
    </row>
    <row r="222" spans="1:5" x14ac:dyDescent="0.25">
      <c r="A222" s="925"/>
      <c r="B222" s="926"/>
      <c r="C222" s="926"/>
      <c r="D222" s="926"/>
      <c r="E222" s="926"/>
    </row>
    <row r="223" spans="1:5" x14ac:dyDescent="0.25">
      <c r="A223" s="925"/>
      <c r="B223" s="926"/>
      <c r="C223" s="926"/>
      <c r="D223" s="926"/>
      <c r="E223" s="926"/>
    </row>
    <row r="224" spans="1:5" x14ac:dyDescent="0.25">
      <c r="A224" s="925"/>
      <c r="B224" s="926"/>
      <c r="C224" s="926"/>
      <c r="D224" s="926"/>
      <c r="E224" s="926"/>
    </row>
    <row r="225" spans="1:5" x14ac:dyDescent="0.25">
      <c r="A225" s="925"/>
      <c r="B225" s="926"/>
      <c r="C225" s="926"/>
      <c r="D225" s="926"/>
      <c r="E225" s="926"/>
    </row>
    <row r="226" spans="1:5" x14ac:dyDescent="0.25">
      <c r="A226" s="925"/>
      <c r="B226" s="926"/>
      <c r="C226" s="926"/>
      <c r="D226" s="926"/>
      <c r="E226" s="926"/>
    </row>
    <row r="227" spans="1:5" x14ac:dyDescent="0.25">
      <c r="A227" s="925"/>
      <c r="B227" s="926"/>
      <c r="C227" s="926"/>
      <c r="D227" s="926"/>
      <c r="E227" s="926"/>
    </row>
    <row r="228" spans="1:5" x14ac:dyDescent="0.25">
      <c r="A228" s="925"/>
      <c r="B228" s="926"/>
      <c r="C228" s="926"/>
      <c r="D228" s="926"/>
      <c r="E228" s="926"/>
    </row>
    <row r="229" spans="1:5" x14ac:dyDescent="0.25">
      <c r="A229" s="925"/>
      <c r="B229" s="926"/>
      <c r="C229" s="926"/>
      <c r="D229" s="926"/>
      <c r="E229" s="926"/>
    </row>
    <row r="230" spans="1:5" x14ac:dyDescent="0.25">
      <c r="A230" s="925"/>
      <c r="B230" s="926"/>
      <c r="C230" s="926"/>
      <c r="D230" s="926"/>
      <c r="E230" s="926"/>
    </row>
    <row r="231" spans="1:5" x14ac:dyDescent="0.25">
      <c r="A231" s="925"/>
      <c r="B231" s="926"/>
      <c r="C231" s="926"/>
      <c r="D231" s="926"/>
      <c r="E231" s="926"/>
    </row>
    <row r="232" spans="1:5" x14ac:dyDescent="0.25">
      <c r="A232" s="925"/>
      <c r="B232" s="926"/>
      <c r="C232" s="926"/>
      <c r="D232" s="926"/>
      <c r="E232" s="926"/>
    </row>
    <row r="233" spans="1:5" x14ac:dyDescent="0.25">
      <c r="A233" s="925"/>
      <c r="B233" s="926"/>
      <c r="C233" s="926"/>
      <c r="D233" s="926"/>
      <c r="E233" s="926"/>
    </row>
    <row r="234" spans="1:5" x14ac:dyDescent="0.25">
      <c r="A234" s="925"/>
      <c r="B234" s="926"/>
      <c r="C234" s="926"/>
      <c r="D234" s="926"/>
      <c r="E234" s="926"/>
    </row>
    <row r="235" spans="1:5" x14ac:dyDescent="0.25">
      <c r="A235" s="925"/>
      <c r="B235" s="926"/>
      <c r="C235" s="926"/>
      <c r="D235" s="926"/>
      <c r="E235" s="926"/>
    </row>
    <row r="236" spans="1:5" x14ac:dyDescent="0.25">
      <c r="A236" s="925"/>
      <c r="B236" s="926"/>
      <c r="C236" s="926"/>
      <c r="D236" s="926"/>
      <c r="E236" s="926"/>
    </row>
    <row r="237" spans="1:5" x14ac:dyDescent="0.25">
      <c r="A237" s="925"/>
      <c r="B237" s="926"/>
      <c r="C237" s="926"/>
      <c r="D237" s="926"/>
      <c r="E237" s="926"/>
    </row>
    <row r="238" spans="1:5" x14ac:dyDescent="0.25">
      <c r="A238" s="925"/>
      <c r="B238" s="926"/>
      <c r="C238" s="926"/>
      <c r="D238" s="926"/>
      <c r="E238" s="926"/>
    </row>
    <row r="239" spans="1:5" x14ac:dyDescent="0.25">
      <c r="A239" s="925"/>
      <c r="B239" s="926"/>
      <c r="C239" s="926"/>
      <c r="D239" s="926"/>
      <c r="E239" s="926"/>
    </row>
    <row r="240" spans="1:5" x14ac:dyDescent="0.25">
      <c r="A240" s="925"/>
      <c r="B240" s="926"/>
      <c r="C240" s="926"/>
      <c r="D240" s="926"/>
      <c r="E240" s="926"/>
    </row>
    <row r="241" spans="1:5" x14ac:dyDescent="0.25">
      <c r="A241" s="925"/>
      <c r="B241" s="926"/>
      <c r="C241" s="926"/>
      <c r="D241" s="926"/>
      <c r="E241" s="926"/>
    </row>
    <row r="242" spans="1:5" x14ac:dyDescent="0.25">
      <c r="A242" s="925"/>
      <c r="B242" s="926"/>
      <c r="C242" s="926"/>
      <c r="D242" s="926"/>
      <c r="E242" s="926"/>
    </row>
    <row r="243" spans="1:5" x14ac:dyDescent="0.25">
      <c r="A243" s="925"/>
      <c r="B243" s="926"/>
      <c r="C243" s="926"/>
      <c r="D243" s="926"/>
      <c r="E243" s="926"/>
    </row>
    <row r="244" spans="1:5" x14ac:dyDescent="0.25">
      <c r="A244" s="925"/>
      <c r="B244" s="926"/>
      <c r="C244" s="926"/>
      <c r="D244" s="926"/>
      <c r="E244" s="926"/>
    </row>
    <row r="245" spans="1:5" x14ac:dyDescent="0.25">
      <c r="A245" s="925"/>
      <c r="B245" s="926"/>
      <c r="C245" s="926"/>
      <c r="D245" s="926"/>
      <c r="E245" s="926"/>
    </row>
    <row r="246" spans="1:5" x14ac:dyDescent="0.25">
      <c r="A246" s="925"/>
      <c r="B246" s="926"/>
      <c r="C246" s="926"/>
      <c r="D246" s="926"/>
      <c r="E246" s="926"/>
    </row>
    <row r="247" spans="1:5" x14ac:dyDescent="0.25">
      <c r="A247" s="925"/>
      <c r="B247" s="926"/>
      <c r="C247" s="926"/>
      <c r="D247" s="926"/>
      <c r="E247" s="926"/>
    </row>
    <row r="248" spans="1:5" x14ac:dyDescent="0.25">
      <c r="A248" s="925"/>
      <c r="B248" s="926"/>
      <c r="C248" s="926"/>
      <c r="D248" s="926"/>
      <c r="E248" s="926"/>
    </row>
    <row r="249" spans="1:5" x14ac:dyDescent="0.25">
      <c r="A249" s="925"/>
      <c r="B249" s="926"/>
      <c r="C249" s="926"/>
      <c r="D249" s="926"/>
      <c r="E249" s="926"/>
    </row>
    <row r="250" spans="1:5" x14ac:dyDescent="0.25">
      <c r="A250" s="925"/>
      <c r="B250" s="926"/>
      <c r="C250" s="926"/>
      <c r="D250" s="926"/>
      <c r="E250" s="926"/>
    </row>
    <row r="251" spans="1:5" x14ac:dyDescent="0.25">
      <c r="A251" s="925"/>
      <c r="B251" s="926"/>
      <c r="C251" s="926"/>
      <c r="D251" s="926"/>
      <c r="E251" s="926"/>
    </row>
    <row r="252" spans="1:5" x14ac:dyDescent="0.25">
      <c r="A252" s="925"/>
      <c r="B252" s="926"/>
      <c r="C252" s="926"/>
      <c r="D252" s="926"/>
      <c r="E252" s="926"/>
    </row>
    <row r="253" spans="1:5" x14ac:dyDescent="0.25">
      <c r="A253" s="925"/>
      <c r="B253" s="926"/>
      <c r="C253" s="926"/>
      <c r="D253" s="926"/>
      <c r="E253" s="926"/>
    </row>
    <row r="254" spans="1:5" x14ac:dyDescent="0.25">
      <c r="A254" s="925"/>
      <c r="B254" s="926"/>
      <c r="C254" s="926"/>
      <c r="D254" s="926"/>
      <c r="E254" s="926"/>
    </row>
    <row r="255" spans="1:5" x14ac:dyDescent="0.25">
      <c r="A255" s="925"/>
      <c r="B255" s="926"/>
      <c r="C255" s="926"/>
      <c r="D255" s="926"/>
      <c r="E255" s="926"/>
    </row>
    <row r="256" spans="1:5" x14ac:dyDescent="0.25">
      <c r="A256" s="925"/>
      <c r="B256" s="926"/>
      <c r="C256" s="926"/>
      <c r="D256" s="926"/>
      <c r="E256" s="926"/>
    </row>
    <row r="257" spans="1:5" x14ac:dyDescent="0.25">
      <c r="A257" s="925"/>
      <c r="B257" s="926"/>
      <c r="C257" s="926"/>
      <c r="D257" s="926"/>
      <c r="E257" s="926"/>
    </row>
    <row r="258" spans="1:5" x14ac:dyDescent="0.25">
      <c r="A258" s="925"/>
      <c r="B258" s="926"/>
      <c r="C258" s="926"/>
      <c r="D258" s="926"/>
      <c r="E258" s="926"/>
    </row>
    <row r="259" spans="1:5" x14ac:dyDescent="0.25">
      <c r="A259" s="925"/>
      <c r="B259" s="926"/>
      <c r="C259" s="926"/>
      <c r="D259" s="926"/>
      <c r="E259" s="926"/>
    </row>
    <row r="260" spans="1:5" x14ac:dyDescent="0.25">
      <c r="A260" s="925"/>
      <c r="B260" s="926"/>
      <c r="C260" s="926"/>
      <c r="D260" s="926"/>
      <c r="E260" s="926"/>
    </row>
    <row r="261" spans="1:5" x14ac:dyDescent="0.25">
      <c r="A261" s="925"/>
      <c r="B261" s="926"/>
      <c r="C261" s="926"/>
      <c r="D261" s="926"/>
      <c r="E261" s="926"/>
    </row>
    <row r="262" spans="1:5" x14ac:dyDescent="0.25">
      <c r="A262" s="925"/>
      <c r="B262" s="926"/>
      <c r="C262" s="926"/>
      <c r="D262" s="926"/>
      <c r="E262" s="926"/>
    </row>
    <row r="263" spans="1:5" x14ac:dyDescent="0.25">
      <c r="A263" s="925"/>
      <c r="B263" s="926"/>
      <c r="C263" s="926"/>
      <c r="D263" s="926"/>
      <c r="E263" s="926"/>
    </row>
    <row r="264" spans="1:5" x14ac:dyDescent="0.25">
      <c r="A264" s="925"/>
      <c r="B264" s="926"/>
      <c r="C264" s="926"/>
      <c r="D264" s="926"/>
      <c r="E264" s="926"/>
    </row>
    <row r="265" spans="1:5" x14ac:dyDescent="0.25">
      <c r="A265" s="925"/>
      <c r="B265" s="926"/>
      <c r="C265" s="926"/>
      <c r="D265" s="926"/>
      <c r="E265" s="926"/>
    </row>
    <row r="266" spans="1:5" x14ac:dyDescent="0.25">
      <c r="A266" s="925"/>
      <c r="B266" s="926"/>
      <c r="C266" s="926"/>
      <c r="D266" s="926"/>
      <c r="E266" s="926"/>
    </row>
    <row r="267" spans="1:5" x14ac:dyDescent="0.25">
      <c r="A267" s="925"/>
      <c r="B267" s="926"/>
      <c r="C267" s="926"/>
      <c r="D267" s="926"/>
      <c r="E267" s="926"/>
    </row>
    <row r="268" spans="1:5" x14ac:dyDescent="0.25">
      <c r="A268" s="925"/>
      <c r="B268" s="926"/>
      <c r="C268" s="926"/>
      <c r="D268" s="926"/>
      <c r="E268" s="926"/>
    </row>
    <row r="269" spans="1:5" x14ac:dyDescent="0.25">
      <c r="A269" s="925"/>
      <c r="B269" s="926"/>
      <c r="C269" s="926"/>
      <c r="D269" s="926"/>
      <c r="E269" s="926"/>
    </row>
    <row r="270" spans="1:5" x14ac:dyDescent="0.25">
      <c r="A270" s="925"/>
      <c r="B270" s="926"/>
      <c r="C270" s="926"/>
      <c r="D270" s="926"/>
      <c r="E270" s="926"/>
    </row>
    <row r="271" spans="1:5" x14ac:dyDescent="0.25">
      <c r="A271" s="925"/>
      <c r="B271" s="926"/>
      <c r="C271" s="926"/>
      <c r="D271" s="926"/>
      <c r="E271" s="926"/>
    </row>
    <row r="272" spans="1:5" x14ac:dyDescent="0.25">
      <c r="A272" s="925"/>
      <c r="B272" s="926"/>
      <c r="C272" s="926"/>
      <c r="D272" s="926"/>
      <c r="E272" s="926"/>
    </row>
    <row r="273" spans="1:5" x14ac:dyDescent="0.25">
      <c r="A273" s="925"/>
      <c r="B273" s="926"/>
      <c r="C273" s="926"/>
      <c r="D273" s="926"/>
      <c r="E273" s="926"/>
    </row>
    <row r="274" spans="1:5" x14ac:dyDescent="0.25">
      <c r="A274" s="925"/>
      <c r="B274" s="926"/>
      <c r="C274" s="926"/>
      <c r="D274" s="926"/>
      <c r="E274" s="926"/>
    </row>
    <row r="275" spans="1:5" x14ac:dyDescent="0.25">
      <c r="A275" s="925"/>
      <c r="B275" s="926"/>
      <c r="C275" s="926"/>
      <c r="D275" s="926"/>
      <c r="E275" s="926"/>
    </row>
    <row r="276" spans="1:5" x14ac:dyDescent="0.25">
      <c r="A276" s="925"/>
      <c r="B276" s="926"/>
      <c r="C276" s="926"/>
      <c r="D276" s="926"/>
      <c r="E276" s="926"/>
    </row>
    <row r="277" spans="1:5" x14ac:dyDescent="0.25">
      <c r="A277" s="925"/>
      <c r="B277" s="926"/>
      <c r="C277" s="926"/>
      <c r="D277" s="926"/>
      <c r="E277" s="926"/>
    </row>
    <row r="278" spans="1:5" x14ac:dyDescent="0.25">
      <c r="A278" s="925"/>
      <c r="B278" s="926"/>
      <c r="C278" s="926"/>
      <c r="D278" s="926"/>
      <c r="E278" s="926"/>
    </row>
    <row r="279" spans="1:5" x14ac:dyDescent="0.25">
      <c r="A279" s="925"/>
      <c r="B279" s="926"/>
      <c r="C279" s="926"/>
      <c r="D279" s="926"/>
      <c r="E279" s="926"/>
    </row>
    <row r="280" spans="1:5" x14ac:dyDescent="0.25">
      <c r="A280" s="925"/>
      <c r="B280" s="926"/>
      <c r="C280" s="926"/>
      <c r="D280" s="926"/>
      <c r="E280" s="926"/>
    </row>
    <row r="281" spans="1:5" x14ac:dyDescent="0.25">
      <c r="A281" s="925"/>
      <c r="B281" s="926"/>
      <c r="C281" s="926"/>
      <c r="D281" s="926"/>
      <c r="E281" s="926"/>
    </row>
    <row r="282" spans="1:5" x14ac:dyDescent="0.25">
      <c r="A282" s="925"/>
      <c r="B282" s="926"/>
      <c r="C282" s="926"/>
      <c r="D282" s="926"/>
      <c r="E282" s="926"/>
    </row>
    <row r="283" spans="1:5" x14ac:dyDescent="0.25">
      <c r="A283" s="925"/>
      <c r="B283" s="926"/>
      <c r="C283" s="926"/>
      <c r="D283" s="926"/>
      <c r="E283" s="926"/>
    </row>
    <row r="284" spans="1:5" x14ac:dyDescent="0.25">
      <c r="A284" s="925"/>
      <c r="B284" s="926"/>
      <c r="C284" s="926"/>
      <c r="D284" s="926"/>
      <c r="E284" s="926"/>
    </row>
    <row r="285" spans="1:5" x14ac:dyDescent="0.25">
      <c r="A285" s="925"/>
      <c r="B285" s="926"/>
      <c r="C285" s="926"/>
      <c r="D285" s="926"/>
      <c r="E285" s="926"/>
    </row>
    <row r="286" spans="1:5" x14ac:dyDescent="0.25">
      <c r="A286" s="925"/>
      <c r="B286" s="926"/>
      <c r="C286" s="926"/>
      <c r="D286" s="926"/>
      <c r="E286" s="926"/>
    </row>
    <row r="287" spans="1:5" x14ac:dyDescent="0.25">
      <c r="A287" s="925"/>
      <c r="B287" s="926"/>
      <c r="C287" s="926"/>
      <c r="D287" s="926"/>
      <c r="E287" s="926"/>
    </row>
    <row r="288" spans="1:5" x14ac:dyDescent="0.25">
      <c r="A288" s="925"/>
      <c r="B288" s="926"/>
      <c r="C288" s="926"/>
      <c r="D288" s="926"/>
      <c r="E288" s="926"/>
    </row>
    <row r="289" spans="1:5" x14ac:dyDescent="0.25">
      <c r="A289" s="925"/>
      <c r="B289" s="926"/>
      <c r="C289" s="926"/>
      <c r="D289" s="926"/>
      <c r="E289" s="926"/>
    </row>
    <row r="290" spans="1:5" x14ac:dyDescent="0.25">
      <c r="A290" s="925"/>
      <c r="B290" s="926"/>
      <c r="C290" s="926"/>
      <c r="D290" s="926"/>
      <c r="E290" s="926"/>
    </row>
    <row r="291" spans="1:5" x14ac:dyDescent="0.25">
      <c r="A291" s="925"/>
      <c r="B291" s="926"/>
      <c r="C291" s="926"/>
      <c r="D291" s="926"/>
      <c r="E291" s="926"/>
    </row>
    <row r="292" spans="1:5" x14ac:dyDescent="0.25">
      <c r="A292" s="925"/>
      <c r="B292" s="926"/>
      <c r="C292" s="926"/>
      <c r="D292" s="926"/>
      <c r="E292" s="926"/>
    </row>
    <row r="293" spans="1:5" x14ac:dyDescent="0.25">
      <c r="A293" s="925"/>
      <c r="B293" s="926"/>
      <c r="C293" s="926"/>
      <c r="D293" s="926"/>
      <c r="E293" s="926"/>
    </row>
    <row r="294" spans="1:5" x14ac:dyDescent="0.25">
      <c r="A294" s="925"/>
      <c r="B294" s="926"/>
      <c r="C294" s="926"/>
      <c r="D294" s="926"/>
      <c r="E294" s="926"/>
    </row>
    <row r="295" spans="1:5" x14ac:dyDescent="0.25">
      <c r="A295" s="925"/>
      <c r="B295" s="926"/>
      <c r="C295" s="926"/>
      <c r="D295" s="926"/>
      <c r="E295" s="926"/>
    </row>
    <row r="296" spans="1:5" x14ac:dyDescent="0.25">
      <c r="A296" s="925"/>
      <c r="B296" s="926"/>
      <c r="C296" s="926"/>
      <c r="D296" s="926"/>
      <c r="E296" s="926"/>
    </row>
    <row r="297" spans="1:5" x14ac:dyDescent="0.25">
      <c r="A297" s="925"/>
      <c r="B297" s="926"/>
      <c r="C297" s="926"/>
      <c r="D297" s="926"/>
      <c r="E297" s="926"/>
    </row>
    <row r="298" spans="1:5" x14ac:dyDescent="0.25">
      <c r="A298" s="925"/>
      <c r="B298" s="926"/>
      <c r="C298" s="926"/>
      <c r="D298" s="926"/>
      <c r="E298" s="926"/>
    </row>
    <row r="299" spans="1:5" x14ac:dyDescent="0.25">
      <c r="A299" s="925"/>
      <c r="B299" s="926"/>
      <c r="C299" s="926"/>
      <c r="D299" s="926"/>
      <c r="E299" s="926"/>
    </row>
    <row r="300" spans="1:5" x14ac:dyDescent="0.25">
      <c r="A300" s="925"/>
      <c r="B300" s="926"/>
      <c r="C300" s="926"/>
      <c r="D300" s="926"/>
      <c r="E300" s="926"/>
    </row>
    <row r="301" spans="1:5" x14ac:dyDescent="0.25">
      <c r="A301" s="925"/>
      <c r="B301" s="926"/>
      <c r="C301" s="926"/>
      <c r="D301" s="926"/>
      <c r="E301" s="926"/>
    </row>
    <row r="302" spans="1:5" x14ac:dyDescent="0.25">
      <c r="A302" s="925"/>
      <c r="B302" s="926"/>
      <c r="C302" s="926"/>
      <c r="D302" s="926"/>
      <c r="E302" s="926"/>
    </row>
    <row r="303" spans="1:5" x14ac:dyDescent="0.25">
      <c r="A303" s="925"/>
      <c r="B303" s="926"/>
      <c r="C303" s="926"/>
      <c r="D303" s="926"/>
      <c r="E303" s="926"/>
    </row>
    <row r="304" spans="1:5" x14ac:dyDescent="0.25">
      <c r="A304" s="925"/>
      <c r="B304" s="926"/>
      <c r="C304" s="926"/>
      <c r="D304" s="926"/>
      <c r="E304" s="926"/>
    </row>
    <row r="305" spans="1:5" x14ac:dyDescent="0.25">
      <c r="A305" s="925"/>
      <c r="B305" s="926"/>
      <c r="C305" s="926"/>
      <c r="D305" s="926"/>
      <c r="E305" s="926"/>
    </row>
    <row r="306" spans="1:5" x14ac:dyDescent="0.25">
      <c r="A306" s="925"/>
      <c r="B306" s="926"/>
      <c r="C306" s="926"/>
      <c r="D306" s="926"/>
      <c r="E306" s="926"/>
    </row>
    <row r="307" spans="1:5" x14ac:dyDescent="0.25">
      <c r="A307" s="925"/>
      <c r="B307" s="926"/>
      <c r="C307" s="926"/>
      <c r="D307" s="926"/>
      <c r="E307" s="926"/>
    </row>
    <row r="308" spans="1:5" x14ac:dyDescent="0.25">
      <c r="A308" s="925"/>
      <c r="B308" s="926"/>
      <c r="C308" s="926"/>
      <c r="D308" s="926"/>
      <c r="E308" s="926"/>
    </row>
    <row r="309" spans="1:5" x14ac:dyDescent="0.25">
      <c r="A309" s="925"/>
      <c r="B309" s="926"/>
      <c r="C309" s="926"/>
      <c r="D309" s="926"/>
      <c r="E309" s="926"/>
    </row>
    <row r="310" spans="1:5" x14ac:dyDescent="0.25">
      <c r="A310" s="925"/>
      <c r="B310" s="926"/>
      <c r="C310" s="926"/>
      <c r="D310" s="926"/>
      <c r="E310" s="926"/>
    </row>
    <row r="311" spans="1:5" x14ac:dyDescent="0.25">
      <c r="A311" s="925"/>
      <c r="B311" s="926"/>
      <c r="C311" s="926"/>
      <c r="D311" s="926"/>
      <c r="E311" s="926"/>
    </row>
    <row r="312" spans="1:5" x14ac:dyDescent="0.25">
      <c r="A312" s="925"/>
      <c r="B312" s="926"/>
      <c r="C312" s="926"/>
      <c r="D312" s="926"/>
      <c r="E312" s="926"/>
    </row>
    <row r="313" spans="1:5" x14ac:dyDescent="0.25">
      <c r="A313" s="925"/>
      <c r="B313" s="926"/>
      <c r="C313" s="926"/>
      <c r="D313" s="926"/>
      <c r="E313" s="926"/>
    </row>
    <row r="314" spans="1:5" x14ac:dyDescent="0.25">
      <c r="A314" s="925"/>
      <c r="B314" s="926"/>
      <c r="C314" s="926"/>
      <c r="D314" s="926"/>
      <c r="E314" s="926"/>
    </row>
    <row r="315" spans="1:5" x14ac:dyDescent="0.25">
      <c r="A315" s="925"/>
      <c r="B315" s="926"/>
      <c r="C315" s="926"/>
      <c r="D315" s="926"/>
      <c r="E315" s="926"/>
    </row>
    <row r="316" spans="1:5" x14ac:dyDescent="0.25">
      <c r="A316" s="925"/>
      <c r="B316" s="926"/>
      <c r="C316" s="926"/>
      <c r="D316" s="926"/>
      <c r="E316" s="926"/>
    </row>
    <row r="317" spans="1:5" x14ac:dyDescent="0.25">
      <c r="A317" s="925"/>
      <c r="B317" s="926"/>
      <c r="C317" s="926"/>
      <c r="D317" s="926"/>
      <c r="E317" s="926"/>
    </row>
    <row r="318" spans="1:5" x14ac:dyDescent="0.25">
      <c r="A318" s="925"/>
      <c r="B318" s="926"/>
      <c r="C318" s="926"/>
      <c r="D318" s="926"/>
      <c r="E318" s="926"/>
    </row>
    <row r="319" spans="1:5" x14ac:dyDescent="0.25">
      <c r="A319" s="925"/>
      <c r="B319" s="926"/>
      <c r="C319" s="926"/>
      <c r="D319" s="926"/>
      <c r="E319" s="926"/>
    </row>
    <row r="320" spans="1:5" x14ac:dyDescent="0.25">
      <c r="A320" s="925"/>
      <c r="B320" s="926"/>
      <c r="C320" s="926"/>
      <c r="D320" s="926"/>
      <c r="E320" s="926"/>
    </row>
    <row r="321" spans="1:5" x14ac:dyDescent="0.25">
      <c r="A321" s="925"/>
      <c r="B321" s="926"/>
      <c r="C321" s="926"/>
      <c r="D321" s="926"/>
      <c r="E321" s="926"/>
    </row>
    <row r="322" spans="1:5" x14ac:dyDescent="0.25">
      <c r="A322" s="925"/>
      <c r="B322" s="926"/>
      <c r="C322" s="926"/>
      <c r="D322" s="926"/>
      <c r="E322" s="926"/>
    </row>
    <row r="323" spans="1:5" x14ac:dyDescent="0.25">
      <c r="A323" s="925"/>
      <c r="B323" s="926"/>
      <c r="C323" s="926"/>
      <c r="D323" s="926"/>
      <c r="E323" s="926"/>
    </row>
    <row r="324" spans="1:5" x14ac:dyDescent="0.25">
      <c r="A324" s="925"/>
      <c r="B324" s="926"/>
      <c r="C324" s="926"/>
      <c r="D324" s="926"/>
      <c r="E324" s="926"/>
    </row>
    <row r="325" spans="1:5" x14ac:dyDescent="0.25">
      <c r="A325" s="925"/>
      <c r="B325" s="926"/>
      <c r="C325" s="926"/>
      <c r="D325" s="926"/>
      <c r="E325" s="926"/>
    </row>
    <row r="326" spans="1:5" x14ac:dyDescent="0.25">
      <c r="A326" s="925"/>
      <c r="B326" s="926"/>
      <c r="C326" s="926"/>
      <c r="D326" s="926"/>
      <c r="E326" s="926"/>
    </row>
    <row r="327" spans="1:5" x14ac:dyDescent="0.25">
      <c r="A327" s="925"/>
      <c r="B327" s="926"/>
      <c r="C327" s="926"/>
      <c r="D327" s="926"/>
      <c r="E327" s="926"/>
    </row>
    <row r="328" spans="1:5" x14ac:dyDescent="0.25">
      <c r="A328" s="925"/>
      <c r="B328" s="926"/>
      <c r="C328" s="926"/>
      <c r="D328" s="926"/>
      <c r="E328" s="926"/>
    </row>
    <row r="329" spans="1:5" x14ac:dyDescent="0.25">
      <c r="A329" s="925"/>
      <c r="B329" s="926"/>
      <c r="C329" s="926"/>
      <c r="D329" s="926"/>
      <c r="E329" s="926"/>
    </row>
    <row r="330" spans="1:5" x14ac:dyDescent="0.25">
      <c r="A330" s="925"/>
      <c r="B330" s="926"/>
      <c r="C330" s="926"/>
      <c r="D330" s="926"/>
      <c r="E330" s="926"/>
    </row>
    <row r="331" spans="1:5" x14ac:dyDescent="0.25">
      <c r="A331" s="925"/>
      <c r="B331" s="926"/>
      <c r="C331" s="926"/>
      <c r="D331" s="926"/>
      <c r="E331" s="926"/>
    </row>
    <row r="332" spans="1:5" x14ac:dyDescent="0.25">
      <c r="A332" s="925"/>
      <c r="B332" s="926"/>
      <c r="C332" s="926"/>
      <c r="D332" s="926"/>
      <c r="E332" s="926"/>
    </row>
    <row r="333" spans="1:5" x14ac:dyDescent="0.25">
      <c r="A333" s="925"/>
      <c r="B333" s="926"/>
      <c r="C333" s="926"/>
      <c r="D333" s="926"/>
      <c r="E333" s="926"/>
    </row>
    <row r="334" spans="1:5" x14ac:dyDescent="0.25">
      <c r="A334" s="925"/>
      <c r="B334" s="926"/>
      <c r="C334" s="926"/>
      <c r="D334" s="926"/>
      <c r="E334" s="926"/>
    </row>
    <row r="335" spans="1:5" x14ac:dyDescent="0.25">
      <c r="A335" s="925"/>
      <c r="B335" s="926"/>
      <c r="C335" s="926"/>
      <c r="D335" s="926"/>
      <c r="E335" s="926"/>
    </row>
    <row r="336" spans="1:5" x14ac:dyDescent="0.25">
      <c r="A336" s="925"/>
      <c r="B336" s="926"/>
      <c r="C336" s="926"/>
      <c r="D336" s="926"/>
      <c r="E336" s="926"/>
    </row>
    <row r="337" spans="1:5" x14ac:dyDescent="0.25">
      <c r="A337" s="925"/>
      <c r="B337" s="926"/>
      <c r="C337" s="926"/>
      <c r="D337" s="926"/>
      <c r="E337" s="926"/>
    </row>
    <row r="338" spans="1:5" x14ac:dyDescent="0.25">
      <c r="A338" s="925"/>
      <c r="B338" s="926"/>
      <c r="C338" s="926"/>
      <c r="D338" s="926"/>
      <c r="E338" s="926"/>
    </row>
    <row r="339" spans="1:5" x14ac:dyDescent="0.25">
      <c r="A339" s="925"/>
      <c r="B339" s="926"/>
      <c r="C339" s="926"/>
      <c r="D339" s="926"/>
      <c r="E339" s="926"/>
    </row>
    <row r="340" spans="1:5" x14ac:dyDescent="0.25">
      <c r="A340" s="925"/>
      <c r="B340" s="926"/>
      <c r="C340" s="926"/>
      <c r="D340" s="926"/>
      <c r="E340" s="926"/>
    </row>
    <row r="341" spans="1:5" x14ac:dyDescent="0.25">
      <c r="A341" s="925"/>
      <c r="B341" s="926"/>
      <c r="C341" s="926"/>
      <c r="D341" s="926"/>
      <c r="E341" s="926"/>
    </row>
    <row r="342" spans="1:5" x14ac:dyDescent="0.25">
      <c r="A342" s="925"/>
      <c r="B342" s="926"/>
      <c r="C342" s="926"/>
      <c r="D342" s="926"/>
      <c r="E342" s="926"/>
    </row>
    <row r="343" spans="1:5" x14ac:dyDescent="0.25">
      <c r="A343" s="925"/>
      <c r="B343" s="926"/>
      <c r="C343" s="926"/>
      <c r="D343" s="926"/>
      <c r="E343" s="926"/>
    </row>
    <row r="344" spans="1:5" x14ac:dyDescent="0.25">
      <c r="A344" s="925"/>
      <c r="B344" s="926"/>
      <c r="C344" s="926"/>
      <c r="D344" s="926"/>
      <c r="E344" s="926"/>
    </row>
    <row r="345" spans="1:5" x14ac:dyDescent="0.25">
      <c r="A345" s="925"/>
      <c r="B345" s="926"/>
      <c r="C345" s="926"/>
      <c r="D345" s="926"/>
      <c r="E345" s="926"/>
    </row>
    <row r="346" spans="1:5" x14ac:dyDescent="0.25">
      <c r="A346" s="925"/>
      <c r="B346" s="926"/>
      <c r="C346" s="926"/>
      <c r="D346" s="926"/>
      <c r="E346" s="926"/>
    </row>
    <row r="347" spans="1:5" x14ac:dyDescent="0.25">
      <c r="A347" s="925"/>
      <c r="B347" s="926"/>
      <c r="C347" s="926"/>
      <c r="D347" s="926"/>
      <c r="E347" s="926"/>
    </row>
    <row r="348" spans="1:5" x14ac:dyDescent="0.25">
      <c r="A348" s="925"/>
      <c r="B348" s="926"/>
      <c r="C348" s="926"/>
      <c r="D348" s="926"/>
      <c r="E348" s="926"/>
    </row>
    <row r="349" spans="1:5" x14ac:dyDescent="0.25">
      <c r="A349" s="925"/>
      <c r="B349" s="926"/>
      <c r="C349" s="926"/>
      <c r="D349" s="926"/>
      <c r="E349" s="926"/>
    </row>
    <row r="350" spans="1:5" x14ac:dyDescent="0.25">
      <c r="A350" s="925"/>
      <c r="B350" s="926"/>
      <c r="C350" s="926"/>
      <c r="D350" s="926"/>
      <c r="E350" s="926"/>
    </row>
    <row r="351" spans="1:5" x14ac:dyDescent="0.25">
      <c r="A351" s="925"/>
      <c r="B351" s="926"/>
      <c r="C351" s="926"/>
      <c r="D351" s="926"/>
      <c r="E351" s="926"/>
    </row>
    <row r="352" spans="1:5" x14ac:dyDescent="0.25">
      <c r="A352" s="925"/>
      <c r="B352" s="926"/>
      <c r="C352" s="926"/>
      <c r="D352" s="926"/>
      <c r="E352" s="926"/>
    </row>
    <row r="353" spans="1:5" x14ac:dyDescent="0.25">
      <c r="A353" s="925"/>
      <c r="B353" s="926"/>
      <c r="C353" s="926"/>
      <c r="D353" s="926"/>
      <c r="E353" s="926"/>
    </row>
    <row r="354" spans="1:5" x14ac:dyDescent="0.25">
      <c r="A354" s="925"/>
      <c r="B354" s="926"/>
      <c r="C354" s="926"/>
      <c r="D354" s="926"/>
      <c r="E354" s="926"/>
    </row>
    <row r="355" spans="1:5" x14ac:dyDescent="0.25">
      <c r="A355" s="925"/>
      <c r="B355" s="926"/>
      <c r="C355" s="926"/>
      <c r="D355" s="926"/>
      <c r="E355" s="926"/>
    </row>
    <row r="356" spans="1:5" x14ac:dyDescent="0.25">
      <c r="A356" s="925"/>
      <c r="B356" s="926"/>
      <c r="C356" s="926"/>
      <c r="D356" s="926"/>
      <c r="E356" s="926"/>
    </row>
    <row r="357" spans="1:5" x14ac:dyDescent="0.25">
      <c r="A357" s="925"/>
      <c r="B357" s="926"/>
      <c r="C357" s="926"/>
      <c r="D357" s="926"/>
      <c r="E357" s="926"/>
    </row>
    <row r="358" spans="1:5" x14ac:dyDescent="0.25">
      <c r="A358" s="925"/>
      <c r="B358" s="926"/>
      <c r="C358" s="926"/>
      <c r="D358" s="926"/>
      <c r="E358" s="926"/>
    </row>
    <row r="359" spans="1:5" x14ac:dyDescent="0.25">
      <c r="A359" s="925"/>
      <c r="B359" s="926"/>
      <c r="C359" s="926"/>
      <c r="D359" s="926"/>
      <c r="E359" s="926"/>
    </row>
    <row r="360" spans="1:5" x14ac:dyDescent="0.25">
      <c r="A360" s="925"/>
      <c r="B360" s="926"/>
      <c r="C360" s="926"/>
      <c r="D360" s="926"/>
      <c r="E360" s="926"/>
    </row>
    <row r="361" spans="1:5" x14ac:dyDescent="0.25">
      <c r="A361" s="925"/>
      <c r="B361" s="926"/>
      <c r="C361" s="926"/>
      <c r="D361" s="926"/>
      <c r="E361" s="926"/>
    </row>
    <row r="362" spans="1:5" x14ac:dyDescent="0.25">
      <c r="A362" s="925"/>
      <c r="B362" s="926"/>
      <c r="C362" s="926"/>
      <c r="D362" s="926"/>
      <c r="E362" s="926"/>
    </row>
    <row r="363" spans="1:5" x14ac:dyDescent="0.25">
      <c r="A363" s="925"/>
      <c r="B363" s="926"/>
      <c r="C363" s="926"/>
      <c r="D363" s="926"/>
      <c r="E363" s="926"/>
    </row>
    <row r="364" spans="1:5" x14ac:dyDescent="0.25">
      <c r="A364" s="925"/>
      <c r="B364" s="926"/>
      <c r="C364" s="926"/>
      <c r="D364" s="926"/>
      <c r="E364" s="926"/>
    </row>
    <row r="365" spans="1:5" x14ac:dyDescent="0.25">
      <c r="A365" s="925"/>
      <c r="B365" s="926"/>
      <c r="C365" s="926"/>
      <c r="D365" s="926"/>
      <c r="E365" s="926"/>
    </row>
    <row r="366" spans="1:5" x14ac:dyDescent="0.25">
      <c r="A366" s="925"/>
      <c r="B366" s="926"/>
      <c r="C366" s="926"/>
      <c r="D366" s="926"/>
      <c r="E366" s="926"/>
    </row>
    <row r="367" spans="1:5" x14ac:dyDescent="0.25">
      <c r="A367" s="925"/>
      <c r="B367" s="926"/>
      <c r="C367" s="926"/>
      <c r="D367" s="926"/>
      <c r="E367" s="926"/>
    </row>
    <row r="368" spans="1:5" x14ac:dyDescent="0.25">
      <c r="A368" s="925"/>
      <c r="B368" s="926"/>
      <c r="C368" s="926"/>
      <c r="D368" s="926"/>
      <c r="E368" s="926"/>
    </row>
    <row r="369" spans="1:5" x14ac:dyDescent="0.25">
      <c r="A369" s="925"/>
      <c r="B369" s="926"/>
      <c r="C369" s="926"/>
      <c r="D369" s="926"/>
      <c r="E369" s="926"/>
    </row>
    <row r="370" spans="1:5" x14ac:dyDescent="0.25">
      <c r="A370" s="925"/>
      <c r="B370" s="926"/>
      <c r="C370" s="926"/>
      <c r="D370" s="926"/>
      <c r="E370" s="926"/>
    </row>
    <row r="371" spans="1:5" x14ac:dyDescent="0.25">
      <c r="A371" s="925"/>
      <c r="B371" s="926"/>
      <c r="C371" s="926"/>
      <c r="D371" s="926"/>
      <c r="E371" s="926"/>
    </row>
    <row r="372" spans="1:5" x14ac:dyDescent="0.25">
      <c r="A372" s="925"/>
      <c r="B372" s="926"/>
      <c r="C372" s="926"/>
      <c r="D372" s="926"/>
      <c r="E372" s="926"/>
    </row>
    <row r="373" spans="1:5" x14ac:dyDescent="0.25">
      <c r="A373" s="925"/>
      <c r="B373" s="926"/>
      <c r="C373" s="926"/>
      <c r="D373" s="926"/>
      <c r="E373" s="926"/>
    </row>
    <row r="374" spans="1:5" x14ac:dyDescent="0.25">
      <c r="A374" s="925"/>
      <c r="B374" s="926"/>
      <c r="C374" s="926"/>
      <c r="D374" s="926"/>
      <c r="E374" s="926"/>
    </row>
    <row r="375" spans="1:5" x14ac:dyDescent="0.25">
      <c r="A375" s="925"/>
      <c r="B375" s="926"/>
      <c r="C375" s="926"/>
      <c r="D375" s="926"/>
      <c r="E375" s="926"/>
    </row>
    <row r="376" spans="1:5" x14ac:dyDescent="0.25">
      <c r="A376" s="925"/>
      <c r="B376" s="926"/>
      <c r="C376" s="926"/>
      <c r="D376" s="926"/>
      <c r="E376" s="926"/>
    </row>
    <row r="377" spans="1:5" x14ac:dyDescent="0.25">
      <c r="A377" s="925"/>
      <c r="B377" s="926"/>
      <c r="C377" s="926"/>
      <c r="D377" s="926"/>
      <c r="E377" s="926"/>
    </row>
    <row r="378" spans="1:5" x14ac:dyDescent="0.25">
      <c r="A378" s="925"/>
      <c r="B378" s="926"/>
      <c r="C378" s="926"/>
      <c r="D378" s="926"/>
      <c r="E378" s="926"/>
    </row>
    <row r="379" spans="1:5" x14ac:dyDescent="0.25">
      <c r="A379" s="925"/>
      <c r="B379" s="926"/>
      <c r="C379" s="926"/>
      <c r="D379" s="926"/>
      <c r="E379" s="926"/>
    </row>
    <row r="380" spans="1:5" x14ac:dyDescent="0.25">
      <c r="A380" s="925"/>
      <c r="B380" s="926"/>
      <c r="C380" s="926"/>
      <c r="D380" s="926"/>
      <c r="E380" s="926"/>
    </row>
    <row r="381" spans="1:5" x14ac:dyDescent="0.25">
      <c r="A381" s="925"/>
      <c r="B381" s="926"/>
      <c r="C381" s="926"/>
      <c r="D381" s="926"/>
      <c r="E381" s="926"/>
    </row>
    <row r="382" spans="1:5" x14ac:dyDescent="0.25">
      <c r="A382" s="925"/>
      <c r="B382" s="926"/>
      <c r="C382" s="926"/>
      <c r="D382" s="926"/>
      <c r="E382" s="926"/>
    </row>
    <row r="383" spans="1:5" x14ac:dyDescent="0.25">
      <c r="A383" s="925"/>
      <c r="B383" s="926"/>
      <c r="C383" s="926"/>
      <c r="D383" s="926"/>
      <c r="E383" s="926"/>
    </row>
    <row r="384" spans="1:5" x14ac:dyDescent="0.25">
      <c r="A384" s="925"/>
      <c r="B384" s="926"/>
      <c r="C384" s="926"/>
      <c r="D384" s="926"/>
      <c r="E384" s="926"/>
    </row>
    <row r="385" spans="1:5" x14ac:dyDescent="0.25">
      <c r="A385" s="925"/>
      <c r="B385" s="926"/>
      <c r="C385" s="926"/>
      <c r="D385" s="926"/>
      <c r="E385" s="926"/>
    </row>
    <row r="386" spans="1:5" x14ac:dyDescent="0.25">
      <c r="A386" s="925"/>
      <c r="B386" s="926"/>
      <c r="C386" s="926"/>
      <c r="D386" s="926"/>
      <c r="E386" s="926"/>
    </row>
    <row r="387" spans="1:5" x14ac:dyDescent="0.25">
      <c r="A387" s="925"/>
      <c r="B387" s="926"/>
      <c r="C387" s="926"/>
      <c r="D387" s="926"/>
      <c r="E387" s="926"/>
    </row>
    <row r="388" spans="1:5" x14ac:dyDescent="0.25">
      <c r="A388" s="925"/>
      <c r="B388" s="926"/>
      <c r="C388" s="926"/>
      <c r="D388" s="926"/>
      <c r="E388" s="926"/>
    </row>
    <row r="389" spans="1:5" x14ac:dyDescent="0.25">
      <c r="A389" s="925"/>
      <c r="B389" s="926"/>
      <c r="C389" s="926"/>
      <c r="D389" s="926"/>
      <c r="E389" s="926"/>
    </row>
    <row r="390" spans="1:5" x14ac:dyDescent="0.25">
      <c r="A390" s="925"/>
      <c r="B390" s="926"/>
      <c r="C390" s="926"/>
      <c r="D390" s="926"/>
      <c r="E390" s="926"/>
    </row>
    <row r="391" spans="1:5" x14ac:dyDescent="0.25">
      <c r="A391" s="925"/>
      <c r="B391" s="926"/>
      <c r="C391" s="926"/>
      <c r="D391" s="926"/>
      <c r="E391" s="926"/>
    </row>
    <row r="392" spans="1:5" x14ac:dyDescent="0.25">
      <c r="A392" s="925"/>
      <c r="B392" s="926"/>
      <c r="C392" s="926"/>
      <c r="D392" s="926"/>
      <c r="E392" s="926"/>
    </row>
    <row r="393" spans="1:5" x14ac:dyDescent="0.25">
      <c r="A393" s="925"/>
      <c r="B393" s="926"/>
      <c r="C393" s="926"/>
      <c r="D393" s="926"/>
      <c r="E393" s="926"/>
    </row>
    <row r="394" spans="1:5" x14ac:dyDescent="0.25">
      <c r="A394" s="925"/>
      <c r="B394" s="926"/>
      <c r="C394" s="926"/>
      <c r="D394" s="926"/>
      <c r="E394" s="926"/>
    </row>
    <row r="395" spans="1:5" x14ac:dyDescent="0.25">
      <c r="A395" s="925"/>
      <c r="B395" s="926"/>
      <c r="C395" s="926"/>
      <c r="D395" s="926"/>
      <c r="E395" s="926"/>
    </row>
    <row r="396" spans="1:5" x14ac:dyDescent="0.25">
      <c r="A396" s="925"/>
      <c r="B396" s="926"/>
      <c r="C396" s="926"/>
      <c r="D396" s="926"/>
      <c r="E396" s="926"/>
    </row>
    <row r="397" spans="1:5" x14ac:dyDescent="0.25">
      <c r="A397" s="925"/>
      <c r="B397" s="926"/>
      <c r="C397" s="926"/>
      <c r="D397" s="926"/>
      <c r="E397" s="926"/>
    </row>
    <row r="398" spans="1:5" x14ac:dyDescent="0.25">
      <c r="A398" s="925"/>
      <c r="B398" s="926"/>
      <c r="C398" s="926"/>
      <c r="D398" s="926"/>
      <c r="E398" s="926"/>
    </row>
    <row r="399" spans="1:5" x14ac:dyDescent="0.25">
      <c r="A399" s="925"/>
      <c r="B399" s="926"/>
      <c r="C399" s="926"/>
      <c r="D399" s="926"/>
      <c r="E399" s="926"/>
    </row>
    <row r="400" spans="1:5" x14ac:dyDescent="0.25">
      <c r="A400" s="925"/>
      <c r="B400" s="926"/>
      <c r="C400" s="926"/>
      <c r="D400" s="926"/>
      <c r="E400" s="926"/>
    </row>
    <row r="401" spans="1:5" x14ac:dyDescent="0.25">
      <c r="A401" s="925"/>
      <c r="B401" s="926"/>
      <c r="C401" s="926"/>
      <c r="D401" s="926"/>
      <c r="E401" s="926"/>
    </row>
    <row r="402" spans="1:5" x14ac:dyDescent="0.25">
      <c r="A402" s="925"/>
      <c r="B402" s="926"/>
      <c r="C402" s="926"/>
      <c r="D402" s="926"/>
      <c r="E402" s="926"/>
    </row>
    <row r="403" spans="1:5" x14ac:dyDescent="0.25">
      <c r="A403" s="925"/>
      <c r="B403" s="926"/>
      <c r="C403" s="926"/>
      <c r="D403" s="926"/>
      <c r="E403" s="926"/>
    </row>
    <row r="404" spans="1:5" x14ac:dyDescent="0.25">
      <c r="A404" s="925"/>
      <c r="B404" s="926"/>
      <c r="C404" s="926"/>
      <c r="D404" s="926"/>
      <c r="E404" s="926"/>
    </row>
    <row r="405" spans="1:5" x14ac:dyDescent="0.25">
      <c r="A405" s="925"/>
      <c r="B405" s="926"/>
      <c r="C405" s="926"/>
      <c r="D405" s="926"/>
      <c r="E405" s="926"/>
    </row>
    <row r="406" spans="1:5" x14ac:dyDescent="0.25">
      <c r="A406" s="925"/>
      <c r="B406" s="926"/>
      <c r="C406" s="926"/>
      <c r="D406" s="926"/>
      <c r="E406" s="926"/>
    </row>
    <row r="407" spans="1:5" x14ac:dyDescent="0.25">
      <c r="A407" s="925"/>
      <c r="B407" s="926"/>
      <c r="C407" s="926"/>
      <c r="D407" s="926"/>
      <c r="E407" s="926"/>
    </row>
    <row r="408" spans="1:5" x14ac:dyDescent="0.25">
      <c r="A408" s="925"/>
      <c r="B408" s="926"/>
      <c r="C408" s="926"/>
      <c r="D408" s="926"/>
      <c r="E408" s="926"/>
    </row>
    <row r="409" spans="1:5" x14ac:dyDescent="0.25">
      <c r="A409" s="925"/>
      <c r="B409" s="926"/>
      <c r="C409" s="926"/>
      <c r="D409" s="926"/>
      <c r="E409" s="926"/>
    </row>
    <row r="410" spans="1:5" x14ac:dyDescent="0.25">
      <c r="A410" s="925"/>
      <c r="B410" s="926"/>
      <c r="C410" s="926"/>
      <c r="D410" s="926"/>
      <c r="E410" s="926"/>
    </row>
    <row r="411" spans="1:5" x14ac:dyDescent="0.25">
      <c r="A411" s="925"/>
      <c r="B411" s="926"/>
      <c r="C411" s="926"/>
      <c r="D411" s="926"/>
      <c r="E411" s="926"/>
    </row>
    <row r="412" spans="1:5" x14ac:dyDescent="0.25">
      <c r="A412" s="925"/>
      <c r="B412" s="926"/>
      <c r="C412" s="926"/>
      <c r="D412" s="926"/>
      <c r="E412" s="926"/>
    </row>
    <row r="413" spans="1:5" x14ac:dyDescent="0.25">
      <c r="A413" s="925"/>
      <c r="B413" s="926"/>
      <c r="C413" s="926"/>
      <c r="D413" s="926"/>
      <c r="E413" s="926"/>
    </row>
    <row r="414" spans="1:5" x14ac:dyDescent="0.25">
      <c r="A414" s="925"/>
      <c r="B414" s="926"/>
      <c r="C414" s="926"/>
      <c r="D414" s="926"/>
      <c r="E414" s="926"/>
    </row>
    <row r="415" spans="1:5" x14ac:dyDescent="0.25">
      <c r="A415" s="925"/>
      <c r="B415" s="926"/>
      <c r="C415" s="926"/>
      <c r="D415" s="926"/>
      <c r="E415" s="926"/>
    </row>
    <row r="416" spans="1:5" x14ac:dyDescent="0.25">
      <c r="A416" s="925"/>
      <c r="B416" s="926"/>
      <c r="C416" s="926"/>
      <c r="D416" s="926"/>
      <c r="E416" s="926"/>
    </row>
    <row r="417" spans="1:5" x14ac:dyDescent="0.25">
      <c r="A417" s="925"/>
      <c r="B417" s="926"/>
      <c r="C417" s="926"/>
      <c r="D417" s="926"/>
      <c r="E417" s="926"/>
    </row>
    <row r="418" spans="1:5" x14ac:dyDescent="0.25">
      <c r="A418" s="925"/>
      <c r="B418" s="926"/>
      <c r="C418" s="926"/>
      <c r="D418" s="926"/>
      <c r="E418" s="926"/>
    </row>
    <row r="419" spans="1:5" x14ac:dyDescent="0.25">
      <c r="A419" s="925"/>
      <c r="B419" s="926"/>
      <c r="C419" s="926"/>
      <c r="D419" s="926"/>
      <c r="E419" s="926"/>
    </row>
    <row r="420" spans="1:5" x14ac:dyDescent="0.25">
      <c r="A420" s="925"/>
      <c r="B420" s="926"/>
      <c r="C420" s="926"/>
      <c r="D420" s="926"/>
      <c r="E420" s="926"/>
    </row>
    <row r="421" spans="1:5" x14ac:dyDescent="0.25">
      <c r="A421" s="925"/>
      <c r="B421" s="926"/>
      <c r="C421" s="926"/>
      <c r="D421" s="926"/>
      <c r="E421" s="926"/>
    </row>
    <row r="422" spans="1:5" x14ac:dyDescent="0.25">
      <c r="A422" s="925"/>
      <c r="B422" s="926"/>
      <c r="C422" s="926"/>
      <c r="D422" s="926"/>
      <c r="E422" s="926"/>
    </row>
    <row r="423" spans="1:5" x14ac:dyDescent="0.25">
      <c r="A423" s="925"/>
      <c r="B423" s="926"/>
      <c r="C423" s="926"/>
      <c r="D423" s="926"/>
      <c r="E423" s="926"/>
    </row>
    <row r="424" spans="1:5" x14ac:dyDescent="0.25">
      <c r="A424" s="925"/>
      <c r="B424" s="926"/>
      <c r="C424" s="926"/>
      <c r="D424" s="926"/>
      <c r="E424" s="926"/>
    </row>
    <row r="425" spans="1:5" x14ac:dyDescent="0.25">
      <c r="A425" s="925"/>
      <c r="B425" s="926"/>
      <c r="C425" s="926"/>
      <c r="D425" s="926"/>
      <c r="E425" s="926"/>
    </row>
    <row r="426" spans="1:5" x14ac:dyDescent="0.25">
      <c r="A426" s="925"/>
      <c r="B426" s="926"/>
      <c r="C426" s="926"/>
      <c r="D426" s="926"/>
      <c r="E426" s="926"/>
    </row>
    <row r="427" spans="1:5" x14ac:dyDescent="0.25">
      <c r="A427" s="925"/>
      <c r="B427" s="926"/>
      <c r="C427" s="926"/>
      <c r="D427" s="926"/>
      <c r="E427" s="926"/>
    </row>
    <row r="428" spans="1:5" x14ac:dyDescent="0.25">
      <c r="A428" s="925"/>
      <c r="B428" s="926"/>
      <c r="C428" s="926"/>
      <c r="D428" s="926"/>
      <c r="E428" s="926"/>
    </row>
    <row r="429" spans="1:5" x14ac:dyDescent="0.25">
      <c r="A429" s="925"/>
      <c r="B429" s="926"/>
      <c r="C429" s="926"/>
      <c r="D429" s="926"/>
      <c r="E429" s="926"/>
    </row>
    <row r="430" spans="1:5" x14ac:dyDescent="0.25">
      <c r="A430" s="925"/>
      <c r="B430" s="926"/>
      <c r="C430" s="926"/>
      <c r="D430" s="926"/>
      <c r="E430" s="926"/>
    </row>
    <row r="431" spans="1:5" x14ac:dyDescent="0.25">
      <c r="A431" s="925"/>
      <c r="B431" s="926"/>
      <c r="C431" s="926"/>
      <c r="D431" s="926"/>
      <c r="E431" s="926"/>
    </row>
    <row r="432" spans="1:5" x14ac:dyDescent="0.25">
      <c r="A432" s="925"/>
      <c r="B432" s="926"/>
      <c r="C432" s="926"/>
      <c r="D432" s="926"/>
      <c r="E432" s="926"/>
    </row>
    <row r="433" spans="1:5" x14ac:dyDescent="0.25">
      <c r="A433" s="925"/>
      <c r="B433" s="926"/>
      <c r="C433" s="926"/>
      <c r="D433" s="926"/>
      <c r="E433" s="926"/>
    </row>
    <row r="434" spans="1:5" x14ac:dyDescent="0.25">
      <c r="A434" s="925"/>
      <c r="B434" s="926"/>
      <c r="C434" s="926"/>
      <c r="D434" s="926"/>
      <c r="E434" s="926"/>
    </row>
    <row r="435" spans="1:5" x14ac:dyDescent="0.25">
      <c r="A435" s="925"/>
      <c r="B435" s="926"/>
      <c r="C435" s="926"/>
      <c r="D435" s="926"/>
      <c r="E435" s="926"/>
    </row>
    <row r="436" spans="1:5" x14ac:dyDescent="0.25">
      <c r="A436" s="925"/>
      <c r="B436" s="926"/>
      <c r="C436" s="926"/>
      <c r="D436" s="926"/>
      <c r="E436" s="926"/>
    </row>
    <row r="437" spans="1:5" x14ac:dyDescent="0.25">
      <c r="A437" s="925"/>
      <c r="B437" s="926"/>
      <c r="C437" s="926"/>
      <c r="D437" s="926"/>
      <c r="E437" s="926"/>
    </row>
    <row r="438" spans="1:5" x14ac:dyDescent="0.25">
      <c r="A438" s="925"/>
      <c r="B438" s="926"/>
      <c r="C438" s="926"/>
      <c r="D438" s="926"/>
      <c r="E438" s="926"/>
    </row>
    <row r="439" spans="1:5" x14ac:dyDescent="0.25">
      <c r="A439" s="925"/>
      <c r="B439" s="926"/>
      <c r="C439" s="926"/>
      <c r="D439" s="926"/>
      <c r="E439" s="926"/>
    </row>
    <row r="440" spans="1:5" x14ac:dyDescent="0.25">
      <c r="A440" s="925"/>
      <c r="B440" s="926"/>
      <c r="C440" s="926"/>
      <c r="D440" s="926"/>
      <c r="E440" s="926"/>
    </row>
    <row r="441" spans="1:5" x14ac:dyDescent="0.25">
      <c r="A441" s="925"/>
      <c r="B441" s="926"/>
      <c r="C441" s="926"/>
      <c r="D441" s="926"/>
      <c r="E441" s="926"/>
    </row>
    <row r="442" spans="1:5" x14ac:dyDescent="0.25">
      <c r="A442" s="925"/>
      <c r="B442" s="926"/>
      <c r="C442" s="926"/>
      <c r="D442" s="926"/>
      <c r="E442" s="926"/>
    </row>
    <row r="443" spans="1:5" x14ac:dyDescent="0.25">
      <c r="A443" s="925"/>
      <c r="B443" s="926"/>
      <c r="C443" s="926"/>
      <c r="D443" s="926"/>
      <c r="E443" s="926"/>
    </row>
    <row r="444" spans="1:5" x14ac:dyDescent="0.25">
      <c r="A444" s="925"/>
      <c r="B444" s="926"/>
      <c r="C444" s="926"/>
      <c r="D444" s="926"/>
      <c r="E444" s="926"/>
    </row>
    <row r="445" spans="1:5" x14ac:dyDescent="0.25">
      <c r="A445" s="925"/>
      <c r="B445" s="926"/>
      <c r="C445" s="926"/>
      <c r="D445" s="926"/>
      <c r="E445" s="926"/>
    </row>
    <row r="446" spans="1:5" x14ac:dyDescent="0.25">
      <c r="A446" s="925"/>
      <c r="B446" s="926"/>
      <c r="C446" s="926"/>
      <c r="D446" s="926"/>
      <c r="E446" s="926"/>
    </row>
    <row r="447" spans="1:5" x14ac:dyDescent="0.25">
      <c r="A447" s="925"/>
      <c r="B447" s="926"/>
      <c r="C447" s="926"/>
      <c r="D447" s="926"/>
      <c r="E447" s="926"/>
    </row>
    <row r="448" spans="1:5" x14ac:dyDescent="0.25">
      <c r="A448" s="925"/>
      <c r="B448" s="926"/>
      <c r="C448" s="926"/>
      <c r="D448" s="926"/>
      <c r="E448" s="926"/>
    </row>
    <row r="449" spans="1:5" x14ac:dyDescent="0.25">
      <c r="A449" s="925"/>
      <c r="B449" s="926"/>
      <c r="C449" s="926"/>
      <c r="D449" s="926"/>
      <c r="E449" s="926"/>
    </row>
    <row r="450" spans="1:5" x14ac:dyDescent="0.25">
      <c r="A450" s="925"/>
      <c r="B450" s="926"/>
      <c r="C450" s="926"/>
      <c r="D450" s="926"/>
      <c r="E450" s="926"/>
    </row>
    <row r="451" spans="1:5" x14ac:dyDescent="0.25">
      <c r="A451" s="925"/>
      <c r="B451" s="926"/>
      <c r="C451" s="926"/>
      <c r="D451" s="926"/>
      <c r="E451" s="926"/>
    </row>
    <row r="452" spans="1:5" x14ac:dyDescent="0.25">
      <c r="A452" s="925"/>
      <c r="B452" s="926"/>
      <c r="C452" s="926"/>
      <c r="D452" s="926"/>
      <c r="E452" s="926"/>
    </row>
    <row r="453" spans="1:5" x14ac:dyDescent="0.25">
      <c r="A453" s="925"/>
      <c r="B453" s="926"/>
      <c r="C453" s="926"/>
      <c r="D453" s="926"/>
      <c r="E453" s="926"/>
    </row>
    <row r="454" spans="1:5" x14ac:dyDescent="0.25">
      <c r="A454" s="925"/>
      <c r="B454" s="926"/>
      <c r="C454" s="926"/>
      <c r="D454" s="926"/>
      <c r="E454" s="926"/>
    </row>
    <row r="455" spans="1:5" x14ac:dyDescent="0.25">
      <c r="A455" s="925"/>
      <c r="B455" s="926"/>
      <c r="C455" s="926"/>
      <c r="D455" s="926"/>
      <c r="E455" s="926"/>
    </row>
    <row r="456" spans="1:5" x14ac:dyDescent="0.25">
      <c r="A456" s="925"/>
      <c r="B456" s="926"/>
      <c r="C456" s="926"/>
      <c r="D456" s="926"/>
      <c r="E456" s="926"/>
    </row>
    <row r="457" spans="1:5" x14ac:dyDescent="0.25">
      <c r="A457" s="925"/>
      <c r="B457" s="926"/>
      <c r="C457" s="926"/>
      <c r="D457" s="926"/>
      <c r="E457" s="926"/>
    </row>
    <row r="458" spans="1:5" x14ac:dyDescent="0.25">
      <c r="A458" s="925"/>
      <c r="B458" s="926"/>
      <c r="C458" s="926"/>
      <c r="D458" s="926"/>
      <c r="E458" s="926"/>
    </row>
    <row r="459" spans="1:5" x14ac:dyDescent="0.25">
      <c r="A459" s="925"/>
      <c r="B459" s="926"/>
      <c r="C459" s="926"/>
      <c r="D459" s="926"/>
      <c r="E459" s="926"/>
    </row>
    <row r="460" spans="1:5" x14ac:dyDescent="0.25">
      <c r="A460" s="925"/>
      <c r="B460" s="926"/>
      <c r="C460" s="926"/>
      <c r="D460" s="926"/>
      <c r="E460" s="926"/>
    </row>
    <row r="461" spans="1:5" x14ac:dyDescent="0.25">
      <c r="A461" s="925"/>
      <c r="B461" s="926"/>
      <c r="C461" s="926"/>
      <c r="D461" s="926"/>
      <c r="E461" s="926"/>
    </row>
    <row r="462" spans="1:5" x14ac:dyDescent="0.25">
      <c r="A462" s="925"/>
      <c r="B462" s="926"/>
      <c r="C462" s="926"/>
      <c r="D462" s="926"/>
      <c r="E462" s="926"/>
    </row>
    <row r="463" spans="1:5" x14ac:dyDescent="0.25">
      <c r="A463" s="925"/>
      <c r="B463" s="926"/>
      <c r="C463" s="926"/>
      <c r="D463" s="926"/>
      <c r="E463" s="926"/>
    </row>
    <row r="464" spans="1:5" x14ac:dyDescent="0.25">
      <c r="A464" s="925"/>
      <c r="B464" s="926"/>
      <c r="C464" s="926"/>
      <c r="D464" s="926"/>
      <c r="E464" s="926"/>
    </row>
    <row r="465" spans="1:5" x14ac:dyDescent="0.25">
      <c r="A465" s="925"/>
      <c r="B465" s="926"/>
      <c r="C465" s="926"/>
      <c r="D465" s="926"/>
      <c r="E465" s="926"/>
    </row>
    <row r="466" spans="1:5" x14ac:dyDescent="0.25">
      <c r="A466" s="925"/>
      <c r="B466" s="926"/>
      <c r="C466" s="926"/>
      <c r="D466" s="926"/>
      <c r="E466" s="926"/>
    </row>
    <row r="467" spans="1:5" x14ac:dyDescent="0.25">
      <c r="A467" s="925"/>
      <c r="B467" s="926"/>
      <c r="C467" s="926"/>
      <c r="D467" s="926"/>
      <c r="E467" s="926"/>
    </row>
    <row r="468" spans="1:5" x14ac:dyDescent="0.25">
      <c r="A468" s="925"/>
      <c r="B468" s="926"/>
      <c r="C468" s="926"/>
      <c r="D468" s="926"/>
      <c r="E468" s="926"/>
    </row>
    <row r="469" spans="1:5" x14ac:dyDescent="0.25">
      <c r="A469" s="925"/>
      <c r="B469" s="926"/>
      <c r="C469" s="926"/>
      <c r="D469" s="926"/>
      <c r="E469" s="926"/>
    </row>
    <row r="470" spans="1:5" x14ac:dyDescent="0.25">
      <c r="A470" s="925"/>
      <c r="B470" s="926"/>
      <c r="C470" s="926"/>
      <c r="D470" s="926"/>
      <c r="E470" s="926"/>
    </row>
    <row r="471" spans="1:5" x14ac:dyDescent="0.25">
      <c r="A471" s="925"/>
      <c r="B471" s="926"/>
      <c r="C471" s="926"/>
      <c r="D471" s="926"/>
      <c r="E471" s="926"/>
    </row>
    <row r="472" spans="1:5" x14ac:dyDescent="0.25">
      <c r="A472" s="925"/>
      <c r="B472" s="926"/>
      <c r="C472" s="926"/>
      <c r="D472" s="926"/>
      <c r="E472" s="926"/>
    </row>
    <row r="473" spans="1:5" x14ac:dyDescent="0.25">
      <c r="A473" s="925"/>
      <c r="B473" s="926"/>
      <c r="C473" s="926"/>
      <c r="D473" s="926"/>
      <c r="E473" s="926"/>
    </row>
    <row r="474" spans="1:5" x14ac:dyDescent="0.25">
      <c r="A474" s="925"/>
      <c r="B474" s="926"/>
      <c r="C474" s="926"/>
      <c r="D474" s="926"/>
      <c r="E474" s="926"/>
    </row>
    <row r="475" spans="1:5" x14ac:dyDescent="0.25">
      <c r="A475" s="925"/>
      <c r="B475" s="926"/>
      <c r="C475" s="926"/>
      <c r="D475" s="926"/>
      <c r="E475" s="926"/>
    </row>
    <row r="476" spans="1:5" x14ac:dyDescent="0.25">
      <c r="A476" s="925"/>
      <c r="B476" s="926"/>
      <c r="C476" s="926"/>
      <c r="D476" s="926"/>
      <c r="E476" s="926"/>
    </row>
    <row r="477" spans="1:5" x14ac:dyDescent="0.25">
      <c r="A477" s="925"/>
      <c r="B477" s="926"/>
      <c r="C477" s="926"/>
      <c r="D477" s="926"/>
      <c r="E477" s="926"/>
    </row>
    <row r="478" spans="1:5" x14ac:dyDescent="0.25">
      <c r="A478" s="925"/>
      <c r="B478" s="926"/>
      <c r="C478" s="926"/>
      <c r="D478" s="926"/>
      <c r="E478" s="926"/>
    </row>
    <row r="479" spans="1:5" x14ac:dyDescent="0.25">
      <c r="A479" s="925"/>
      <c r="B479" s="926"/>
      <c r="C479" s="926"/>
      <c r="D479" s="926"/>
      <c r="E479" s="926"/>
    </row>
    <row r="480" spans="1:5" x14ac:dyDescent="0.25">
      <c r="A480" s="925"/>
      <c r="B480" s="926"/>
      <c r="C480" s="926"/>
      <c r="D480" s="926"/>
      <c r="E480" s="926"/>
    </row>
    <row r="481" spans="1:5" x14ac:dyDescent="0.25">
      <c r="A481" s="925"/>
      <c r="B481" s="926"/>
      <c r="C481" s="926"/>
      <c r="D481" s="926"/>
      <c r="E481" s="926"/>
    </row>
    <row r="482" spans="1:5" x14ac:dyDescent="0.25">
      <c r="A482" s="925"/>
      <c r="B482" s="926"/>
      <c r="C482" s="926"/>
      <c r="D482" s="926"/>
      <c r="E482" s="926"/>
    </row>
    <row r="483" spans="1:5" x14ac:dyDescent="0.25">
      <c r="A483" s="925"/>
      <c r="B483" s="926"/>
      <c r="C483" s="926"/>
      <c r="D483" s="926"/>
      <c r="E483" s="926"/>
    </row>
    <row r="484" spans="1:5" x14ac:dyDescent="0.25">
      <c r="A484" s="925"/>
      <c r="B484" s="926"/>
      <c r="C484" s="926"/>
      <c r="D484" s="926"/>
      <c r="E484" s="926"/>
    </row>
    <row r="485" spans="1:5" x14ac:dyDescent="0.25">
      <c r="A485" s="925"/>
      <c r="B485" s="926"/>
      <c r="C485" s="926"/>
      <c r="D485" s="926"/>
      <c r="E485" s="926"/>
    </row>
    <row r="486" spans="1:5" x14ac:dyDescent="0.25">
      <c r="A486" s="925"/>
      <c r="B486" s="926"/>
      <c r="C486" s="926"/>
      <c r="D486" s="926"/>
      <c r="E486" s="926"/>
    </row>
    <row r="487" spans="1:5" x14ac:dyDescent="0.25">
      <c r="A487" s="925"/>
      <c r="B487" s="926"/>
      <c r="C487" s="926"/>
      <c r="D487" s="926"/>
      <c r="E487" s="926"/>
    </row>
    <row r="488" spans="1:5" x14ac:dyDescent="0.25">
      <c r="A488" s="925"/>
      <c r="B488" s="926"/>
      <c r="C488" s="926"/>
      <c r="D488" s="926"/>
      <c r="E488" s="926"/>
    </row>
    <row r="489" spans="1:5" x14ac:dyDescent="0.25">
      <c r="A489" s="925"/>
      <c r="B489" s="926"/>
      <c r="C489" s="926"/>
      <c r="D489" s="926"/>
      <c r="E489" s="926"/>
    </row>
    <row r="490" spans="1:5" x14ac:dyDescent="0.25">
      <c r="A490" s="925"/>
      <c r="B490" s="926"/>
      <c r="C490" s="926"/>
      <c r="D490" s="926"/>
      <c r="E490" s="926"/>
    </row>
    <row r="491" spans="1:5" x14ac:dyDescent="0.25">
      <c r="A491" s="925"/>
      <c r="B491" s="926"/>
      <c r="C491" s="926"/>
      <c r="D491" s="926"/>
      <c r="E491" s="926"/>
    </row>
    <row r="492" spans="1:5" x14ac:dyDescent="0.25">
      <c r="A492" s="925"/>
      <c r="B492" s="926"/>
      <c r="C492" s="926"/>
      <c r="D492" s="926"/>
      <c r="E492" s="926"/>
    </row>
    <row r="493" spans="1:5" x14ac:dyDescent="0.25">
      <c r="A493" s="925"/>
      <c r="B493" s="926"/>
      <c r="C493" s="926"/>
      <c r="D493" s="926"/>
      <c r="E493" s="926"/>
    </row>
    <row r="494" spans="1:5" x14ac:dyDescent="0.25">
      <c r="A494" s="925"/>
      <c r="B494" s="926"/>
      <c r="C494" s="926"/>
      <c r="D494" s="926"/>
      <c r="E494" s="926"/>
    </row>
    <row r="495" spans="1:5" x14ac:dyDescent="0.25">
      <c r="A495" s="925"/>
      <c r="B495" s="926"/>
      <c r="C495" s="926"/>
      <c r="D495" s="926"/>
      <c r="E495" s="926"/>
    </row>
    <row r="496" spans="1:5" x14ac:dyDescent="0.25">
      <c r="A496" s="925"/>
      <c r="B496" s="926"/>
      <c r="C496" s="926"/>
      <c r="D496" s="926"/>
      <c r="E496" s="926"/>
    </row>
    <row r="497" spans="1:5" x14ac:dyDescent="0.25">
      <c r="A497" s="925"/>
      <c r="B497" s="926"/>
      <c r="C497" s="926"/>
      <c r="D497" s="926"/>
      <c r="E497" s="926"/>
    </row>
    <row r="498" spans="1:5" x14ac:dyDescent="0.25">
      <c r="A498" s="925"/>
      <c r="B498" s="926"/>
      <c r="C498" s="926"/>
      <c r="D498" s="926"/>
      <c r="E498" s="926"/>
    </row>
    <row r="499" spans="1:5" x14ac:dyDescent="0.25">
      <c r="A499" s="925"/>
      <c r="B499" s="926"/>
      <c r="C499" s="926"/>
      <c r="D499" s="926"/>
      <c r="E499" s="926"/>
    </row>
    <row r="500" spans="1:5" x14ac:dyDescent="0.25">
      <c r="A500" s="925"/>
      <c r="B500" s="926"/>
      <c r="C500" s="926"/>
      <c r="D500" s="926"/>
      <c r="E500" s="926"/>
    </row>
    <row r="501" spans="1:5" x14ac:dyDescent="0.25">
      <c r="A501" s="925"/>
      <c r="B501" s="926"/>
      <c r="C501" s="926"/>
      <c r="D501" s="926"/>
      <c r="E501" s="926"/>
    </row>
    <row r="502" spans="1:5" x14ac:dyDescent="0.25">
      <c r="A502" s="925"/>
      <c r="B502" s="926"/>
      <c r="C502" s="926"/>
      <c r="D502" s="926"/>
      <c r="E502" s="926"/>
    </row>
    <row r="503" spans="1:5" x14ac:dyDescent="0.25">
      <c r="A503" s="925"/>
      <c r="B503" s="926"/>
      <c r="C503" s="926"/>
      <c r="D503" s="926"/>
      <c r="E503" s="926"/>
    </row>
    <row r="504" spans="1:5" x14ac:dyDescent="0.25">
      <c r="A504" s="925"/>
      <c r="B504" s="926"/>
      <c r="C504" s="926"/>
      <c r="D504" s="926"/>
      <c r="E504" s="926"/>
    </row>
    <row r="505" spans="1:5" x14ac:dyDescent="0.25">
      <c r="A505" s="925"/>
      <c r="B505" s="926"/>
      <c r="C505" s="926"/>
      <c r="D505" s="926"/>
      <c r="E505" s="926"/>
    </row>
    <row r="506" spans="1:5" x14ac:dyDescent="0.25">
      <c r="A506" s="925"/>
      <c r="B506" s="926"/>
      <c r="C506" s="926"/>
      <c r="D506" s="926"/>
      <c r="E506" s="926"/>
    </row>
    <row r="507" spans="1:5" x14ac:dyDescent="0.25">
      <c r="A507" s="925"/>
      <c r="B507" s="926"/>
      <c r="C507" s="926"/>
      <c r="D507" s="926"/>
      <c r="E507" s="926"/>
    </row>
    <row r="508" spans="1:5" x14ac:dyDescent="0.25">
      <c r="A508" s="925"/>
      <c r="B508" s="926"/>
      <c r="C508" s="926"/>
      <c r="D508" s="926"/>
      <c r="E508" s="926"/>
    </row>
    <row r="509" spans="1:5" x14ac:dyDescent="0.25">
      <c r="A509" s="925"/>
      <c r="B509" s="926"/>
      <c r="C509" s="926"/>
      <c r="D509" s="926"/>
      <c r="E509" s="926"/>
    </row>
    <row r="510" spans="1:5" x14ac:dyDescent="0.25">
      <c r="A510" s="925"/>
      <c r="B510" s="926"/>
      <c r="C510" s="926"/>
      <c r="D510" s="926"/>
      <c r="E510" s="926"/>
    </row>
    <row r="511" spans="1:5" x14ac:dyDescent="0.25">
      <c r="A511" s="925"/>
      <c r="B511" s="926"/>
      <c r="C511" s="926"/>
      <c r="D511" s="926"/>
      <c r="E511" s="926"/>
    </row>
    <row r="512" spans="1:5" x14ac:dyDescent="0.25">
      <c r="A512" s="925"/>
      <c r="B512" s="926"/>
      <c r="C512" s="926"/>
      <c r="D512" s="926"/>
      <c r="E512" s="926"/>
    </row>
    <row r="513" spans="1:5" x14ac:dyDescent="0.25">
      <c r="A513" s="925"/>
      <c r="B513" s="926"/>
      <c r="C513" s="926"/>
      <c r="D513" s="926"/>
      <c r="E513" s="926"/>
    </row>
    <row r="514" spans="1:5" x14ac:dyDescent="0.25">
      <c r="A514" s="925"/>
      <c r="B514" s="926"/>
      <c r="C514" s="926"/>
      <c r="D514" s="926"/>
      <c r="E514" s="926"/>
    </row>
    <row r="515" spans="1:5" x14ac:dyDescent="0.25">
      <c r="A515" s="925"/>
      <c r="B515" s="926"/>
      <c r="C515" s="926"/>
      <c r="D515" s="926"/>
      <c r="E515" s="926"/>
    </row>
    <row r="516" spans="1:5" x14ac:dyDescent="0.25">
      <c r="A516" s="925"/>
      <c r="B516" s="926"/>
      <c r="C516" s="926"/>
      <c r="D516" s="926"/>
      <c r="E516" s="926"/>
    </row>
    <row r="517" spans="1:5" x14ac:dyDescent="0.25">
      <c r="A517" s="925"/>
      <c r="B517" s="926"/>
      <c r="C517" s="926"/>
      <c r="D517" s="926"/>
      <c r="E517" s="926"/>
    </row>
    <row r="518" spans="1:5" x14ac:dyDescent="0.25">
      <c r="A518" s="925"/>
      <c r="B518" s="926"/>
      <c r="C518" s="926"/>
      <c r="D518" s="926"/>
      <c r="E518" s="926"/>
    </row>
    <row r="519" spans="1:5" x14ac:dyDescent="0.25">
      <c r="A519" s="925"/>
      <c r="B519" s="926"/>
      <c r="C519" s="926"/>
      <c r="D519" s="926"/>
      <c r="E519" s="926"/>
    </row>
    <row r="520" spans="1:5" x14ac:dyDescent="0.25">
      <c r="A520" s="925"/>
      <c r="B520" s="926"/>
      <c r="C520" s="926"/>
      <c r="D520" s="926"/>
      <c r="E520" s="926"/>
    </row>
    <row r="521" spans="1:5" x14ac:dyDescent="0.25">
      <c r="A521" s="925"/>
      <c r="B521" s="926"/>
      <c r="C521" s="926"/>
      <c r="D521" s="926"/>
      <c r="E521" s="926"/>
    </row>
    <row r="522" spans="1:5" x14ac:dyDescent="0.25">
      <c r="A522" s="925"/>
      <c r="B522" s="926"/>
      <c r="C522" s="926"/>
      <c r="D522" s="926"/>
      <c r="E522" s="926"/>
    </row>
    <row r="523" spans="1:5" x14ac:dyDescent="0.25">
      <c r="A523" s="925"/>
      <c r="B523" s="926"/>
      <c r="C523" s="926"/>
      <c r="D523" s="926"/>
      <c r="E523" s="926"/>
    </row>
    <row r="524" spans="1:5" x14ac:dyDescent="0.25">
      <c r="A524" s="925"/>
      <c r="B524" s="926"/>
      <c r="C524" s="926"/>
      <c r="D524" s="926"/>
      <c r="E524" s="926"/>
    </row>
    <row r="525" spans="1:5" x14ac:dyDescent="0.25">
      <c r="A525" s="925"/>
      <c r="B525" s="926"/>
      <c r="C525" s="926"/>
      <c r="D525" s="926"/>
      <c r="E525" s="926"/>
    </row>
    <row r="526" spans="1:5" x14ac:dyDescent="0.25">
      <c r="A526" s="925"/>
      <c r="B526" s="926"/>
      <c r="C526" s="926"/>
      <c r="D526" s="926"/>
      <c r="E526" s="926"/>
    </row>
    <row r="527" spans="1:5" x14ac:dyDescent="0.25">
      <c r="A527" s="925"/>
      <c r="B527" s="926"/>
      <c r="C527" s="926"/>
      <c r="D527" s="926"/>
      <c r="E527" s="926"/>
    </row>
    <row r="528" spans="1:5" x14ac:dyDescent="0.25">
      <c r="A528" s="925"/>
      <c r="B528" s="926"/>
      <c r="C528" s="926"/>
      <c r="D528" s="926"/>
      <c r="E528" s="926"/>
    </row>
    <row r="529" spans="1:5" x14ac:dyDescent="0.25">
      <c r="A529" s="925"/>
      <c r="B529" s="926"/>
      <c r="C529" s="926"/>
      <c r="D529" s="926"/>
      <c r="E529" s="926"/>
    </row>
    <row r="530" spans="1:5" x14ac:dyDescent="0.25">
      <c r="A530" s="925"/>
      <c r="B530" s="926"/>
      <c r="C530" s="926"/>
      <c r="D530" s="926"/>
      <c r="E530" s="926"/>
    </row>
    <row r="531" spans="1:5" x14ac:dyDescent="0.25">
      <c r="A531" s="925"/>
      <c r="B531" s="926"/>
      <c r="C531" s="926"/>
      <c r="D531" s="926"/>
      <c r="E531" s="926"/>
    </row>
    <row r="532" spans="1:5" x14ac:dyDescent="0.25">
      <c r="A532" s="925"/>
      <c r="B532" s="926"/>
      <c r="C532" s="926"/>
      <c r="D532" s="926"/>
      <c r="E532" s="926"/>
    </row>
    <row r="533" spans="1:5" x14ac:dyDescent="0.25">
      <c r="A533" s="925"/>
      <c r="B533" s="926"/>
      <c r="C533" s="926"/>
      <c r="D533" s="926"/>
      <c r="E533" s="926"/>
    </row>
    <row r="534" spans="1:5" x14ac:dyDescent="0.25">
      <c r="A534" s="925"/>
      <c r="B534" s="926"/>
      <c r="C534" s="926"/>
      <c r="D534" s="926"/>
      <c r="E534" s="926"/>
    </row>
    <row r="535" spans="1:5" x14ac:dyDescent="0.25">
      <c r="A535" s="925"/>
      <c r="B535" s="926"/>
      <c r="C535" s="926"/>
      <c r="D535" s="926"/>
      <c r="E535" s="926"/>
    </row>
    <row r="536" spans="1:5" x14ac:dyDescent="0.25">
      <c r="A536" s="925"/>
      <c r="B536" s="926"/>
      <c r="C536" s="926"/>
      <c r="D536" s="926"/>
      <c r="E536" s="926"/>
    </row>
    <row r="537" spans="1:5" x14ac:dyDescent="0.25">
      <c r="A537" s="925"/>
      <c r="B537" s="926"/>
      <c r="C537" s="926"/>
      <c r="D537" s="926"/>
      <c r="E537" s="926"/>
    </row>
    <row r="538" spans="1:5" x14ac:dyDescent="0.25">
      <c r="A538" s="925"/>
      <c r="B538" s="926"/>
      <c r="C538" s="926"/>
      <c r="D538" s="926"/>
      <c r="E538" s="926"/>
    </row>
    <row r="539" spans="1:5" x14ac:dyDescent="0.25">
      <c r="A539" s="925"/>
      <c r="B539" s="926"/>
      <c r="C539" s="926"/>
      <c r="D539" s="926"/>
      <c r="E539" s="926"/>
    </row>
    <row r="540" spans="1:5" x14ac:dyDescent="0.25">
      <c r="A540" s="925"/>
      <c r="B540" s="926"/>
      <c r="C540" s="926"/>
      <c r="D540" s="926"/>
      <c r="E540" s="926"/>
    </row>
    <row r="541" spans="1:5" x14ac:dyDescent="0.25">
      <c r="A541" s="925"/>
      <c r="B541" s="926"/>
      <c r="C541" s="926"/>
      <c r="D541" s="926"/>
      <c r="E541" s="926"/>
    </row>
    <row r="542" spans="1:5" x14ac:dyDescent="0.25">
      <c r="A542" s="925"/>
      <c r="B542" s="926"/>
      <c r="C542" s="926"/>
      <c r="D542" s="926"/>
      <c r="E542" s="926"/>
    </row>
    <row r="543" spans="1:5" x14ac:dyDescent="0.25">
      <c r="A543" s="925"/>
      <c r="B543" s="926"/>
      <c r="C543" s="926"/>
      <c r="D543" s="926"/>
      <c r="E543" s="926"/>
    </row>
    <row r="544" spans="1:5" x14ac:dyDescent="0.25">
      <c r="A544" s="925"/>
      <c r="B544" s="926"/>
      <c r="C544" s="926"/>
      <c r="D544" s="926"/>
      <c r="E544" s="926"/>
    </row>
    <row r="545" spans="1:5" x14ac:dyDescent="0.25">
      <c r="A545" s="925"/>
      <c r="B545" s="926"/>
      <c r="C545" s="926"/>
      <c r="D545" s="926"/>
      <c r="E545" s="926"/>
    </row>
    <row r="546" spans="1:5" x14ac:dyDescent="0.25">
      <c r="A546" s="925"/>
      <c r="B546" s="926"/>
      <c r="C546" s="926"/>
      <c r="D546" s="926"/>
      <c r="E546" s="926"/>
    </row>
    <row r="547" spans="1:5" x14ac:dyDescent="0.25">
      <c r="A547" s="925"/>
      <c r="B547" s="926"/>
      <c r="C547" s="926"/>
      <c r="D547" s="926"/>
      <c r="E547" s="926"/>
    </row>
    <row r="548" spans="1:5" x14ac:dyDescent="0.25">
      <c r="A548" s="925"/>
      <c r="B548" s="926"/>
      <c r="C548" s="926"/>
      <c r="D548" s="926"/>
      <c r="E548" s="926"/>
    </row>
    <row r="549" spans="1:5" x14ac:dyDescent="0.25">
      <c r="A549" s="925"/>
      <c r="B549" s="926"/>
      <c r="C549" s="926"/>
      <c r="D549" s="926"/>
      <c r="E549" s="926"/>
    </row>
    <row r="550" spans="1:5" x14ac:dyDescent="0.25">
      <c r="A550" s="925"/>
      <c r="B550" s="926"/>
      <c r="C550" s="926"/>
      <c r="D550" s="926"/>
      <c r="E550" s="926"/>
    </row>
    <row r="551" spans="1:5" x14ac:dyDescent="0.25">
      <c r="A551" s="925"/>
      <c r="B551" s="926"/>
      <c r="C551" s="926"/>
      <c r="D551" s="926"/>
      <c r="E551" s="926"/>
    </row>
    <row r="552" spans="1:5" x14ac:dyDescent="0.25">
      <c r="A552" s="925"/>
      <c r="B552" s="926"/>
      <c r="C552" s="926"/>
      <c r="D552" s="926"/>
      <c r="E552" s="926"/>
    </row>
    <row r="553" spans="1:5" x14ac:dyDescent="0.25">
      <c r="A553" s="925"/>
      <c r="B553" s="926"/>
      <c r="C553" s="926"/>
      <c r="D553" s="926"/>
      <c r="E553" s="926"/>
    </row>
    <row r="554" spans="1:5" x14ac:dyDescent="0.25">
      <c r="A554" s="925"/>
      <c r="B554" s="926"/>
      <c r="C554" s="926"/>
      <c r="D554" s="926"/>
      <c r="E554" s="926"/>
    </row>
    <row r="555" spans="1:5" x14ac:dyDescent="0.25">
      <c r="A555" s="925"/>
      <c r="B555" s="926"/>
      <c r="C555" s="926"/>
      <c r="D555" s="926"/>
      <c r="E555" s="926"/>
    </row>
    <row r="556" spans="1:5" x14ac:dyDescent="0.25">
      <c r="A556" s="925"/>
      <c r="B556" s="926"/>
      <c r="C556" s="926"/>
      <c r="D556" s="926"/>
      <c r="E556" s="926"/>
    </row>
    <row r="557" spans="1:5" x14ac:dyDescent="0.25">
      <c r="A557" s="925"/>
      <c r="B557" s="926"/>
      <c r="C557" s="926"/>
      <c r="D557" s="926"/>
      <c r="E557" s="926"/>
    </row>
    <row r="558" spans="1:5" x14ac:dyDescent="0.25">
      <c r="A558" s="925"/>
      <c r="B558" s="926"/>
      <c r="C558" s="926"/>
      <c r="D558" s="926"/>
      <c r="E558" s="926"/>
    </row>
    <row r="559" spans="1:5" x14ac:dyDescent="0.25">
      <c r="A559" s="925"/>
      <c r="B559" s="926"/>
      <c r="C559" s="926"/>
      <c r="D559" s="926"/>
      <c r="E559" s="926"/>
    </row>
    <row r="560" spans="1:5" x14ac:dyDescent="0.25">
      <c r="A560" s="925"/>
      <c r="B560" s="926"/>
      <c r="C560" s="926"/>
      <c r="D560" s="926"/>
      <c r="E560" s="926"/>
    </row>
    <row r="561" spans="1:5" x14ac:dyDescent="0.25">
      <c r="A561" s="925"/>
      <c r="B561" s="926"/>
      <c r="C561" s="926"/>
      <c r="D561" s="926"/>
      <c r="E561" s="926"/>
    </row>
    <row r="562" spans="1:5" x14ac:dyDescent="0.25">
      <c r="A562" s="925"/>
      <c r="B562" s="926"/>
      <c r="C562" s="926"/>
      <c r="D562" s="926"/>
      <c r="E562" s="926"/>
    </row>
    <row r="563" spans="1:5" x14ac:dyDescent="0.25">
      <c r="A563" s="925"/>
      <c r="B563" s="926"/>
      <c r="C563" s="926"/>
      <c r="D563" s="926"/>
      <c r="E563" s="926"/>
    </row>
    <row r="564" spans="1:5" x14ac:dyDescent="0.25">
      <c r="A564" s="925"/>
      <c r="B564" s="926"/>
      <c r="C564" s="926"/>
      <c r="D564" s="926"/>
      <c r="E564" s="926"/>
    </row>
    <row r="565" spans="1:5" x14ac:dyDescent="0.25">
      <c r="A565" s="925"/>
      <c r="B565" s="926"/>
      <c r="C565" s="926"/>
      <c r="D565" s="926"/>
      <c r="E565" s="926"/>
    </row>
    <row r="566" spans="1:5" x14ac:dyDescent="0.25">
      <c r="A566" s="925"/>
      <c r="B566" s="926"/>
      <c r="C566" s="926"/>
      <c r="D566" s="926"/>
      <c r="E566" s="926"/>
    </row>
    <row r="567" spans="1:5" x14ac:dyDescent="0.25">
      <c r="A567" s="925"/>
      <c r="B567" s="926"/>
      <c r="C567" s="926"/>
      <c r="D567" s="926"/>
      <c r="E567" s="926"/>
    </row>
    <row r="568" spans="1:5" x14ac:dyDescent="0.25">
      <c r="A568" s="925"/>
      <c r="B568" s="926"/>
      <c r="C568" s="926"/>
      <c r="D568" s="926"/>
      <c r="E568" s="926"/>
    </row>
    <row r="569" spans="1:5" x14ac:dyDescent="0.25">
      <c r="A569" s="925"/>
      <c r="B569" s="926"/>
      <c r="C569" s="926"/>
      <c r="D569" s="926"/>
      <c r="E569" s="926"/>
    </row>
    <row r="570" spans="1:5" x14ac:dyDescent="0.25">
      <c r="A570" s="925"/>
      <c r="B570" s="926"/>
      <c r="C570" s="926"/>
      <c r="D570" s="926"/>
      <c r="E570" s="926"/>
    </row>
    <row r="571" spans="1:5" x14ac:dyDescent="0.25">
      <c r="A571" s="925"/>
      <c r="B571" s="926"/>
      <c r="C571" s="926"/>
      <c r="D571" s="926"/>
      <c r="E571" s="926"/>
    </row>
    <row r="572" spans="1:5" x14ac:dyDescent="0.25">
      <c r="A572" s="925"/>
      <c r="B572" s="926"/>
      <c r="C572" s="926"/>
      <c r="D572" s="926"/>
      <c r="E572" s="926"/>
    </row>
    <row r="573" spans="1:5" x14ac:dyDescent="0.25">
      <c r="A573" s="925"/>
      <c r="B573" s="926"/>
      <c r="C573" s="926"/>
      <c r="D573" s="926"/>
      <c r="E573" s="926"/>
    </row>
    <row r="574" spans="1:5" x14ac:dyDescent="0.25">
      <c r="A574" s="925"/>
      <c r="B574" s="926"/>
      <c r="C574" s="926"/>
      <c r="D574" s="926"/>
      <c r="E574" s="926"/>
    </row>
    <row r="575" spans="1:5" x14ac:dyDescent="0.25">
      <c r="A575" s="925"/>
      <c r="B575" s="926"/>
      <c r="C575" s="926"/>
      <c r="D575" s="926"/>
      <c r="E575" s="926"/>
    </row>
    <row r="576" spans="1:5" x14ac:dyDescent="0.25">
      <c r="A576" s="925"/>
      <c r="B576" s="926"/>
      <c r="C576" s="926"/>
      <c r="D576" s="926"/>
      <c r="E576" s="926"/>
    </row>
    <row r="577" spans="1:5" x14ac:dyDescent="0.25">
      <c r="A577" s="925"/>
      <c r="B577" s="926"/>
      <c r="C577" s="926"/>
      <c r="D577" s="926"/>
      <c r="E577" s="926"/>
    </row>
    <row r="578" spans="1:5" x14ac:dyDescent="0.25">
      <c r="A578" s="925"/>
      <c r="B578" s="926"/>
      <c r="C578" s="926"/>
      <c r="D578" s="926"/>
      <c r="E578" s="926"/>
    </row>
    <row r="579" spans="1:5" x14ac:dyDescent="0.25">
      <c r="A579" s="925"/>
      <c r="B579" s="926"/>
      <c r="C579" s="926"/>
      <c r="D579" s="926"/>
      <c r="E579" s="926"/>
    </row>
    <row r="580" spans="1:5" x14ac:dyDescent="0.25">
      <c r="A580" s="925"/>
      <c r="B580" s="926"/>
      <c r="C580" s="926"/>
      <c r="D580" s="926"/>
      <c r="E580" s="926"/>
    </row>
    <row r="581" spans="1:5" x14ac:dyDescent="0.25">
      <c r="A581" s="925"/>
      <c r="B581" s="926"/>
      <c r="C581" s="926"/>
      <c r="D581" s="926"/>
      <c r="E581" s="926"/>
    </row>
    <row r="582" spans="1:5" x14ac:dyDescent="0.25">
      <c r="A582" s="925"/>
      <c r="B582" s="926"/>
      <c r="C582" s="926"/>
      <c r="D582" s="926"/>
      <c r="E582" s="926"/>
    </row>
    <row r="583" spans="1:5" x14ac:dyDescent="0.25">
      <c r="A583" s="925"/>
      <c r="B583" s="926"/>
      <c r="C583" s="926"/>
      <c r="D583" s="926"/>
      <c r="E583" s="926"/>
    </row>
    <row r="584" spans="1:5" x14ac:dyDescent="0.25">
      <c r="A584" s="925"/>
      <c r="B584" s="926"/>
      <c r="C584" s="926"/>
      <c r="D584" s="926"/>
      <c r="E584" s="926"/>
    </row>
    <row r="585" spans="1:5" x14ac:dyDescent="0.25">
      <c r="A585" s="925"/>
      <c r="B585" s="926"/>
      <c r="C585" s="926"/>
      <c r="D585" s="926"/>
      <c r="E585" s="926"/>
    </row>
    <row r="586" spans="1:5" x14ac:dyDescent="0.25">
      <c r="A586" s="925"/>
      <c r="B586" s="926"/>
      <c r="C586" s="926"/>
      <c r="D586" s="926"/>
      <c r="E586" s="926"/>
    </row>
    <row r="587" spans="1:5" x14ac:dyDescent="0.25">
      <c r="A587" s="925"/>
      <c r="B587" s="926"/>
      <c r="C587" s="926"/>
      <c r="D587" s="926"/>
      <c r="E587" s="926"/>
    </row>
    <row r="588" spans="1:5" x14ac:dyDescent="0.25">
      <c r="A588" s="925"/>
      <c r="B588" s="926"/>
      <c r="C588" s="926"/>
      <c r="D588" s="926"/>
      <c r="E588" s="926"/>
    </row>
    <row r="589" spans="1:5" x14ac:dyDescent="0.25">
      <c r="A589" s="925"/>
      <c r="B589" s="926"/>
      <c r="C589" s="926"/>
      <c r="D589" s="926"/>
      <c r="E589" s="926"/>
    </row>
    <row r="590" spans="1:5" x14ac:dyDescent="0.25">
      <c r="A590" s="925"/>
      <c r="B590" s="926"/>
      <c r="C590" s="926"/>
      <c r="D590" s="926"/>
      <c r="E590" s="926"/>
    </row>
    <row r="591" spans="1:5" x14ac:dyDescent="0.25">
      <c r="A591" s="925"/>
      <c r="B591" s="926"/>
      <c r="C591" s="926"/>
      <c r="D591" s="926"/>
      <c r="E591" s="926"/>
    </row>
    <row r="592" spans="1:5" x14ac:dyDescent="0.25">
      <c r="A592" s="925"/>
      <c r="B592" s="926"/>
      <c r="C592" s="926"/>
      <c r="D592" s="926"/>
      <c r="E592" s="926"/>
    </row>
    <row r="593" spans="1:5" x14ac:dyDescent="0.25">
      <c r="A593" s="925"/>
      <c r="B593" s="926"/>
      <c r="C593" s="926"/>
      <c r="D593" s="926"/>
      <c r="E593" s="926"/>
    </row>
    <row r="594" spans="1:5" x14ac:dyDescent="0.25">
      <c r="A594" s="925"/>
      <c r="B594" s="926"/>
      <c r="C594" s="926"/>
      <c r="D594" s="926"/>
      <c r="E594" s="926"/>
    </row>
    <row r="595" spans="1:5" x14ac:dyDescent="0.25">
      <c r="A595" s="925"/>
      <c r="B595" s="926"/>
      <c r="C595" s="926"/>
      <c r="D595" s="926"/>
      <c r="E595" s="926"/>
    </row>
    <row r="596" spans="1:5" x14ac:dyDescent="0.25">
      <c r="A596" s="925"/>
      <c r="B596" s="926"/>
      <c r="C596" s="926"/>
      <c r="D596" s="926"/>
      <c r="E596" s="926"/>
    </row>
    <row r="597" spans="1:5" x14ac:dyDescent="0.25">
      <c r="A597" s="925"/>
      <c r="B597" s="926"/>
      <c r="C597" s="926"/>
      <c r="D597" s="926"/>
      <c r="E597" s="926"/>
    </row>
    <row r="598" spans="1:5" x14ac:dyDescent="0.25">
      <c r="A598" s="925"/>
      <c r="B598" s="926"/>
      <c r="C598" s="926"/>
      <c r="D598" s="926"/>
      <c r="E598" s="926"/>
    </row>
    <row r="599" spans="1:5" x14ac:dyDescent="0.25">
      <c r="A599" s="925"/>
      <c r="B599" s="926"/>
      <c r="C599" s="926"/>
      <c r="D599" s="926"/>
      <c r="E599" s="926"/>
    </row>
    <row r="600" spans="1:5" x14ac:dyDescent="0.25">
      <c r="A600" s="925"/>
      <c r="B600" s="926"/>
      <c r="C600" s="926"/>
      <c r="D600" s="926"/>
      <c r="E600" s="926"/>
    </row>
    <row r="601" spans="1:5" x14ac:dyDescent="0.25">
      <c r="A601" s="925"/>
      <c r="B601" s="926"/>
      <c r="C601" s="926"/>
      <c r="D601" s="926"/>
      <c r="E601" s="926"/>
    </row>
    <row r="602" spans="1:5" x14ac:dyDescent="0.25">
      <c r="A602" s="925"/>
      <c r="B602" s="926"/>
      <c r="C602" s="926"/>
      <c r="D602" s="926"/>
      <c r="E602" s="926"/>
    </row>
    <row r="603" spans="1:5" x14ac:dyDescent="0.25">
      <c r="A603" s="925"/>
      <c r="B603" s="926"/>
      <c r="C603" s="926"/>
      <c r="D603" s="926"/>
      <c r="E603" s="926"/>
    </row>
    <row r="604" spans="1:5" x14ac:dyDescent="0.25">
      <c r="A604" s="925"/>
      <c r="B604" s="926"/>
      <c r="C604" s="926"/>
      <c r="D604" s="926"/>
      <c r="E604" s="926"/>
    </row>
    <row r="605" spans="1:5" x14ac:dyDescent="0.25">
      <c r="A605" s="925"/>
      <c r="B605" s="926"/>
      <c r="C605" s="926"/>
      <c r="D605" s="926"/>
      <c r="E605" s="926"/>
    </row>
    <row r="606" spans="1:5" x14ac:dyDescent="0.25">
      <c r="A606" s="925"/>
      <c r="B606" s="926"/>
      <c r="C606" s="926"/>
      <c r="D606" s="926"/>
      <c r="E606" s="926"/>
    </row>
    <row r="607" spans="1:5" x14ac:dyDescent="0.25">
      <c r="A607" s="925"/>
      <c r="B607" s="926"/>
      <c r="C607" s="926"/>
      <c r="D607" s="926"/>
      <c r="E607" s="926"/>
    </row>
    <row r="608" spans="1:5" x14ac:dyDescent="0.25">
      <c r="A608" s="925"/>
      <c r="B608" s="926"/>
      <c r="C608" s="926"/>
      <c r="D608" s="926"/>
      <c r="E608" s="926"/>
    </row>
    <row r="609" spans="1:5" x14ac:dyDescent="0.25">
      <c r="A609" s="925"/>
      <c r="B609" s="926"/>
      <c r="C609" s="926"/>
      <c r="D609" s="926"/>
      <c r="E609" s="926"/>
    </row>
    <row r="610" spans="1:5" x14ac:dyDescent="0.25">
      <c r="A610" s="925"/>
      <c r="B610" s="926"/>
      <c r="C610" s="926"/>
      <c r="D610" s="926"/>
      <c r="E610" s="926"/>
    </row>
    <row r="611" spans="1:5" x14ac:dyDescent="0.25">
      <c r="A611" s="925"/>
      <c r="B611" s="926"/>
      <c r="C611" s="926"/>
      <c r="D611" s="926"/>
      <c r="E611" s="926"/>
    </row>
    <row r="612" spans="1:5" x14ac:dyDescent="0.25">
      <c r="A612" s="925"/>
      <c r="B612" s="926"/>
      <c r="C612" s="926"/>
      <c r="D612" s="926"/>
      <c r="E612" s="926"/>
    </row>
    <row r="613" spans="1:5" x14ac:dyDescent="0.25">
      <c r="A613" s="925"/>
      <c r="B613" s="926"/>
      <c r="C613" s="926"/>
      <c r="D613" s="926"/>
      <c r="E613" s="926"/>
    </row>
    <row r="614" spans="1:5" x14ac:dyDescent="0.25">
      <c r="A614" s="925"/>
      <c r="B614" s="926"/>
      <c r="C614" s="926"/>
      <c r="D614" s="926"/>
      <c r="E614" s="926"/>
    </row>
    <row r="615" spans="1:5" x14ac:dyDescent="0.25">
      <c r="A615" s="925"/>
      <c r="B615" s="926"/>
      <c r="C615" s="926"/>
      <c r="D615" s="926"/>
      <c r="E615" s="926"/>
    </row>
    <row r="616" spans="1:5" x14ac:dyDescent="0.25">
      <c r="A616" s="925"/>
      <c r="B616" s="926"/>
      <c r="C616" s="926"/>
      <c r="D616" s="926"/>
      <c r="E616" s="926"/>
    </row>
    <row r="617" spans="1:5" x14ac:dyDescent="0.25">
      <c r="A617" s="925"/>
      <c r="B617" s="926"/>
      <c r="C617" s="926"/>
      <c r="D617" s="926"/>
      <c r="E617" s="926"/>
    </row>
    <row r="618" spans="1:5" x14ac:dyDescent="0.25">
      <c r="A618" s="925"/>
      <c r="B618" s="926"/>
      <c r="C618" s="926"/>
      <c r="D618" s="926"/>
      <c r="E618" s="926"/>
    </row>
    <row r="619" spans="1:5" x14ac:dyDescent="0.25">
      <c r="A619" s="925"/>
      <c r="B619" s="926"/>
      <c r="C619" s="926"/>
      <c r="D619" s="926"/>
      <c r="E619" s="926"/>
    </row>
    <row r="620" spans="1:5" x14ac:dyDescent="0.25">
      <c r="A620" s="925"/>
      <c r="B620" s="926"/>
      <c r="C620" s="926"/>
      <c r="D620" s="926"/>
      <c r="E620" s="926"/>
    </row>
    <row r="621" spans="1:5" x14ac:dyDescent="0.25">
      <c r="A621" s="925"/>
      <c r="B621" s="926"/>
      <c r="C621" s="926"/>
      <c r="D621" s="926"/>
      <c r="E621" s="926"/>
    </row>
    <row r="622" spans="1:5" x14ac:dyDescent="0.25">
      <c r="A622" s="925"/>
      <c r="B622" s="926"/>
      <c r="C622" s="926"/>
      <c r="D622" s="926"/>
      <c r="E622" s="926"/>
    </row>
    <row r="623" spans="1:5" x14ac:dyDescent="0.25">
      <c r="A623" s="925"/>
      <c r="B623" s="926"/>
      <c r="C623" s="926"/>
      <c r="D623" s="926"/>
      <c r="E623" s="926"/>
    </row>
    <row r="624" spans="1:5" x14ac:dyDescent="0.25">
      <c r="A624" s="925"/>
      <c r="B624" s="926"/>
      <c r="C624" s="926"/>
      <c r="D624" s="926"/>
      <c r="E624" s="926"/>
    </row>
    <row r="625" spans="1:5" x14ac:dyDescent="0.25">
      <c r="A625" s="925"/>
      <c r="B625" s="926"/>
      <c r="C625" s="926"/>
      <c r="D625" s="926"/>
      <c r="E625" s="926"/>
    </row>
    <row r="626" spans="1:5" x14ac:dyDescent="0.25">
      <c r="A626" s="925"/>
      <c r="B626" s="926"/>
      <c r="C626" s="926"/>
      <c r="D626" s="926"/>
      <c r="E626" s="926"/>
    </row>
    <row r="627" spans="1:5" x14ac:dyDescent="0.25">
      <c r="A627" s="925"/>
      <c r="B627" s="926"/>
      <c r="C627" s="926"/>
      <c r="D627" s="926"/>
      <c r="E627" s="926"/>
    </row>
    <row r="628" spans="1:5" x14ac:dyDescent="0.25">
      <c r="A628" s="925"/>
      <c r="B628" s="926"/>
      <c r="C628" s="926"/>
      <c r="D628" s="926"/>
      <c r="E628" s="926"/>
    </row>
    <row r="629" spans="1:5" x14ac:dyDescent="0.25">
      <c r="A629" s="925"/>
      <c r="B629" s="926"/>
      <c r="C629" s="926"/>
      <c r="D629" s="926"/>
      <c r="E629" s="926"/>
    </row>
    <row r="630" spans="1:5" x14ac:dyDescent="0.25">
      <c r="A630" s="925"/>
      <c r="B630" s="926"/>
      <c r="C630" s="926"/>
      <c r="D630" s="926"/>
      <c r="E630" s="926"/>
    </row>
    <row r="631" spans="1:5" x14ac:dyDescent="0.25">
      <c r="A631" s="925"/>
      <c r="B631" s="926"/>
      <c r="C631" s="926"/>
      <c r="D631" s="926"/>
      <c r="E631" s="926"/>
    </row>
    <row r="632" spans="1:5" x14ac:dyDescent="0.25">
      <c r="A632" s="925"/>
      <c r="B632" s="926"/>
      <c r="C632" s="926"/>
      <c r="D632" s="926"/>
      <c r="E632" s="926"/>
    </row>
    <row r="633" spans="1:5" x14ac:dyDescent="0.25">
      <c r="A633" s="925"/>
      <c r="B633" s="926"/>
      <c r="C633" s="926"/>
      <c r="D633" s="926"/>
      <c r="E633" s="926"/>
    </row>
    <row r="634" spans="1:5" x14ac:dyDescent="0.25">
      <c r="A634" s="925"/>
      <c r="B634" s="926"/>
      <c r="C634" s="926"/>
      <c r="D634" s="926"/>
      <c r="E634" s="926"/>
    </row>
    <row r="635" spans="1:5" x14ac:dyDescent="0.25">
      <c r="A635" s="925"/>
      <c r="B635" s="926"/>
      <c r="C635" s="926"/>
      <c r="D635" s="926"/>
      <c r="E635" s="926"/>
    </row>
    <row r="636" spans="1:5" x14ac:dyDescent="0.25">
      <c r="A636" s="925"/>
      <c r="B636" s="926"/>
      <c r="C636" s="926"/>
      <c r="D636" s="926"/>
      <c r="E636" s="926"/>
    </row>
    <row r="637" spans="1:5" x14ac:dyDescent="0.25">
      <c r="A637" s="925"/>
      <c r="B637" s="926"/>
      <c r="C637" s="926"/>
      <c r="D637" s="926"/>
      <c r="E637" s="926"/>
    </row>
    <row r="638" spans="1:5" x14ac:dyDescent="0.25">
      <c r="A638" s="925"/>
      <c r="B638" s="926"/>
      <c r="C638" s="926"/>
      <c r="D638" s="926"/>
      <c r="E638" s="926"/>
    </row>
    <row r="639" spans="1:5" x14ac:dyDescent="0.25">
      <c r="A639" s="925"/>
      <c r="B639" s="926"/>
      <c r="C639" s="926"/>
      <c r="D639" s="926"/>
      <c r="E639" s="926"/>
    </row>
    <row r="640" spans="1:5" x14ac:dyDescent="0.25">
      <c r="A640" s="925"/>
      <c r="B640" s="926"/>
      <c r="C640" s="926"/>
      <c r="D640" s="926"/>
      <c r="E640" s="926"/>
    </row>
    <row r="641" spans="1:5" x14ac:dyDescent="0.25">
      <c r="A641" s="925"/>
      <c r="B641" s="926"/>
      <c r="C641" s="926"/>
      <c r="D641" s="926"/>
      <c r="E641" s="926"/>
    </row>
    <row r="642" spans="1:5" x14ac:dyDescent="0.25">
      <c r="A642" s="925"/>
      <c r="B642" s="926"/>
      <c r="C642" s="926"/>
      <c r="D642" s="926"/>
      <c r="E642" s="926"/>
    </row>
    <row r="643" spans="1:5" x14ac:dyDescent="0.25">
      <c r="A643" s="925"/>
      <c r="B643" s="926"/>
      <c r="C643" s="926"/>
      <c r="D643" s="926"/>
      <c r="E643" s="926"/>
    </row>
    <row r="644" spans="1:5" x14ac:dyDescent="0.25">
      <c r="A644" s="925"/>
      <c r="B644" s="926"/>
      <c r="C644" s="926"/>
      <c r="D644" s="926"/>
      <c r="E644" s="926"/>
    </row>
    <row r="645" spans="1:5" x14ac:dyDescent="0.25">
      <c r="A645" s="925"/>
      <c r="B645" s="926"/>
      <c r="C645" s="926"/>
      <c r="D645" s="926"/>
      <c r="E645" s="926"/>
    </row>
    <row r="646" spans="1:5" x14ac:dyDescent="0.25">
      <c r="A646" s="925"/>
      <c r="B646" s="926"/>
      <c r="C646" s="926"/>
      <c r="D646" s="926"/>
      <c r="E646" s="926"/>
    </row>
    <row r="647" spans="1:5" x14ac:dyDescent="0.25">
      <c r="A647" s="925"/>
      <c r="B647" s="926"/>
      <c r="C647" s="926"/>
      <c r="D647" s="926"/>
      <c r="E647" s="926"/>
    </row>
    <row r="648" spans="1:5" x14ac:dyDescent="0.25">
      <c r="A648" s="925"/>
      <c r="B648" s="926"/>
      <c r="C648" s="926"/>
      <c r="D648" s="926"/>
      <c r="E648" s="926"/>
    </row>
    <row r="649" spans="1:5" x14ac:dyDescent="0.25">
      <c r="A649" s="925"/>
      <c r="B649" s="926"/>
      <c r="C649" s="926"/>
      <c r="D649" s="926"/>
      <c r="E649" s="926"/>
    </row>
    <row r="650" spans="1:5" x14ac:dyDescent="0.25">
      <c r="A650" s="925"/>
      <c r="B650" s="926"/>
      <c r="C650" s="926"/>
      <c r="D650" s="926"/>
      <c r="E650" s="926"/>
    </row>
    <row r="651" spans="1:5" x14ac:dyDescent="0.25">
      <c r="A651" s="925"/>
      <c r="B651" s="926"/>
      <c r="C651" s="926"/>
      <c r="D651" s="926"/>
      <c r="E651" s="926"/>
    </row>
    <row r="652" spans="1:5" x14ac:dyDescent="0.25">
      <c r="A652" s="925"/>
      <c r="B652" s="926"/>
      <c r="C652" s="926"/>
      <c r="D652" s="926"/>
      <c r="E652" s="926"/>
    </row>
    <row r="653" spans="1:5" x14ac:dyDescent="0.25">
      <c r="A653" s="925"/>
      <c r="B653" s="926"/>
      <c r="C653" s="926"/>
      <c r="D653" s="926"/>
      <c r="E653" s="926"/>
    </row>
    <row r="654" spans="1:5" x14ac:dyDescent="0.25">
      <c r="A654" s="925"/>
      <c r="B654" s="926"/>
      <c r="C654" s="926"/>
      <c r="D654" s="926"/>
      <c r="E654" s="926"/>
    </row>
    <row r="655" spans="1:5" x14ac:dyDescent="0.25">
      <c r="A655" s="925"/>
      <c r="B655" s="926"/>
      <c r="C655" s="926"/>
      <c r="D655" s="926"/>
      <c r="E655" s="926"/>
    </row>
    <row r="656" spans="1:5" x14ac:dyDescent="0.25">
      <c r="A656" s="925"/>
      <c r="B656" s="926"/>
      <c r="C656" s="926"/>
      <c r="D656" s="926"/>
      <c r="E656" s="926"/>
    </row>
    <row r="657" spans="1:5" x14ac:dyDescent="0.25">
      <c r="A657" s="925"/>
      <c r="B657" s="926"/>
      <c r="C657" s="926"/>
      <c r="D657" s="926"/>
      <c r="E657" s="926"/>
    </row>
    <row r="658" spans="1:5" x14ac:dyDescent="0.25">
      <c r="A658" s="925"/>
      <c r="B658" s="926"/>
      <c r="C658" s="926"/>
      <c r="D658" s="926"/>
      <c r="E658" s="926"/>
    </row>
    <row r="659" spans="1:5" x14ac:dyDescent="0.25">
      <c r="A659" s="925"/>
      <c r="B659" s="926"/>
      <c r="C659" s="926"/>
      <c r="D659" s="926"/>
      <c r="E659" s="926"/>
    </row>
    <row r="660" spans="1:5" x14ac:dyDescent="0.25">
      <c r="A660" s="925"/>
      <c r="B660" s="926"/>
      <c r="C660" s="926"/>
      <c r="D660" s="926"/>
      <c r="E660" s="926"/>
    </row>
    <row r="661" spans="1:5" x14ac:dyDescent="0.25">
      <c r="A661" s="925"/>
      <c r="B661" s="926"/>
      <c r="C661" s="926"/>
      <c r="D661" s="926"/>
      <c r="E661" s="926"/>
    </row>
    <row r="662" spans="1:5" x14ac:dyDescent="0.25">
      <c r="A662" s="925"/>
      <c r="B662" s="926"/>
      <c r="C662" s="926"/>
      <c r="D662" s="926"/>
      <c r="E662" s="926"/>
    </row>
    <row r="663" spans="1:5" x14ac:dyDescent="0.25">
      <c r="A663" s="925"/>
      <c r="B663" s="926"/>
      <c r="C663" s="926"/>
      <c r="D663" s="926"/>
      <c r="E663" s="926"/>
    </row>
    <row r="664" spans="1:5" x14ac:dyDescent="0.25">
      <c r="A664" s="925"/>
      <c r="B664" s="926"/>
      <c r="C664" s="926"/>
      <c r="D664" s="926"/>
      <c r="E664" s="926"/>
    </row>
    <row r="665" spans="1:5" x14ac:dyDescent="0.25">
      <c r="A665" s="925"/>
      <c r="B665" s="926"/>
      <c r="C665" s="926"/>
      <c r="D665" s="926"/>
      <c r="E665" s="926"/>
    </row>
    <row r="666" spans="1:5" x14ac:dyDescent="0.25">
      <c r="A666" s="925"/>
      <c r="B666" s="926"/>
      <c r="C666" s="926"/>
      <c r="D666" s="926"/>
      <c r="E666" s="926"/>
    </row>
    <row r="667" spans="1:5" x14ac:dyDescent="0.25">
      <c r="A667" s="925"/>
      <c r="B667" s="926"/>
      <c r="C667" s="926"/>
      <c r="D667" s="926"/>
      <c r="E667" s="926"/>
    </row>
    <row r="668" spans="1:5" x14ac:dyDescent="0.25">
      <c r="A668" s="925"/>
      <c r="B668" s="926"/>
      <c r="C668" s="926"/>
      <c r="D668" s="926"/>
      <c r="E668" s="926"/>
    </row>
    <row r="669" spans="1:5" x14ac:dyDescent="0.25">
      <c r="A669" s="925"/>
      <c r="B669" s="926"/>
      <c r="C669" s="926"/>
      <c r="D669" s="926"/>
      <c r="E669" s="926"/>
    </row>
    <row r="670" spans="1:5" x14ac:dyDescent="0.25">
      <c r="A670" s="925"/>
      <c r="B670" s="926"/>
      <c r="C670" s="926"/>
      <c r="D670" s="926"/>
      <c r="E670" s="926"/>
    </row>
    <row r="671" spans="1:5" x14ac:dyDescent="0.25">
      <c r="A671" s="925"/>
      <c r="B671" s="926"/>
      <c r="C671" s="926"/>
      <c r="D671" s="926"/>
      <c r="E671" s="926"/>
    </row>
    <row r="672" spans="1:5" x14ac:dyDescent="0.25">
      <c r="A672" s="925"/>
      <c r="B672" s="926"/>
      <c r="C672" s="926"/>
      <c r="D672" s="926"/>
      <c r="E672" s="926"/>
    </row>
    <row r="673" spans="1:5" x14ac:dyDescent="0.25">
      <c r="A673" s="925"/>
      <c r="B673" s="926"/>
      <c r="C673" s="926"/>
      <c r="D673" s="926"/>
      <c r="E673" s="926"/>
    </row>
    <row r="674" spans="1:5" x14ac:dyDescent="0.25">
      <c r="A674" s="925"/>
      <c r="B674" s="926"/>
      <c r="C674" s="926"/>
      <c r="D674" s="926"/>
      <c r="E674" s="926"/>
    </row>
    <row r="675" spans="1:5" x14ac:dyDescent="0.25">
      <c r="A675" s="925"/>
      <c r="B675" s="926"/>
      <c r="C675" s="926"/>
      <c r="D675" s="926"/>
      <c r="E675" s="926"/>
    </row>
    <row r="676" spans="1:5" x14ac:dyDescent="0.25">
      <c r="A676" s="925"/>
      <c r="B676" s="926"/>
      <c r="C676" s="926"/>
      <c r="D676" s="926"/>
      <c r="E676" s="926"/>
    </row>
    <row r="677" spans="1:5" x14ac:dyDescent="0.25">
      <c r="A677" s="925"/>
      <c r="B677" s="926"/>
      <c r="C677" s="926"/>
      <c r="D677" s="926"/>
      <c r="E677" s="926"/>
    </row>
    <row r="678" spans="1:5" x14ac:dyDescent="0.25">
      <c r="A678" s="925"/>
      <c r="B678" s="926"/>
      <c r="C678" s="926"/>
      <c r="D678" s="926"/>
      <c r="E678" s="926"/>
    </row>
    <row r="679" spans="1:5" x14ac:dyDescent="0.25">
      <c r="A679" s="925"/>
      <c r="B679" s="926"/>
      <c r="C679" s="926"/>
      <c r="D679" s="926"/>
      <c r="E679" s="926"/>
    </row>
    <row r="680" spans="1:5" x14ac:dyDescent="0.25">
      <c r="A680" s="925"/>
      <c r="B680" s="926"/>
      <c r="C680" s="926"/>
      <c r="D680" s="926"/>
      <c r="E680" s="926"/>
    </row>
    <row r="681" spans="1:5" x14ac:dyDescent="0.25">
      <c r="A681" s="925"/>
      <c r="B681" s="926"/>
      <c r="C681" s="926"/>
      <c r="D681" s="926"/>
      <c r="E681" s="926"/>
    </row>
    <row r="682" spans="1:5" x14ac:dyDescent="0.25">
      <c r="A682" s="925"/>
      <c r="B682" s="926"/>
      <c r="C682" s="926"/>
      <c r="D682" s="926"/>
      <c r="E682" s="926"/>
    </row>
    <row r="683" spans="1:5" x14ac:dyDescent="0.25">
      <c r="A683" s="925"/>
      <c r="B683" s="926"/>
      <c r="C683" s="926"/>
      <c r="D683" s="926"/>
      <c r="E683" s="926"/>
    </row>
    <row r="684" spans="1:5" x14ac:dyDescent="0.25">
      <c r="A684" s="925"/>
      <c r="B684" s="926"/>
      <c r="C684" s="926"/>
      <c r="D684" s="926"/>
      <c r="E684" s="926"/>
    </row>
    <row r="685" spans="1:5" x14ac:dyDescent="0.25">
      <c r="A685" s="925"/>
      <c r="B685" s="926"/>
      <c r="C685" s="926"/>
      <c r="D685" s="926"/>
      <c r="E685" s="926"/>
    </row>
    <row r="686" spans="1:5" x14ac:dyDescent="0.25">
      <c r="A686" s="925"/>
      <c r="B686" s="926"/>
      <c r="C686" s="926"/>
      <c r="D686" s="926"/>
      <c r="E686" s="926"/>
    </row>
    <row r="687" spans="1:5" x14ac:dyDescent="0.25">
      <c r="A687" s="925"/>
      <c r="B687" s="926"/>
      <c r="C687" s="926"/>
      <c r="D687" s="926"/>
      <c r="E687" s="926"/>
    </row>
    <row r="688" spans="1:5" x14ac:dyDescent="0.25">
      <c r="A688" s="925"/>
      <c r="B688" s="926"/>
      <c r="C688" s="926"/>
      <c r="D688" s="926"/>
      <c r="E688" s="926"/>
    </row>
    <row r="689" spans="1:5" x14ac:dyDescent="0.25">
      <c r="A689" s="925"/>
      <c r="B689" s="926"/>
      <c r="C689" s="926"/>
      <c r="D689" s="926"/>
      <c r="E689" s="926"/>
    </row>
    <row r="690" spans="1:5" x14ac:dyDescent="0.25">
      <c r="A690" s="925"/>
      <c r="B690" s="926"/>
      <c r="C690" s="926"/>
      <c r="D690" s="926"/>
      <c r="E690" s="926"/>
    </row>
    <row r="691" spans="1:5" x14ac:dyDescent="0.25">
      <c r="A691" s="925"/>
      <c r="B691" s="926"/>
      <c r="C691" s="926"/>
      <c r="D691" s="926"/>
      <c r="E691" s="926"/>
    </row>
    <row r="692" spans="1:5" x14ac:dyDescent="0.25">
      <c r="A692" s="925"/>
      <c r="B692" s="926"/>
      <c r="C692" s="926"/>
      <c r="D692" s="926"/>
      <c r="E692" s="926"/>
    </row>
    <row r="693" spans="1:5" x14ac:dyDescent="0.25">
      <c r="A693" s="925"/>
      <c r="B693" s="926"/>
      <c r="C693" s="926"/>
      <c r="D693" s="926"/>
      <c r="E693" s="926"/>
    </row>
    <row r="694" spans="1:5" x14ac:dyDescent="0.25">
      <c r="A694" s="925"/>
      <c r="B694" s="926"/>
      <c r="C694" s="926"/>
      <c r="D694" s="926"/>
      <c r="E694" s="926"/>
    </row>
    <row r="695" spans="1:5" x14ac:dyDescent="0.25">
      <c r="A695" s="925"/>
      <c r="B695" s="926"/>
      <c r="C695" s="926"/>
      <c r="D695" s="926"/>
      <c r="E695" s="926"/>
    </row>
    <row r="696" spans="1:5" x14ac:dyDescent="0.25">
      <c r="A696" s="925"/>
      <c r="B696" s="926"/>
      <c r="C696" s="926"/>
      <c r="D696" s="926"/>
      <c r="E696" s="926"/>
    </row>
    <row r="697" spans="1:5" x14ac:dyDescent="0.25">
      <c r="A697" s="925"/>
      <c r="B697" s="926"/>
      <c r="C697" s="926"/>
      <c r="D697" s="926"/>
      <c r="E697" s="926"/>
    </row>
    <row r="698" spans="1:5" x14ac:dyDescent="0.25">
      <c r="A698" s="925"/>
      <c r="B698" s="926"/>
      <c r="C698" s="926"/>
      <c r="D698" s="926"/>
      <c r="E698" s="926"/>
    </row>
    <row r="699" spans="1:5" x14ac:dyDescent="0.25">
      <c r="A699" s="925"/>
      <c r="B699" s="926"/>
      <c r="C699" s="926"/>
      <c r="D699" s="926"/>
      <c r="E699" s="926"/>
    </row>
    <row r="700" spans="1:5" x14ac:dyDescent="0.25">
      <c r="A700" s="925"/>
      <c r="B700" s="926"/>
      <c r="C700" s="926"/>
      <c r="D700" s="926"/>
      <c r="E700" s="926"/>
    </row>
    <row r="701" spans="1:5" x14ac:dyDescent="0.25">
      <c r="A701" s="925"/>
      <c r="B701" s="926"/>
      <c r="C701" s="926"/>
      <c r="D701" s="926"/>
      <c r="E701" s="926"/>
    </row>
    <row r="702" spans="1:5" x14ac:dyDescent="0.25">
      <c r="A702" s="925"/>
      <c r="B702" s="926"/>
      <c r="C702" s="926"/>
      <c r="D702" s="926"/>
      <c r="E702" s="926"/>
    </row>
    <row r="703" spans="1:5" x14ac:dyDescent="0.25">
      <c r="A703" s="925"/>
      <c r="B703" s="926"/>
      <c r="C703" s="926"/>
      <c r="D703" s="926"/>
      <c r="E703" s="926"/>
    </row>
    <row r="704" spans="1:5" x14ac:dyDescent="0.25">
      <c r="A704" s="925"/>
      <c r="B704" s="926"/>
      <c r="C704" s="926"/>
      <c r="D704" s="926"/>
      <c r="E704" s="926"/>
    </row>
    <row r="705" spans="1:5" x14ac:dyDescent="0.25">
      <c r="A705" s="925"/>
      <c r="B705" s="926"/>
      <c r="C705" s="926"/>
      <c r="D705" s="926"/>
      <c r="E705" s="926"/>
    </row>
    <row r="706" spans="1:5" x14ac:dyDescent="0.25">
      <c r="A706" s="925"/>
      <c r="B706" s="926"/>
      <c r="C706" s="926"/>
      <c r="D706" s="926"/>
      <c r="E706" s="926"/>
    </row>
    <row r="707" spans="1:5" x14ac:dyDescent="0.25">
      <c r="A707" s="925"/>
      <c r="B707" s="926"/>
      <c r="C707" s="926"/>
      <c r="D707" s="926"/>
      <c r="E707" s="926"/>
    </row>
    <row r="708" spans="1:5" x14ac:dyDescent="0.25">
      <c r="A708" s="925"/>
      <c r="B708" s="926"/>
      <c r="C708" s="926"/>
      <c r="D708" s="926"/>
      <c r="E708" s="926"/>
    </row>
    <row r="709" spans="1:5" x14ac:dyDescent="0.25">
      <c r="A709" s="925"/>
      <c r="B709" s="926"/>
      <c r="C709" s="926"/>
      <c r="D709" s="926"/>
      <c r="E709" s="926"/>
    </row>
    <row r="710" spans="1:5" x14ac:dyDescent="0.25">
      <c r="A710" s="925"/>
      <c r="B710" s="926"/>
      <c r="C710" s="926"/>
      <c r="D710" s="926"/>
      <c r="E710" s="926"/>
    </row>
    <row r="711" spans="1:5" x14ac:dyDescent="0.25">
      <c r="A711" s="925"/>
      <c r="B711" s="926"/>
      <c r="C711" s="926"/>
      <c r="D711" s="926"/>
      <c r="E711" s="926"/>
    </row>
    <row r="712" spans="1:5" x14ac:dyDescent="0.25">
      <c r="A712" s="925"/>
      <c r="B712" s="926"/>
      <c r="C712" s="926"/>
      <c r="D712" s="926"/>
      <c r="E712" s="926"/>
    </row>
    <row r="713" spans="1:5" x14ac:dyDescent="0.25">
      <c r="A713" s="925"/>
      <c r="B713" s="926"/>
      <c r="C713" s="926"/>
      <c r="D713" s="926"/>
      <c r="E713" s="926"/>
    </row>
    <row r="714" spans="1:5" x14ac:dyDescent="0.25">
      <c r="A714" s="925"/>
      <c r="B714" s="926"/>
      <c r="C714" s="926"/>
      <c r="D714" s="926"/>
      <c r="E714" s="926"/>
    </row>
    <row r="715" spans="1:5" x14ac:dyDescent="0.25">
      <c r="A715" s="925"/>
      <c r="B715" s="926"/>
      <c r="C715" s="926"/>
      <c r="D715" s="926"/>
      <c r="E715" s="926"/>
    </row>
    <row r="716" spans="1:5" x14ac:dyDescent="0.25">
      <c r="A716" s="925"/>
      <c r="B716" s="926"/>
      <c r="C716" s="926"/>
      <c r="D716" s="926"/>
      <c r="E716" s="926"/>
    </row>
    <row r="717" spans="1:5" x14ac:dyDescent="0.25">
      <c r="A717" s="925"/>
      <c r="B717" s="926"/>
      <c r="C717" s="926"/>
      <c r="D717" s="926"/>
      <c r="E717" s="926"/>
    </row>
    <row r="718" spans="1:5" x14ac:dyDescent="0.25">
      <c r="A718" s="925"/>
      <c r="B718" s="926"/>
      <c r="C718" s="926"/>
      <c r="D718" s="926"/>
      <c r="E718" s="926"/>
    </row>
    <row r="719" spans="1:5" x14ac:dyDescent="0.25">
      <c r="A719" s="925"/>
      <c r="B719" s="926"/>
      <c r="C719" s="926"/>
      <c r="D719" s="926"/>
      <c r="E719" s="926"/>
    </row>
    <row r="720" spans="1:5" x14ac:dyDescent="0.25">
      <c r="A720" s="925"/>
      <c r="B720" s="926"/>
      <c r="C720" s="926"/>
      <c r="D720" s="926"/>
      <c r="E720" s="926"/>
    </row>
    <row r="721" spans="1:5" x14ac:dyDescent="0.25">
      <c r="A721" s="925"/>
      <c r="B721" s="926"/>
      <c r="C721" s="926"/>
      <c r="D721" s="926"/>
      <c r="E721" s="926"/>
    </row>
    <row r="722" spans="1:5" x14ac:dyDescent="0.25">
      <c r="A722" s="925"/>
      <c r="B722" s="926"/>
      <c r="C722" s="926"/>
      <c r="D722" s="926"/>
      <c r="E722" s="926"/>
    </row>
    <row r="723" spans="1:5" x14ac:dyDescent="0.25">
      <c r="A723" s="925"/>
      <c r="B723" s="926"/>
      <c r="C723" s="926"/>
      <c r="D723" s="926"/>
      <c r="E723" s="926"/>
    </row>
    <row r="724" spans="1:5" x14ac:dyDescent="0.25">
      <c r="A724" s="925"/>
      <c r="B724" s="926"/>
      <c r="C724" s="926"/>
      <c r="D724" s="926"/>
      <c r="E724" s="926"/>
    </row>
    <row r="725" spans="1:5" x14ac:dyDescent="0.25">
      <c r="A725" s="925"/>
      <c r="B725" s="926"/>
      <c r="C725" s="926"/>
      <c r="D725" s="926"/>
      <c r="E725" s="926"/>
    </row>
    <row r="726" spans="1:5" x14ac:dyDescent="0.25">
      <c r="A726" s="925"/>
      <c r="B726" s="926"/>
      <c r="C726" s="926"/>
      <c r="D726" s="926"/>
      <c r="E726" s="926"/>
    </row>
    <row r="727" spans="1:5" x14ac:dyDescent="0.25">
      <c r="A727" s="925"/>
      <c r="B727" s="926"/>
      <c r="C727" s="926"/>
      <c r="D727" s="926"/>
      <c r="E727" s="926"/>
    </row>
    <row r="728" spans="1:5" x14ac:dyDescent="0.25">
      <c r="A728" s="925"/>
      <c r="B728" s="926"/>
      <c r="C728" s="926"/>
      <c r="D728" s="926"/>
      <c r="E728" s="926"/>
    </row>
    <row r="729" spans="1:5" x14ac:dyDescent="0.25">
      <c r="A729" s="925"/>
      <c r="B729" s="926"/>
      <c r="C729" s="926"/>
      <c r="D729" s="926"/>
      <c r="E729" s="926"/>
    </row>
    <row r="730" spans="1:5" x14ac:dyDescent="0.25">
      <c r="A730" s="925"/>
      <c r="B730" s="926"/>
      <c r="C730" s="926"/>
      <c r="D730" s="926"/>
      <c r="E730" s="926"/>
    </row>
    <row r="731" spans="1:5" x14ac:dyDescent="0.25">
      <c r="A731" s="925"/>
      <c r="B731" s="926"/>
      <c r="C731" s="926"/>
      <c r="D731" s="926"/>
      <c r="E731" s="926"/>
    </row>
    <row r="732" spans="1:5" x14ac:dyDescent="0.25">
      <c r="A732" s="925"/>
      <c r="B732" s="926"/>
      <c r="C732" s="926"/>
      <c r="D732" s="926"/>
      <c r="E732" s="926"/>
    </row>
    <row r="733" spans="1:5" x14ac:dyDescent="0.25">
      <c r="A733" s="925"/>
      <c r="B733" s="926"/>
      <c r="C733" s="926"/>
      <c r="D733" s="926"/>
      <c r="E733" s="926"/>
    </row>
    <row r="734" spans="1:5" x14ac:dyDescent="0.25">
      <c r="A734" s="925"/>
      <c r="B734" s="926"/>
      <c r="C734" s="926"/>
      <c r="D734" s="926"/>
      <c r="E734" s="926"/>
    </row>
    <row r="735" spans="1:5" x14ac:dyDescent="0.25">
      <c r="A735" s="925"/>
      <c r="B735" s="926"/>
      <c r="C735" s="926"/>
      <c r="D735" s="926"/>
      <c r="E735" s="926"/>
    </row>
    <row r="736" spans="1:5" x14ac:dyDescent="0.25">
      <c r="A736" s="925"/>
      <c r="B736" s="926"/>
      <c r="C736" s="926"/>
      <c r="D736" s="926"/>
      <c r="E736" s="926"/>
    </row>
    <row r="737" spans="1:5" x14ac:dyDescent="0.25">
      <c r="A737" s="925"/>
      <c r="B737" s="926"/>
      <c r="C737" s="926"/>
      <c r="D737" s="926"/>
      <c r="E737" s="926"/>
    </row>
    <row r="738" spans="1:5" x14ac:dyDescent="0.25">
      <c r="A738" s="925"/>
      <c r="B738" s="926"/>
      <c r="C738" s="926"/>
      <c r="D738" s="926"/>
      <c r="E738" s="926"/>
    </row>
    <row r="739" spans="1:5" x14ac:dyDescent="0.25">
      <c r="A739" s="925"/>
      <c r="B739" s="926"/>
      <c r="C739" s="926"/>
      <c r="D739" s="926"/>
      <c r="E739" s="926"/>
    </row>
    <row r="740" spans="1:5" x14ac:dyDescent="0.25">
      <c r="A740" s="925"/>
      <c r="B740" s="926"/>
      <c r="C740" s="926"/>
      <c r="D740" s="926"/>
      <c r="E740" s="926"/>
    </row>
    <row r="741" spans="1:5" x14ac:dyDescent="0.25">
      <c r="A741" s="925"/>
      <c r="B741" s="926"/>
      <c r="C741" s="926"/>
      <c r="D741" s="926"/>
      <c r="E741" s="926"/>
    </row>
    <row r="742" spans="1:5" x14ac:dyDescent="0.25">
      <c r="A742" s="925"/>
      <c r="B742" s="926"/>
      <c r="C742" s="926"/>
      <c r="D742" s="926"/>
      <c r="E742" s="926"/>
    </row>
    <row r="743" spans="1:5" x14ac:dyDescent="0.25">
      <c r="A743" s="925"/>
      <c r="B743" s="926"/>
      <c r="C743" s="926"/>
      <c r="D743" s="926"/>
      <c r="E743" s="926"/>
    </row>
    <row r="744" spans="1:5" x14ac:dyDescent="0.25">
      <c r="A744" s="925"/>
      <c r="B744" s="926"/>
      <c r="C744" s="926"/>
      <c r="D744" s="926"/>
      <c r="E744" s="926"/>
    </row>
    <row r="745" spans="1:5" x14ac:dyDescent="0.25">
      <c r="A745" s="925"/>
      <c r="B745" s="926"/>
      <c r="C745" s="926"/>
      <c r="D745" s="926"/>
      <c r="E745" s="926"/>
    </row>
    <row r="746" spans="1:5" x14ac:dyDescent="0.25">
      <c r="A746" s="925"/>
      <c r="B746" s="926"/>
      <c r="C746" s="926"/>
      <c r="D746" s="926"/>
      <c r="E746" s="926"/>
    </row>
    <row r="747" spans="1:5" x14ac:dyDescent="0.25">
      <c r="A747" s="925"/>
      <c r="B747" s="926"/>
      <c r="C747" s="926"/>
      <c r="D747" s="926"/>
      <c r="E747" s="926"/>
    </row>
    <row r="748" spans="1:5" x14ac:dyDescent="0.25">
      <c r="A748" s="925"/>
      <c r="B748" s="926"/>
      <c r="C748" s="926"/>
      <c r="D748" s="926"/>
      <c r="E748" s="926"/>
    </row>
    <row r="749" spans="1:5" x14ac:dyDescent="0.25">
      <c r="A749" s="925"/>
      <c r="B749" s="926"/>
      <c r="C749" s="926"/>
      <c r="D749" s="926"/>
      <c r="E749" s="926"/>
    </row>
    <row r="750" spans="1:5" x14ac:dyDescent="0.25">
      <c r="A750" s="925"/>
      <c r="B750" s="926"/>
      <c r="C750" s="926"/>
      <c r="D750" s="926"/>
      <c r="E750" s="926"/>
    </row>
    <row r="751" spans="1:5" x14ac:dyDescent="0.25">
      <c r="A751" s="925"/>
      <c r="B751" s="926"/>
      <c r="C751" s="926"/>
      <c r="D751" s="926"/>
      <c r="E751" s="926"/>
    </row>
    <row r="752" spans="1:5" x14ac:dyDescent="0.25">
      <c r="A752" s="925"/>
      <c r="B752" s="926"/>
      <c r="C752" s="926"/>
      <c r="D752" s="926"/>
      <c r="E752" s="926"/>
    </row>
    <row r="753" spans="1:5" x14ac:dyDescent="0.25">
      <c r="A753" s="925"/>
      <c r="B753" s="926"/>
      <c r="C753" s="926"/>
      <c r="D753" s="926"/>
      <c r="E753" s="926"/>
    </row>
    <row r="754" spans="1:5" x14ac:dyDescent="0.25">
      <c r="A754" s="925"/>
      <c r="B754" s="926"/>
      <c r="C754" s="926"/>
      <c r="D754" s="926"/>
      <c r="E754" s="926"/>
    </row>
    <row r="755" spans="1:5" x14ac:dyDescent="0.25">
      <c r="A755" s="925"/>
      <c r="B755" s="926"/>
      <c r="C755" s="926"/>
      <c r="D755" s="926"/>
      <c r="E755" s="926"/>
    </row>
    <row r="756" spans="1:5" x14ac:dyDescent="0.25">
      <c r="A756" s="925"/>
      <c r="B756" s="926"/>
      <c r="C756" s="926"/>
      <c r="D756" s="926"/>
      <c r="E756" s="926"/>
    </row>
    <row r="757" spans="1:5" x14ac:dyDescent="0.25">
      <c r="A757" s="925"/>
      <c r="B757" s="926"/>
      <c r="C757" s="926"/>
      <c r="D757" s="926"/>
      <c r="E757" s="926"/>
    </row>
    <row r="758" spans="1:5" x14ac:dyDescent="0.25">
      <c r="A758" s="925"/>
      <c r="B758" s="926"/>
      <c r="C758" s="926"/>
      <c r="D758" s="926"/>
      <c r="E758" s="926"/>
    </row>
    <row r="759" spans="1:5" x14ac:dyDescent="0.25">
      <c r="A759" s="925"/>
      <c r="B759" s="926"/>
      <c r="C759" s="926"/>
      <c r="D759" s="926"/>
      <c r="E759" s="926"/>
    </row>
    <row r="760" spans="1:5" x14ac:dyDescent="0.25">
      <c r="A760" s="925"/>
      <c r="B760" s="926"/>
      <c r="C760" s="926"/>
      <c r="D760" s="926"/>
      <c r="E760" s="926"/>
    </row>
    <row r="761" spans="1:5" x14ac:dyDescent="0.25">
      <c r="A761" s="925"/>
      <c r="B761" s="926"/>
      <c r="C761" s="926"/>
      <c r="D761" s="926"/>
      <c r="E761" s="926"/>
    </row>
    <row r="762" spans="1:5" x14ac:dyDescent="0.25">
      <c r="A762" s="925"/>
      <c r="B762" s="926"/>
      <c r="C762" s="926"/>
      <c r="D762" s="926"/>
      <c r="E762" s="926"/>
    </row>
    <row r="763" spans="1:5" x14ac:dyDescent="0.25">
      <c r="A763" s="925"/>
      <c r="B763" s="926"/>
      <c r="C763" s="926"/>
      <c r="D763" s="926"/>
      <c r="E763" s="926"/>
    </row>
    <row r="764" spans="1:5" x14ac:dyDescent="0.25">
      <c r="A764" s="925"/>
      <c r="B764" s="926"/>
      <c r="C764" s="926"/>
      <c r="D764" s="926"/>
      <c r="E764" s="926"/>
    </row>
    <row r="765" spans="1:5" x14ac:dyDescent="0.25">
      <c r="A765" s="925"/>
      <c r="B765" s="926"/>
      <c r="C765" s="926"/>
      <c r="D765" s="926"/>
      <c r="E765" s="926"/>
    </row>
    <row r="766" spans="1:5" x14ac:dyDescent="0.25">
      <c r="A766" s="925"/>
      <c r="B766" s="926"/>
      <c r="C766" s="926"/>
      <c r="D766" s="926"/>
      <c r="E766" s="926"/>
    </row>
    <row r="767" spans="1:5" x14ac:dyDescent="0.25">
      <c r="A767" s="925"/>
      <c r="B767" s="926"/>
      <c r="C767" s="926"/>
      <c r="D767" s="926"/>
      <c r="E767" s="926"/>
    </row>
    <row r="768" spans="1:5" x14ac:dyDescent="0.25">
      <c r="A768" s="925"/>
      <c r="B768" s="926"/>
      <c r="C768" s="926"/>
      <c r="D768" s="926"/>
      <c r="E768" s="926"/>
    </row>
    <row r="769" spans="1:5" x14ac:dyDescent="0.25">
      <c r="A769" s="925"/>
      <c r="B769" s="926"/>
      <c r="C769" s="926"/>
      <c r="D769" s="926"/>
      <c r="E769" s="926"/>
    </row>
    <row r="770" spans="1:5" x14ac:dyDescent="0.25">
      <c r="A770" s="925"/>
      <c r="B770" s="926"/>
      <c r="C770" s="926"/>
      <c r="D770" s="926"/>
      <c r="E770" s="926"/>
    </row>
    <row r="771" spans="1:5" x14ac:dyDescent="0.25">
      <c r="A771" s="925"/>
      <c r="B771" s="926"/>
      <c r="C771" s="926"/>
      <c r="D771" s="926"/>
      <c r="E771" s="926"/>
    </row>
    <row r="772" spans="1:5" x14ac:dyDescent="0.25">
      <c r="A772" s="925"/>
      <c r="B772" s="926"/>
      <c r="C772" s="926"/>
      <c r="D772" s="926"/>
      <c r="E772" s="926"/>
    </row>
    <row r="773" spans="1:5" x14ac:dyDescent="0.25">
      <c r="A773" s="925"/>
      <c r="B773" s="926"/>
      <c r="C773" s="926"/>
      <c r="D773" s="926"/>
      <c r="E773" s="926"/>
    </row>
    <row r="774" spans="1:5" x14ac:dyDescent="0.25">
      <c r="A774" s="925"/>
      <c r="B774" s="926"/>
      <c r="C774" s="926"/>
      <c r="D774" s="926"/>
      <c r="E774" s="926"/>
    </row>
    <row r="775" spans="1:5" x14ac:dyDescent="0.25">
      <c r="A775" s="925"/>
      <c r="B775" s="926"/>
      <c r="C775" s="926"/>
      <c r="D775" s="926"/>
      <c r="E775" s="926"/>
    </row>
    <row r="776" spans="1:5" x14ac:dyDescent="0.25">
      <c r="A776" s="925"/>
      <c r="B776" s="926"/>
      <c r="C776" s="926"/>
      <c r="D776" s="926"/>
      <c r="E776" s="926"/>
    </row>
    <row r="777" spans="1:5" x14ac:dyDescent="0.25">
      <c r="A777" s="925"/>
      <c r="B777" s="926"/>
      <c r="C777" s="926"/>
      <c r="D777" s="926"/>
      <c r="E777" s="926"/>
    </row>
    <row r="778" spans="1:5" x14ac:dyDescent="0.25">
      <c r="A778" s="925"/>
      <c r="B778" s="926"/>
      <c r="C778" s="926"/>
      <c r="D778" s="926"/>
      <c r="E778" s="926"/>
    </row>
    <row r="779" spans="1:5" x14ac:dyDescent="0.25">
      <c r="A779" s="925"/>
      <c r="B779" s="926"/>
      <c r="C779" s="926"/>
      <c r="D779" s="926"/>
      <c r="E779" s="926"/>
    </row>
    <row r="780" spans="1:5" x14ac:dyDescent="0.25">
      <c r="A780" s="925"/>
      <c r="B780" s="926"/>
      <c r="C780" s="926"/>
      <c r="D780" s="926"/>
      <c r="E780" s="926"/>
    </row>
    <row r="781" spans="1:5" x14ac:dyDescent="0.25">
      <c r="A781" s="925"/>
      <c r="B781" s="926"/>
      <c r="C781" s="926"/>
      <c r="D781" s="926"/>
      <c r="E781" s="926"/>
    </row>
    <row r="782" spans="1:5" x14ac:dyDescent="0.25">
      <c r="A782" s="925"/>
      <c r="B782" s="926"/>
      <c r="C782" s="926"/>
      <c r="D782" s="926"/>
      <c r="E782" s="926"/>
    </row>
    <row r="783" spans="1:5" x14ac:dyDescent="0.25">
      <c r="A783" s="925"/>
      <c r="B783" s="926"/>
      <c r="C783" s="926"/>
      <c r="D783" s="926"/>
      <c r="E783" s="926"/>
    </row>
    <row r="784" spans="1:5" x14ac:dyDescent="0.25">
      <c r="A784" s="925"/>
      <c r="B784" s="926"/>
      <c r="C784" s="926"/>
      <c r="D784" s="926"/>
      <c r="E784" s="926"/>
    </row>
    <row r="785" spans="1:5" x14ac:dyDescent="0.25">
      <c r="A785" s="925"/>
      <c r="B785" s="926"/>
      <c r="C785" s="926"/>
      <c r="D785" s="926"/>
      <c r="E785" s="926"/>
    </row>
    <row r="786" spans="1:5" x14ac:dyDescent="0.25">
      <c r="A786" s="925"/>
      <c r="B786" s="926"/>
      <c r="C786" s="926"/>
      <c r="D786" s="926"/>
      <c r="E786" s="926"/>
    </row>
    <row r="787" spans="1:5" x14ac:dyDescent="0.25">
      <c r="A787" s="925"/>
      <c r="B787" s="926"/>
      <c r="C787" s="926"/>
      <c r="D787" s="926"/>
      <c r="E787" s="926"/>
    </row>
    <row r="788" spans="1:5" x14ac:dyDescent="0.25">
      <c r="A788" s="925"/>
      <c r="B788" s="926"/>
      <c r="C788" s="926"/>
      <c r="D788" s="926"/>
      <c r="E788" s="926"/>
    </row>
    <row r="789" spans="1:5" x14ac:dyDescent="0.25">
      <c r="A789" s="925"/>
      <c r="B789" s="926"/>
      <c r="C789" s="926"/>
      <c r="D789" s="926"/>
      <c r="E789" s="926"/>
    </row>
    <row r="790" spans="1:5" x14ac:dyDescent="0.25">
      <c r="A790" s="925"/>
      <c r="B790" s="926"/>
      <c r="C790" s="926"/>
      <c r="D790" s="926"/>
      <c r="E790" s="926"/>
    </row>
    <row r="791" spans="1:5" x14ac:dyDescent="0.25">
      <c r="A791" s="925"/>
      <c r="B791" s="926"/>
      <c r="C791" s="926"/>
      <c r="D791" s="926"/>
      <c r="E791" s="926"/>
    </row>
    <row r="792" spans="1:5" x14ac:dyDescent="0.25">
      <c r="A792" s="925"/>
      <c r="B792" s="926"/>
      <c r="C792" s="926"/>
      <c r="D792" s="926"/>
      <c r="E792" s="926"/>
    </row>
    <row r="793" spans="1:5" x14ac:dyDescent="0.25">
      <c r="A793" s="925"/>
      <c r="B793" s="926"/>
      <c r="C793" s="926"/>
      <c r="D793" s="926"/>
      <c r="E793" s="926"/>
    </row>
    <row r="794" spans="1:5" x14ac:dyDescent="0.25">
      <c r="A794" s="925"/>
      <c r="B794" s="926"/>
      <c r="C794" s="926"/>
      <c r="D794" s="926"/>
      <c r="E794" s="926"/>
    </row>
    <row r="795" spans="1:5" x14ac:dyDescent="0.25">
      <c r="A795" s="925"/>
      <c r="B795" s="926"/>
      <c r="C795" s="926"/>
      <c r="D795" s="926"/>
      <c r="E795" s="926"/>
    </row>
    <row r="796" spans="1:5" x14ac:dyDescent="0.25">
      <c r="A796" s="925"/>
      <c r="B796" s="926"/>
      <c r="C796" s="926"/>
      <c r="D796" s="926"/>
      <c r="E796" s="926"/>
    </row>
    <row r="797" spans="1:5" x14ac:dyDescent="0.25">
      <c r="A797" s="925"/>
      <c r="B797" s="926"/>
      <c r="C797" s="926"/>
      <c r="D797" s="926"/>
      <c r="E797" s="926"/>
    </row>
    <row r="798" spans="1:5" x14ac:dyDescent="0.25">
      <c r="A798" s="925"/>
      <c r="B798" s="926"/>
      <c r="C798" s="926"/>
      <c r="D798" s="926"/>
      <c r="E798" s="926"/>
    </row>
    <row r="799" spans="1:5" x14ac:dyDescent="0.25">
      <c r="A799" s="925"/>
      <c r="B799" s="926"/>
      <c r="C799" s="926"/>
      <c r="D799" s="926"/>
      <c r="E799" s="926"/>
    </row>
    <row r="800" spans="1:5" x14ac:dyDescent="0.25">
      <c r="A800" s="925"/>
      <c r="B800" s="926"/>
      <c r="C800" s="926"/>
      <c r="D800" s="926"/>
      <c r="E800" s="926"/>
    </row>
    <row r="801" spans="1:5" x14ac:dyDescent="0.25">
      <c r="A801" s="925"/>
      <c r="B801" s="926"/>
      <c r="C801" s="926"/>
      <c r="D801" s="926"/>
      <c r="E801" s="926"/>
    </row>
    <row r="802" spans="1:5" x14ac:dyDescent="0.25">
      <c r="A802" s="925"/>
      <c r="B802" s="926"/>
      <c r="C802" s="926"/>
      <c r="D802" s="926"/>
      <c r="E802" s="926"/>
    </row>
    <row r="803" spans="1:5" x14ac:dyDescent="0.25">
      <c r="A803" s="925"/>
      <c r="B803" s="926"/>
      <c r="C803" s="926"/>
      <c r="D803" s="926"/>
      <c r="E803" s="926"/>
    </row>
    <row r="804" spans="1:5" x14ac:dyDescent="0.25">
      <c r="A804" s="925"/>
      <c r="B804" s="926"/>
      <c r="C804" s="926"/>
      <c r="D804" s="926"/>
      <c r="E804" s="926"/>
    </row>
    <row r="805" spans="1:5" x14ac:dyDescent="0.25">
      <c r="A805" s="925"/>
      <c r="B805" s="926"/>
      <c r="C805" s="926"/>
      <c r="D805" s="926"/>
      <c r="E805" s="926"/>
    </row>
    <row r="806" spans="1:5" x14ac:dyDescent="0.25">
      <c r="A806" s="925"/>
      <c r="B806" s="926"/>
      <c r="C806" s="926"/>
      <c r="D806" s="926"/>
      <c r="E806" s="926"/>
    </row>
    <row r="807" spans="1:5" x14ac:dyDescent="0.25">
      <c r="A807" s="925"/>
      <c r="B807" s="926"/>
      <c r="C807" s="926"/>
      <c r="D807" s="926"/>
      <c r="E807" s="926"/>
    </row>
    <row r="808" spans="1:5" x14ac:dyDescent="0.25">
      <c r="A808" s="925"/>
      <c r="B808" s="926"/>
      <c r="C808" s="926"/>
      <c r="D808" s="926"/>
      <c r="E808" s="926"/>
    </row>
    <row r="809" spans="1:5" x14ac:dyDescent="0.25">
      <c r="A809" s="925"/>
      <c r="B809" s="926"/>
      <c r="C809" s="926"/>
      <c r="D809" s="926"/>
      <c r="E809" s="926"/>
    </row>
    <row r="810" spans="1:5" x14ac:dyDescent="0.25">
      <c r="A810" s="925"/>
      <c r="B810" s="926"/>
      <c r="C810" s="926"/>
      <c r="D810" s="926"/>
      <c r="E810" s="926"/>
    </row>
    <row r="811" spans="1:5" x14ac:dyDescent="0.25">
      <c r="A811" s="925"/>
      <c r="B811" s="926"/>
      <c r="C811" s="926"/>
      <c r="D811" s="926"/>
      <c r="E811" s="926"/>
    </row>
    <row r="812" spans="1:5" x14ac:dyDescent="0.25">
      <c r="A812" s="925"/>
      <c r="B812" s="926"/>
      <c r="C812" s="926"/>
      <c r="D812" s="926"/>
      <c r="E812" s="926"/>
    </row>
    <row r="813" spans="1:5" x14ac:dyDescent="0.25">
      <c r="A813" s="925"/>
      <c r="B813" s="926"/>
      <c r="C813" s="926"/>
      <c r="D813" s="926"/>
      <c r="E813" s="926"/>
    </row>
    <row r="814" spans="1:5" x14ac:dyDescent="0.25">
      <c r="A814" s="925"/>
      <c r="B814" s="926"/>
      <c r="C814" s="926"/>
      <c r="D814" s="926"/>
      <c r="E814" s="926"/>
    </row>
    <row r="815" spans="1:5" x14ac:dyDescent="0.25">
      <c r="A815" s="925"/>
      <c r="B815" s="926"/>
      <c r="C815" s="926"/>
      <c r="D815" s="926"/>
      <c r="E815" s="926"/>
    </row>
    <row r="816" spans="1:5" x14ac:dyDescent="0.25">
      <c r="A816" s="925"/>
      <c r="B816" s="926"/>
      <c r="C816" s="926"/>
      <c r="D816" s="926"/>
      <c r="E816" s="926"/>
    </row>
    <row r="817" spans="1:5" x14ac:dyDescent="0.25">
      <c r="A817" s="925"/>
      <c r="B817" s="926"/>
      <c r="C817" s="926"/>
      <c r="D817" s="926"/>
      <c r="E817" s="926"/>
    </row>
    <row r="818" spans="1:5" x14ac:dyDescent="0.25">
      <c r="A818" s="925"/>
      <c r="B818" s="926"/>
      <c r="C818" s="926"/>
      <c r="D818" s="926"/>
      <c r="E818" s="926"/>
    </row>
    <row r="819" spans="1:5" x14ac:dyDescent="0.25">
      <c r="A819" s="925"/>
      <c r="B819" s="926"/>
      <c r="C819" s="926"/>
      <c r="D819" s="926"/>
      <c r="E819" s="926"/>
    </row>
    <row r="820" spans="1:5" x14ac:dyDescent="0.25">
      <c r="A820" s="925"/>
      <c r="B820" s="926"/>
      <c r="C820" s="926"/>
      <c r="D820" s="926"/>
      <c r="E820" s="926"/>
    </row>
    <row r="821" spans="1:5" x14ac:dyDescent="0.25">
      <c r="A821" s="925"/>
      <c r="B821" s="926"/>
      <c r="C821" s="926"/>
      <c r="D821" s="926"/>
      <c r="E821" s="926"/>
    </row>
    <row r="822" spans="1:5" x14ac:dyDescent="0.25">
      <c r="A822" s="925"/>
      <c r="B822" s="926"/>
      <c r="C822" s="926"/>
      <c r="D822" s="926"/>
      <c r="E822" s="926"/>
    </row>
    <row r="823" spans="1:5" x14ac:dyDescent="0.25">
      <c r="A823" s="925"/>
      <c r="B823" s="926"/>
      <c r="C823" s="926"/>
      <c r="D823" s="926"/>
      <c r="E823" s="926"/>
    </row>
    <row r="824" spans="1:5" x14ac:dyDescent="0.25">
      <c r="A824" s="925"/>
      <c r="B824" s="926"/>
      <c r="C824" s="926"/>
      <c r="D824" s="926"/>
      <c r="E824" s="926"/>
    </row>
    <row r="825" spans="1:5" x14ac:dyDescent="0.25">
      <c r="A825" s="925"/>
      <c r="B825" s="926"/>
      <c r="C825" s="926"/>
      <c r="D825" s="926"/>
      <c r="E825" s="926"/>
    </row>
    <row r="826" spans="1:5" x14ac:dyDescent="0.25">
      <c r="A826" s="925"/>
      <c r="B826" s="926"/>
      <c r="C826" s="926"/>
      <c r="D826" s="926"/>
      <c r="E826" s="926"/>
    </row>
    <row r="827" spans="1:5" x14ac:dyDescent="0.25">
      <c r="A827" s="925"/>
      <c r="B827" s="926"/>
      <c r="C827" s="926"/>
      <c r="D827" s="926"/>
      <c r="E827" s="926"/>
    </row>
    <row r="828" spans="1:5" x14ac:dyDescent="0.25">
      <c r="A828" s="925"/>
      <c r="B828" s="926"/>
      <c r="C828" s="926"/>
      <c r="D828" s="926"/>
      <c r="E828" s="926"/>
    </row>
    <row r="829" spans="1:5" x14ac:dyDescent="0.25">
      <c r="A829" s="925"/>
      <c r="B829" s="926"/>
      <c r="C829" s="926"/>
      <c r="D829" s="926"/>
      <c r="E829" s="926"/>
    </row>
    <row r="830" spans="1:5" x14ac:dyDescent="0.25">
      <c r="A830" s="925"/>
      <c r="B830" s="926"/>
      <c r="C830" s="926"/>
      <c r="D830" s="926"/>
      <c r="E830" s="926"/>
    </row>
    <row r="831" spans="1:5" x14ac:dyDescent="0.25">
      <c r="A831" s="925"/>
      <c r="B831" s="926"/>
      <c r="C831" s="926"/>
      <c r="D831" s="926"/>
      <c r="E831" s="926"/>
    </row>
    <row r="832" spans="1:5" x14ac:dyDescent="0.25">
      <c r="A832" s="925"/>
      <c r="B832" s="926"/>
      <c r="C832" s="926"/>
      <c r="D832" s="926"/>
      <c r="E832" s="926"/>
    </row>
    <row r="833" spans="1:5" x14ac:dyDescent="0.25">
      <c r="A833" s="925"/>
      <c r="B833" s="926"/>
      <c r="C833" s="926"/>
      <c r="D833" s="926"/>
      <c r="E833" s="926"/>
    </row>
    <row r="834" spans="1:5" x14ac:dyDescent="0.25">
      <c r="A834" s="925"/>
      <c r="B834" s="926"/>
      <c r="C834" s="926"/>
      <c r="D834" s="926"/>
      <c r="E834" s="926"/>
    </row>
    <row r="835" spans="1:5" x14ac:dyDescent="0.25">
      <c r="A835" s="925"/>
      <c r="B835" s="926"/>
      <c r="C835" s="926"/>
      <c r="D835" s="926"/>
      <c r="E835" s="926"/>
    </row>
    <row r="836" spans="1:5" x14ac:dyDescent="0.25">
      <c r="A836" s="925"/>
      <c r="B836" s="926"/>
      <c r="C836" s="926"/>
      <c r="D836" s="926"/>
      <c r="E836" s="926"/>
    </row>
    <row r="837" spans="1:5" x14ac:dyDescent="0.25">
      <c r="A837" s="925"/>
      <c r="B837" s="926"/>
      <c r="C837" s="926"/>
      <c r="D837" s="926"/>
      <c r="E837" s="926"/>
    </row>
    <row r="838" spans="1:5" x14ac:dyDescent="0.25">
      <c r="A838" s="925"/>
      <c r="B838" s="926"/>
      <c r="C838" s="926"/>
      <c r="D838" s="926"/>
      <c r="E838" s="926"/>
    </row>
    <row r="839" spans="1:5" x14ac:dyDescent="0.25">
      <c r="A839" s="925"/>
      <c r="B839" s="926"/>
      <c r="C839" s="926"/>
      <c r="D839" s="926"/>
      <c r="E839" s="926"/>
    </row>
    <row r="840" spans="1:5" x14ac:dyDescent="0.25">
      <c r="A840" s="925"/>
      <c r="B840" s="926"/>
      <c r="C840" s="926"/>
      <c r="D840" s="926"/>
      <c r="E840" s="926"/>
    </row>
    <row r="841" spans="1:5" x14ac:dyDescent="0.25">
      <c r="A841" s="925"/>
      <c r="B841" s="926"/>
      <c r="C841" s="926"/>
      <c r="D841" s="926"/>
      <c r="E841" s="926"/>
    </row>
    <row r="842" spans="1:5" x14ac:dyDescent="0.25">
      <c r="A842" s="925"/>
      <c r="B842" s="926"/>
      <c r="C842" s="926"/>
      <c r="D842" s="926"/>
      <c r="E842" s="926"/>
    </row>
    <row r="843" spans="1:5" x14ac:dyDescent="0.25">
      <c r="A843" s="925"/>
      <c r="B843" s="926"/>
      <c r="C843" s="926"/>
      <c r="D843" s="926"/>
      <c r="E843" s="926"/>
    </row>
    <row r="844" spans="1:5" x14ac:dyDescent="0.25">
      <c r="A844" s="925"/>
      <c r="B844" s="926"/>
      <c r="C844" s="926"/>
      <c r="D844" s="926"/>
      <c r="E844" s="926"/>
    </row>
    <row r="845" spans="1:5" x14ac:dyDescent="0.25">
      <c r="A845" s="925"/>
      <c r="B845" s="926"/>
      <c r="C845" s="926"/>
      <c r="D845" s="926"/>
      <c r="E845" s="926"/>
    </row>
    <row r="846" spans="1:5" x14ac:dyDescent="0.25">
      <c r="A846" s="925"/>
      <c r="B846" s="926"/>
      <c r="C846" s="926"/>
      <c r="D846" s="926"/>
      <c r="E846" s="926"/>
    </row>
    <row r="847" spans="1:5" x14ac:dyDescent="0.25">
      <c r="A847" s="925"/>
      <c r="B847" s="926"/>
      <c r="C847" s="926"/>
      <c r="D847" s="926"/>
      <c r="E847" s="926"/>
    </row>
    <row r="848" spans="1:5" x14ac:dyDescent="0.25">
      <c r="A848" s="925"/>
      <c r="B848" s="926"/>
      <c r="C848" s="926"/>
      <c r="D848" s="926"/>
      <c r="E848" s="926"/>
    </row>
    <row r="849" spans="1:5" x14ac:dyDescent="0.25">
      <c r="A849" s="925"/>
      <c r="B849" s="926"/>
      <c r="C849" s="926"/>
      <c r="D849" s="926"/>
      <c r="E849" s="926"/>
    </row>
    <row r="850" spans="1:5" x14ac:dyDescent="0.25">
      <c r="A850" s="925"/>
      <c r="B850" s="926"/>
      <c r="C850" s="926"/>
      <c r="D850" s="926"/>
      <c r="E850" s="926"/>
    </row>
    <row r="851" spans="1:5" x14ac:dyDescent="0.25">
      <c r="A851" s="925"/>
      <c r="B851" s="926"/>
      <c r="C851" s="926"/>
      <c r="D851" s="926"/>
      <c r="E851" s="926"/>
    </row>
    <row r="852" spans="1:5" x14ac:dyDescent="0.25">
      <c r="A852" s="925"/>
      <c r="B852" s="926"/>
      <c r="C852" s="926"/>
      <c r="D852" s="926"/>
      <c r="E852" s="926"/>
    </row>
    <row r="853" spans="1:5" x14ac:dyDescent="0.25">
      <c r="A853" s="925"/>
      <c r="B853" s="926"/>
      <c r="C853" s="926"/>
      <c r="D853" s="926"/>
      <c r="E853" s="926"/>
    </row>
    <row r="854" spans="1:5" x14ac:dyDescent="0.25">
      <c r="A854" s="925"/>
      <c r="B854" s="926"/>
      <c r="C854" s="926"/>
      <c r="D854" s="926"/>
      <c r="E854" s="926"/>
    </row>
    <row r="855" spans="1:5" x14ac:dyDescent="0.25">
      <c r="A855" s="925"/>
      <c r="B855" s="926"/>
      <c r="C855" s="926"/>
      <c r="D855" s="926"/>
      <c r="E855" s="926"/>
    </row>
    <row r="856" spans="1:5" x14ac:dyDescent="0.25">
      <c r="A856" s="925"/>
      <c r="B856" s="926"/>
      <c r="C856" s="926"/>
      <c r="D856" s="926"/>
      <c r="E856" s="926"/>
    </row>
    <row r="857" spans="1:5" x14ac:dyDescent="0.25">
      <c r="A857" s="925"/>
      <c r="B857" s="926"/>
      <c r="C857" s="926"/>
      <c r="D857" s="926"/>
      <c r="E857" s="926"/>
    </row>
    <row r="858" spans="1:5" x14ac:dyDescent="0.25">
      <c r="A858" s="925"/>
      <c r="B858" s="926"/>
      <c r="C858" s="926"/>
      <c r="D858" s="926"/>
      <c r="E858" s="926"/>
    </row>
    <row r="859" spans="1:5" x14ac:dyDescent="0.25">
      <c r="A859" s="925"/>
      <c r="B859" s="926"/>
      <c r="C859" s="926"/>
      <c r="D859" s="926"/>
      <c r="E859" s="926"/>
    </row>
    <row r="860" spans="1:5" x14ac:dyDescent="0.25">
      <c r="A860" s="925"/>
      <c r="B860" s="926"/>
      <c r="C860" s="926"/>
      <c r="D860" s="926"/>
      <c r="E860" s="926"/>
    </row>
    <row r="861" spans="1:5" x14ac:dyDescent="0.25">
      <c r="A861" s="925"/>
      <c r="B861" s="926"/>
      <c r="C861" s="926"/>
      <c r="D861" s="926"/>
      <c r="E861" s="926"/>
    </row>
    <row r="862" spans="1:5" x14ac:dyDescent="0.25">
      <c r="A862" s="925"/>
      <c r="B862" s="926"/>
      <c r="C862" s="926"/>
      <c r="D862" s="926"/>
      <c r="E862" s="926"/>
    </row>
    <row r="863" spans="1:5" x14ac:dyDescent="0.25">
      <c r="A863" s="925"/>
      <c r="B863" s="926"/>
      <c r="C863" s="926"/>
      <c r="D863" s="926"/>
      <c r="E863" s="926"/>
    </row>
    <row r="864" spans="1:5" x14ac:dyDescent="0.25">
      <c r="A864" s="925"/>
      <c r="B864" s="926"/>
      <c r="C864" s="926"/>
      <c r="D864" s="926"/>
      <c r="E864" s="926"/>
    </row>
    <row r="865" spans="1:5" x14ac:dyDescent="0.25">
      <c r="A865" s="925"/>
      <c r="B865" s="926"/>
      <c r="C865" s="926"/>
      <c r="D865" s="926"/>
      <c r="E865" s="926"/>
    </row>
    <row r="866" spans="1:5" x14ac:dyDescent="0.25">
      <c r="A866" s="925"/>
      <c r="B866" s="926"/>
      <c r="C866" s="926"/>
      <c r="D866" s="926"/>
      <c r="E866" s="926"/>
    </row>
    <row r="867" spans="1:5" x14ac:dyDescent="0.25">
      <c r="A867" s="925"/>
      <c r="B867" s="926"/>
      <c r="C867" s="926"/>
      <c r="D867" s="926"/>
      <c r="E867" s="926"/>
    </row>
    <row r="868" spans="1:5" x14ac:dyDescent="0.25">
      <c r="A868" s="925"/>
      <c r="B868" s="926"/>
      <c r="C868" s="926"/>
      <c r="D868" s="926"/>
      <c r="E868" s="926"/>
    </row>
    <row r="869" spans="1:5" x14ac:dyDescent="0.25">
      <c r="A869" s="925"/>
      <c r="B869" s="926"/>
      <c r="C869" s="926"/>
      <c r="D869" s="926"/>
      <c r="E869" s="926"/>
    </row>
    <row r="870" spans="1:5" x14ac:dyDescent="0.25">
      <c r="A870" s="925"/>
      <c r="B870" s="926"/>
      <c r="C870" s="926"/>
      <c r="D870" s="926"/>
      <c r="E870" s="926"/>
    </row>
    <row r="871" spans="1:5" x14ac:dyDescent="0.25">
      <c r="A871" s="925"/>
      <c r="B871" s="926"/>
      <c r="C871" s="926"/>
      <c r="D871" s="926"/>
      <c r="E871" s="926"/>
    </row>
    <row r="872" spans="1:5" x14ac:dyDescent="0.25">
      <c r="A872" s="925"/>
      <c r="B872" s="926"/>
      <c r="C872" s="926"/>
      <c r="D872" s="926"/>
      <c r="E872" s="926"/>
    </row>
    <row r="873" spans="1:5" x14ac:dyDescent="0.25">
      <c r="A873" s="925"/>
      <c r="B873" s="926"/>
      <c r="C873" s="926"/>
      <c r="D873" s="926"/>
      <c r="E873" s="926"/>
    </row>
    <row r="874" spans="1:5" x14ac:dyDescent="0.25">
      <c r="A874" s="925"/>
      <c r="B874" s="926"/>
      <c r="C874" s="926"/>
      <c r="D874" s="926"/>
      <c r="E874" s="926"/>
    </row>
    <row r="875" spans="1:5" x14ac:dyDescent="0.25">
      <c r="A875" s="925"/>
      <c r="B875" s="926"/>
      <c r="C875" s="926"/>
      <c r="D875" s="926"/>
      <c r="E875" s="926"/>
    </row>
    <row r="876" spans="1:5" x14ac:dyDescent="0.25">
      <c r="A876" s="925"/>
      <c r="B876" s="926"/>
      <c r="C876" s="926"/>
      <c r="D876" s="926"/>
      <c r="E876" s="926"/>
    </row>
    <row r="877" spans="1:5" x14ac:dyDescent="0.25">
      <c r="A877" s="925"/>
      <c r="B877" s="926"/>
      <c r="C877" s="926"/>
      <c r="D877" s="926"/>
      <c r="E877" s="926"/>
    </row>
    <row r="878" spans="1:5" x14ac:dyDescent="0.25">
      <c r="A878" s="925"/>
      <c r="B878" s="926"/>
      <c r="C878" s="926"/>
      <c r="D878" s="926"/>
      <c r="E878" s="926"/>
    </row>
    <row r="879" spans="1:5" x14ac:dyDescent="0.25">
      <c r="A879" s="925"/>
      <c r="B879" s="926"/>
      <c r="C879" s="926"/>
      <c r="D879" s="926"/>
      <c r="E879" s="926"/>
    </row>
    <row r="880" spans="1:5" x14ac:dyDescent="0.25">
      <c r="A880" s="925"/>
      <c r="B880" s="926"/>
      <c r="C880" s="926"/>
      <c r="D880" s="926"/>
      <c r="E880" s="926"/>
    </row>
    <row r="881" spans="1:5" x14ac:dyDescent="0.25">
      <c r="A881" s="925"/>
      <c r="B881" s="926"/>
      <c r="C881" s="926"/>
      <c r="D881" s="926"/>
      <c r="E881" s="926"/>
    </row>
    <row r="882" spans="1:5" x14ac:dyDescent="0.25">
      <c r="A882" s="925"/>
      <c r="B882" s="926"/>
      <c r="C882" s="926"/>
      <c r="D882" s="926"/>
      <c r="E882" s="926"/>
    </row>
    <row r="883" spans="1:5" x14ac:dyDescent="0.25">
      <c r="A883" s="925"/>
      <c r="B883" s="926"/>
      <c r="C883" s="926"/>
      <c r="D883" s="926"/>
      <c r="E883" s="926"/>
    </row>
    <row r="884" spans="1:5" x14ac:dyDescent="0.25">
      <c r="A884" s="925"/>
      <c r="B884" s="926"/>
      <c r="C884" s="926"/>
      <c r="D884" s="926"/>
      <c r="E884" s="926"/>
    </row>
    <row r="885" spans="1:5" x14ac:dyDescent="0.25">
      <c r="A885" s="925"/>
      <c r="B885" s="926"/>
      <c r="C885" s="926"/>
      <c r="D885" s="926"/>
      <c r="E885" s="926"/>
    </row>
    <row r="886" spans="1:5" x14ac:dyDescent="0.25">
      <c r="A886" s="925"/>
      <c r="B886" s="926"/>
      <c r="C886" s="926"/>
      <c r="D886" s="926"/>
      <c r="E886" s="926"/>
    </row>
    <row r="887" spans="1:5" x14ac:dyDescent="0.25">
      <c r="A887" s="925"/>
      <c r="B887" s="926"/>
      <c r="C887" s="926"/>
      <c r="D887" s="926"/>
      <c r="E887" s="926"/>
    </row>
    <row r="888" spans="1:5" x14ac:dyDescent="0.25">
      <c r="A888" s="925"/>
      <c r="B888" s="926"/>
      <c r="C888" s="926"/>
      <c r="D888" s="926"/>
      <c r="E888" s="926"/>
    </row>
    <row r="889" spans="1:5" x14ac:dyDescent="0.25">
      <c r="A889" s="925"/>
      <c r="B889" s="926"/>
      <c r="C889" s="926"/>
      <c r="D889" s="926"/>
      <c r="E889" s="926"/>
    </row>
    <row r="890" spans="1:5" x14ac:dyDescent="0.25">
      <c r="A890" s="925"/>
      <c r="B890" s="926"/>
      <c r="C890" s="926"/>
      <c r="D890" s="926"/>
      <c r="E890" s="926"/>
    </row>
    <row r="891" spans="1:5" x14ac:dyDescent="0.25">
      <c r="A891" s="925"/>
      <c r="B891" s="926"/>
      <c r="C891" s="926"/>
      <c r="D891" s="926"/>
      <c r="E891" s="926"/>
    </row>
    <row r="892" spans="1:5" x14ac:dyDescent="0.25">
      <c r="A892" s="925"/>
      <c r="B892" s="926"/>
      <c r="C892" s="926"/>
      <c r="D892" s="926"/>
      <c r="E892" s="926"/>
    </row>
    <row r="893" spans="1:5" x14ac:dyDescent="0.25">
      <c r="A893" s="925"/>
      <c r="B893" s="926"/>
      <c r="C893" s="926"/>
      <c r="D893" s="926"/>
      <c r="E893" s="926"/>
    </row>
    <row r="894" spans="1:5" x14ac:dyDescent="0.25">
      <c r="A894" s="925"/>
      <c r="B894" s="926"/>
      <c r="C894" s="926"/>
      <c r="D894" s="926"/>
      <c r="E894" s="926"/>
    </row>
    <row r="895" spans="1:5" x14ac:dyDescent="0.25">
      <c r="A895" s="925"/>
      <c r="B895" s="926"/>
      <c r="C895" s="926"/>
      <c r="D895" s="926"/>
      <c r="E895" s="926"/>
    </row>
    <row r="896" spans="1:5" x14ac:dyDescent="0.25">
      <c r="A896" s="925"/>
      <c r="B896" s="926"/>
      <c r="C896" s="926"/>
      <c r="D896" s="926"/>
      <c r="E896" s="926"/>
    </row>
    <row r="897" spans="1:5" x14ac:dyDescent="0.25">
      <c r="A897" s="925"/>
      <c r="B897" s="926"/>
      <c r="C897" s="926"/>
      <c r="D897" s="926"/>
      <c r="E897" s="926"/>
    </row>
    <row r="898" spans="1:5" x14ac:dyDescent="0.25">
      <c r="A898" s="925"/>
      <c r="B898" s="926"/>
      <c r="C898" s="926"/>
      <c r="D898" s="926"/>
      <c r="E898" s="926"/>
    </row>
    <row r="899" spans="1:5" x14ac:dyDescent="0.25">
      <c r="A899" s="925"/>
      <c r="B899" s="926"/>
      <c r="C899" s="926"/>
      <c r="D899" s="926"/>
      <c r="E899" s="926"/>
    </row>
    <row r="900" spans="1:5" x14ac:dyDescent="0.25">
      <c r="A900" s="925"/>
      <c r="B900" s="926"/>
      <c r="C900" s="926"/>
      <c r="D900" s="926"/>
      <c r="E900" s="926"/>
    </row>
    <row r="901" spans="1:5" x14ac:dyDescent="0.25">
      <c r="A901" s="925"/>
      <c r="B901" s="926"/>
      <c r="C901" s="926"/>
      <c r="D901" s="926"/>
      <c r="E901" s="926"/>
    </row>
    <row r="902" spans="1:5" x14ac:dyDescent="0.25">
      <c r="A902" s="925"/>
      <c r="B902" s="926"/>
      <c r="C902" s="926"/>
      <c r="D902" s="926"/>
      <c r="E902" s="926"/>
    </row>
    <row r="903" spans="1:5" x14ac:dyDescent="0.25">
      <c r="A903" s="925"/>
      <c r="B903" s="926"/>
      <c r="C903" s="926"/>
      <c r="D903" s="926"/>
      <c r="E903" s="926"/>
    </row>
    <row r="904" spans="1:5" x14ac:dyDescent="0.25">
      <c r="A904" s="925"/>
      <c r="B904" s="926"/>
      <c r="C904" s="926"/>
      <c r="D904" s="926"/>
      <c r="E904" s="926"/>
    </row>
    <row r="905" spans="1:5" x14ac:dyDescent="0.25">
      <c r="A905" s="925"/>
      <c r="B905" s="926"/>
      <c r="C905" s="926"/>
      <c r="D905" s="926"/>
      <c r="E905" s="926"/>
    </row>
    <row r="906" spans="1:5" x14ac:dyDescent="0.25">
      <c r="A906" s="925"/>
      <c r="B906" s="926"/>
      <c r="C906" s="926"/>
      <c r="D906" s="926"/>
      <c r="E906" s="926"/>
    </row>
    <row r="907" spans="1:5" x14ac:dyDescent="0.25">
      <c r="A907" s="925"/>
      <c r="B907" s="926"/>
      <c r="C907" s="926"/>
      <c r="D907" s="926"/>
      <c r="E907" s="926"/>
    </row>
    <row r="908" spans="1:5" x14ac:dyDescent="0.25">
      <c r="A908" s="925"/>
      <c r="B908" s="926"/>
      <c r="C908" s="926"/>
      <c r="D908" s="926"/>
      <c r="E908" s="926"/>
    </row>
    <row r="909" spans="1:5" x14ac:dyDescent="0.25">
      <c r="A909" s="925"/>
      <c r="B909" s="926"/>
      <c r="C909" s="926"/>
      <c r="D909" s="926"/>
      <c r="E909" s="926"/>
    </row>
    <row r="910" spans="1:5" x14ac:dyDescent="0.25">
      <c r="A910" s="925"/>
      <c r="B910" s="926"/>
      <c r="C910" s="926"/>
      <c r="D910" s="926"/>
      <c r="E910" s="926"/>
    </row>
    <row r="911" spans="1:5" x14ac:dyDescent="0.25">
      <c r="A911" s="925"/>
      <c r="B911" s="926"/>
      <c r="C911" s="926"/>
      <c r="D911" s="926"/>
      <c r="E911" s="926"/>
    </row>
    <row r="912" spans="1:5" x14ac:dyDescent="0.25">
      <c r="A912" s="925"/>
      <c r="B912" s="926"/>
      <c r="C912" s="926"/>
      <c r="D912" s="926"/>
      <c r="E912" s="926"/>
    </row>
    <row r="913" spans="1:5" x14ac:dyDescent="0.25">
      <c r="A913" s="925"/>
      <c r="B913" s="926"/>
      <c r="C913" s="926"/>
      <c r="D913" s="926"/>
      <c r="E913" s="926"/>
    </row>
    <row r="914" spans="1:5" x14ac:dyDescent="0.25">
      <c r="A914" s="925"/>
      <c r="B914" s="926"/>
      <c r="C914" s="926"/>
      <c r="D914" s="926"/>
      <c r="E914" s="926"/>
    </row>
    <row r="915" spans="1:5" x14ac:dyDescent="0.25">
      <c r="A915" s="925"/>
      <c r="B915" s="926"/>
      <c r="C915" s="926"/>
      <c r="D915" s="926"/>
      <c r="E915" s="926"/>
    </row>
    <row r="916" spans="1:5" x14ac:dyDescent="0.25">
      <c r="A916" s="925"/>
      <c r="B916" s="926"/>
      <c r="C916" s="926"/>
      <c r="D916" s="926"/>
      <c r="E916" s="926"/>
    </row>
    <row r="917" spans="1:5" x14ac:dyDescent="0.25">
      <c r="A917" s="925"/>
      <c r="B917" s="926"/>
      <c r="C917" s="926"/>
      <c r="D917" s="926"/>
      <c r="E917" s="926"/>
    </row>
    <row r="918" spans="1:5" x14ac:dyDescent="0.25">
      <c r="A918" s="925"/>
      <c r="B918" s="926"/>
      <c r="C918" s="926"/>
      <c r="D918" s="926"/>
      <c r="E918" s="926"/>
    </row>
    <row r="919" spans="1:5" x14ac:dyDescent="0.25">
      <c r="A919" s="925"/>
      <c r="B919" s="926"/>
      <c r="C919" s="926"/>
      <c r="D919" s="926"/>
      <c r="E919" s="926"/>
    </row>
    <row r="920" spans="1:5" x14ac:dyDescent="0.25">
      <c r="A920" s="925"/>
      <c r="B920" s="926"/>
      <c r="C920" s="926"/>
      <c r="D920" s="926"/>
      <c r="E920" s="926"/>
    </row>
    <row r="921" spans="1:5" x14ac:dyDescent="0.25">
      <c r="A921" s="925"/>
      <c r="B921" s="926"/>
      <c r="C921" s="926"/>
      <c r="D921" s="926"/>
      <c r="E921" s="926"/>
    </row>
    <row r="922" spans="1:5" x14ac:dyDescent="0.25">
      <c r="A922" s="925"/>
      <c r="B922" s="926"/>
      <c r="C922" s="926"/>
      <c r="D922" s="926"/>
      <c r="E922" s="926"/>
    </row>
    <row r="923" spans="1:5" x14ac:dyDescent="0.25">
      <c r="A923" s="925"/>
      <c r="B923" s="926"/>
      <c r="C923" s="926"/>
      <c r="D923" s="926"/>
      <c r="E923" s="926"/>
    </row>
    <row r="924" spans="1:5" x14ac:dyDescent="0.25">
      <c r="A924" s="925"/>
      <c r="B924" s="926"/>
      <c r="C924" s="926"/>
      <c r="D924" s="926"/>
      <c r="E924" s="926"/>
    </row>
    <row r="925" spans="1:5" x14ac:dyDescent="0.25">
      <c r="A925" s="925"/>
      <c r="B925" s="926"/>
      <c r="C925" s="926"/>
      <c r="D925" s="926"/>
      <c r="E925" s="926"/>
    </row>
    <row r="926" spans="1:5" x14ac:dyDescent="0.25">
      <c r="A926" s="925"/>
      <c r="B926" s="926"/>
      <c r="C926" s="926"/>
      <c r="D926" s="926"/>
      <c r="E926" s="926"/>
    </row>
    <row r="927" spans="1:5" x14ac:dyDescent="0.25">
      <c r="A927" s="925"/>
      <c r="B927" s="926"/>
      <c r="C927" s="926"/>
      <c r="D927" s="926"/>
      <c r="E927" s="926"/>
    </row>
    <row r="928" spans="1:5" x14ac:dyDescent="0.25">
      <c r="A928" s="925"/>
      <c r="B928" s="926"/>
      <c r="C928" s="926"/>
      <c r="D928" s="926"/>
      <c r="E928" s="926"/>
    </row>
    <row r="929" spans="1:5" x14ac:dyDescent="0.25">
      <c r="A929" s="925"/>
      <c r="B929" s="926"/>
      <c r="C929" s="926"/>
      <c r="D929" s="926"/>
      <c r="E929" s="926"/>
    </row>
    <row r="930" spans="1:5" x14ac:dyDescent="0.25">
      <c r="A930" s="925"/>
      <c r="B930" s="926"/>
      <c r="C930" s="926"/>
      <c r="D930" s="926"/>
      <c r="E930" s="926"/>
    </row>
    <row r="931" spans="1:5" x14ac:dyDescent="0.25">
      <c r="A931" s="925"/>
      <c r="B931" s="926"/>
      <c r="C931" s="926"/>
      <c r="D931" s="926"/>
      <c r="E931" s="926"/>
    </row>
    <row r="932" spans="1:5" x14ac:dyDescent="0.25">
      <c r="A932" s="925"/>
      <c r="B932" s="926"/>
      <c r="C932" s="926"/>
      <c r="D932" s="926"/>
      <c r="E932" s="926"/>
    </row>
    <row r="933" spans="1:5" x14ac:dyDescent="0.25">
      <c r="A933" s="925"/>
      <c r="B933" s="926"/>
      <c r="C933" s="926"/>
      <c r="D933" s="926"/>
      <c r="E933" s="926"/>
    </row>
    <row r="934" spans="1:5" x14ac:dyDescent="0.25">
      <c r="A934" s="925"/>
      <c r="B934" s="926"/>
      <c r="C934" s="926"/>
      <c r="D934" s="926"/>
      <c r="E934" s="926"/>
    </row>
    <row r="935" spans="1:5" x14ac:dyDescent="0.25">
      <c r="A935" s="925"/>
      <c r="B935" s="926"/>
      <c r="C935" s="926"/>
      <c r="D935" s="926"/>
      <c r="E935" s="926"/>
    </row>
    <row r="936" spans="1:5" x14ac:dyDescent="0.25">
      <c r="A936" s="925"/>
      <c r="B936" s="926"/>
      <c r="C936" s="926"/>
      <c r="D936" s="926"/>
      <c r="E936" s="926"/>
    </row>
    <row r="937" spans="1:5" x14ac:dyDescent="0.25">
      <c r="A937" s="925"/>
      <c r="B937" s="926"/>
      <c r="C937" s="926"/>
      <c r="D937" s="926"/>
      <c r="E937" s="926"/>
    </row>
    <row r="938" spans="1:5" x14ac:dyDescent="0.25">
      <c r="A938" s="925"/>
      <c r="B938" s="926"/>
      <c r="C938" s="926"/>
      <c r="D938" s="926"/>
      <c r="E938" s="926"/>
    </row>
    <row r="939" spans="1:5" x14ac:dyDescent="0.25">
      <c r="A939" s="925"/>
      <c r="B939" s="926"/>
      <c r="C939" s="926"/>
      <c r="D939" s="926"/>
      <c r="E939" s="926"/>
    </row>
    <row r="940" spans="1:5" x14ac:dyDescent="0.25">
      <c r="A940" s="925"/>
      <c r="B940" s="926"/>
      <c r="C940" s="926"/>
      <c r="D940" s="926"/>
      <c r="E940" s="926"/>
    </row>
    <row r="941" spans="1:5" x14ac:dyDescent="0.25">
      <c r="A941" s="925"/>
      <c r="B941" s="926"/>
      <c r="C941" s="926"/>
      <c r="D941" s="926"/>
      <c r="E941" s="926"/>
    </row>
    <row r="942" spans="1:5" x14ac:dyDescent="0.25">
      <c r="A942" s="925"/>
      <c r="B942" s="926"/>
      <c r="C942" s="926"/>
      <c r="D942" s="926"/>
      <c r="E942" s="926"/>
    </row>
    <row r="943" spans="1:5" x14ac:dyDescent="0.25">
      <c r="A943" s="925"/>
      <c r="B943" s="926"/>
      <c r="C943" s="926"/>
      <c r="D943" s="926"/>
      <c r="E943" s="926"/>
    </row>
    <row r="944" spans="1:5" x14ac:dyDescent="0.25">
      <c r="A944" s="925"/>
      <c r="B944" s="926"/>
      <c r="C944" s="926"/>
      <c r="D944" s="926"/>
      <c r="E944" s="926"/>
    </row>
    <row r="945" spans="1:5" x14ac:dyDescent="0.25">
      <c r="A945" s="925"/>
      <c r="B945" s="926"/>
      <c r="C945" s="926"/>
      <c r="D945" s="926"/>
      <c r="E945" s="926"/>
    </row>
    <row r="946" spans="1:5" x14ac:dyDescent="0.25">
      <c r="A946" s="925"/>
      <c r="B946" s="926"/>
      <c r="C946" s="926"/>
      <c r="D946" s="926"/>
      <c r="E946" s="926"/>
    </row>
    <row r="947" spans="1:5" x14ac:dyDescent="0.25">
      <c r="A947" s="925"/>
      <c r="B947" s="926"/>
      <c r="C947" s="926"/>
      <c r="D947" s="926"/>
      <c r="E947" s="926"/>
    </row>
    <row r="948" spans="1:5" x14ac:dyDescent="0.25">
      <c r="A948" s="925"/>
      <c r="B948" s="926"/>
      <c r="C948" s="926"/>
      <c r="D948" s="926"/>
      <c r="E948" s="926"/>
    </row>
    <row r="949" spans="1:5" x14ac:dyDescent="0.25">
      <c r="A949" s="925"/>
      <c r="B949" s="926"/>
      <c r="C949" s="926"/>
      <c r="D949" s="926"/>
      <c r="E949" s="926"/>
    </row>
    <row r="950" spans="1:5" x14ac:dyDescent="0.25">
      <c r="A950" s="925"/>
      <c r="B950" s="926"/>
      <c r="C950" s="926"/>
      <c r="D950" s="926"/>
      <c r="E950" s="926"/>
    </row>
    <row r="951" spans="1:5" x14ac:dyDescent="0.25">
      <c r="A951" s="925"/>
      <c r="B951" s="926"/>
      <c r="C951" s="926"/>
      <c r="D951" s="926"/>
      <c r="E951" s="926"/>
    </row>
    <row r="952" spans="1:5" x14ac:dyDescent="0.25">
      <c r="A952" s="925"/>
      <c r="B952" s="926"/>
      <c r="C952" s="926"/>
      <c r="D952" s="926"/>
      <c r="E952" s="926"/>
    </row>
    <row r="953" spans="1:5" x14ac:dyDescent="0.25">
      <c r="A953" s="925"/>
      <c r="B953" s="926"/>
      <c r="C953" s="926"/>
      <c r="D953" s="926"/>
      <c r="E953" s="926"/>
    </row>
    <row r="954" spans="1:5" x14ac:dyDescent="0.25">
      <c r="A954" s="925"/>
      <c r="B954" s="926"/>
      <c r="C954" s="926"/>
      <c r="D954" s="926"/>
      <c r="E954" s="926"/>
    </row>
    <row r="955" spans="1:5" x14ac:dyDescent="0.25">
      <c r="A955" s="925"/>
      <c r="B955" s="926"/>
      <c r="C955" s="926"/>
      <c r="D955" s="926"/>
      <c r="E955" s="926"/>
    </row>
    <row r="956" spans="1:5" x14ac:dyDescent="0.25">
      <c r="A956" s="925"/>
      <c r="B956" s="926"/>
      <c r="C956" s="926"/>
      <c r="D956" s="926"/>
      <c r="E956" s="926"/>
    </row>
    <row r="957" spans="1:5" x14ac:dyDescent="0.25">
      <c r="A957" s="925"/>
      <c r="B957" s="926"/>
      <c r="C957" s="926"/>
      <c r="D957" s="926"/>
      <c r="E957" s="926"/>
    </row>
    <row r="958" spans="1:5" x14ac:dyDescent="0.25">
      <c r="A958" s="925"/>
      <c r="B958" s="926"/>
      <c r="C958" s="926"/>
      <c r="D958" s="926"/>
      <c r="E958" s="926"/>
    </row>
    <row r="959" spans="1:5" x14ac:dyDescent="0.25">
      <c r="A959" s="925"/>
      <c r="B959" s="926"/>
      <c r="C959" s="926"/>
      <c r="D959" s="926"/>
      <c r="E959" s="926"/>
    </row>
    <row r="960" spans="1:5" x14ac:dyDescent="0.25">
      <c r="A960" s="925"/>
      <c r="B960" s="926"/>
      <c r="C960" s="926"/>
      <c r="D960" s="926"/>
      <c r="E960" s="926"/>
    </row>
    <row r="961" spans="1:5" x14ac:dyDescent="0.25">
      <c r="A961" s="925"/>
      <c r="B961" s="926"/>
      <c r="C961" s="926"/>
      <c r="D961" s="926"/>
      <c r="E961" s="926"/>
    </row>
    <row r="962" spans="1:5" x14ac:dyDescent="0.25">
      <c r="A962" s="925"/>
      <c r="B962" s="926"/>
      <c r="C962" s="926"/>
      <c r="D962" s="926"/>
      <c r="E962" s="926"/>
    </row>
    <row r="963" spans="1:5" x14ac:dyDescent="0.25">
      <c r="A963" s="925"/>
      <c r="B963" s="926"/>
      <c r="C963" s="926"/>
      <c r="D963" s="926"/>
      <c r="E963" s="926"/>
    </row>
    <row r="964" spans="1:5" x14ac:dyDescent="0.25">
      <c r="A964" s="925"/>
      <c r="B964" s="926"/>
      <c r="C964" s="926"/>
      <c r="D964" s="926"/>
      <c r="E964" s="926"/>
    </row>
    <row r="965" spans="1:5" x14ac:dyDescent="0.25">
      <c r="A965" s="925"/>
      <c r="B965" s="926"/>
      <c r="C965" s="926"/>
      <c r="D965" s="926"/>
      <c r="E965" s="926"/>
    </row>
    <row r="966" spans="1:5" x14ac:dyDescent="0.25">
      <c r="A966" s="925"/>
      <c r="B966" s="926"/>
      <c r="C966" s="926"/>
      <c r="D966" s="926"/>
      <c r="E966" s="926"/>
    </row>
    <row r="967" spans="1:5" x14ac:dyDescent="0.25">
      <c r="A967" s="925"/>
      <c r="B967" s="926"/>
      <c r="C967" s="926"/>
      <c r="D967" s="926"/>
      <c r="E967" s="926"/>
    </row>
    <row r="968" spans="1:5" x14ac:dyDescent="0.25">
      <c r="A968" s="925"/>
      <c r="B968" s="926"/>
      <c r="C968" s="926"/>
      <c r="D968" s="926"/>
      <c r="E968" s="926"/>
    </row>
    <row r="969" spans="1:5" x14ac:dyDescent="0.25">
      <c r="A969" s="925"/>
      <c r="B969" s="926"/>
      <c r="C969" s="926"/>
      <c r="D969" s="926"/>
      <c r="E969" s="926"/>
    </row>
    <row r="970" spans="1:5" x14ac:dyDescent="0.25">
      <c r="A970" s="925"/>
      <c r="B970" s="926"/>
      <c r="C970" s="926"/>
      <c r="D970" s="926"/>
      <c r="E970" s="926"/>
    </row>
    <row r="971" spans="1:5" x14ac:dyDescent="0.25">
      <c r="A971" s="925"/>
      <c r="B971" s="926"/>
      <c r="C971" s="926"/>
      <c r="D971" s="926"/>
      <c r="E971" s="926"/>
    </row>
    <row r="972" spans="1:5" x14ac:dyDescent="0.25">
      <c r="A972" s="925"/>
      <c r="B972" s="926"/>
      <c r="C972" s="926"/>
      <c r="D972" s="926"/>
      <c r="E972" s="926"/>
    </row>
    <row r="973" spans="1:5" x14ac:dyDescent="0.25">
      <c r="A973" s="925"/>
      <c r="B973" s="926"/>
      <c r="C973" s="926"/>
      <c r="D973" s="926"/>
      <c r="E973" s="926"/>
    </row>
    <row r="974" spans="1:5" x14ac:dyDescent="0.25">
      <c r="A974" s="925"/>
      <c r="B974" s="926"/>
      <c r="C974" s="926"/>
      <c r="D974" s="926"/>
      <c r="E974" s="926"/>
    </row>
    <row r="975" spans="1:5" x14ac:dyDescent="0.25">
      <c r="A975" s="925"/>
      <c r="B975" s="926"/>
      <c r="C975" s="926"/>
      <c r="D975" s="926"/>
      <c r="E975" s="926"/>
    </row>
    <row r="976" spans="1:5" x14ac:dyDescent="0.25">
      <c r="A976" s="925"/>
      <c r="B976" s="926"/>
      <c r="C976" s="926"/>
      <c r="D976" s="926"/>
      <c r="E976" s="926"/>
    </row>
    <row r="977" spans="1:5" x14ac:dyDescent="0.25">
      <c r="A977" s="925"/>
      <c r="B977" s="926"/>
      <c r="C977" s="926"/>
      <c r="D977" s="926"/>
      <c r="E977" s="926"/>
    </row>
    <row r="978" spans="1:5" x14ac:dyDescent="0.25">
      <c r="A978" s="925"/>
      <c r="B978" s="926"/>
      <c r="C978" s="926"/>
      <c r="D978" s="926"/>
      <c r="E978" s="926"/>
    </row>
    <row r="979" spans="1:5" x14ac:dyDescent="0.25">
      <c r="A979" s="925"/>
      <c r="B979" s="926"/>
      <c r="C979" s="926"/>
      <c r="D979" s="926"/>
      <c r="E979" s="926"/>
    </row>
    <row r="980" spans="1:5" x14ac:dyDescent="0.25">
      <c r="A980" s="925"/>
      <c r="B980" s="926"/>
      <c r="C980" s="926"/>
      <c r="D980" s="926"/>
      <c r="E980" s="926"/>
    </row>
    <row r="981" spans="1:5" x14ac:dyDescent="0.25">
      <c r="A981" s="925"/>
      <c r="B981" s="926"/>
      <c r="C981" s="926"/>
      <c r="D981" s="926"/>
      <c r="E981" s="926"/>
    </row>
    <row r="982" spans="1:5" x14ac:dyDescent="0.25">
      <c r="A982" s="925"/>
      <c r="B982" s="926"/>
      <c r="C982" s="926"/>
      <c r="D982" s="926"/>
      <c r="E982" s="926"/>
    </row>
    <row r="983" spans="1:5" x14ac:dyDescent="0.25">
      <c r="A983" s="925"/>
      <c r="B983" s="926"/>
      <c r="C983" s="926"/>
      <c r="D983" s="926"/>
      <c r="E983" s="926"/>
    </row>
    <row r="984" spans="1:5" x14ac:dyDescent="0.25">
      <c r="A984" s="925"/>
      <c r="B984" s="926"/>
      <c r="C984" s="926"/>
      <c r="D984" s="926"/>
      <c r="E984" s="926"/>
    </row>
    <row r="985" spans="1:5" x14ac:dyDescent="0.25">
      <c r="A985" s="925"/>
      <c r="B985" s="926"/>
      <c r="C985" s="926"/>
      <c r="D985" s="926"/>
      <c r="E985" s="926"/>
    </row>
    <row r="986" spans="1:5" x14ac:dyDescent="0.25">
      <c r="A986" s="925"/>
      <c r="B986" s="926"/>
      <c r="C986" s="926"/>
      <c r="D986" s="926"/>
      <c r="E986" s="926"/>
    </row>
    <row r="987" spans="1:5" x14ac:dyDescent="0.25">
      <c r="A987" s="925"/>
      <c r="B987" s="926"/>
      <c r="C987" s="926"/>
      <c r="D987" s="926"/>
      <c r="E987" s="926"/>
    </row>
    <row r="988" spans="1:5" x14ac:dyDescent="0.25">
      <c r="A988" s="925"/>
      <c r="B988" s="926"/>
      <c r="C988" s="926"/>
      <c r="D988" s="926"/>
      <c r="E988" s="926"/>
    </row>
    <row r="989" spans="1:5" x14ac:dyDescent="0.25">
      <c r="A989" s="925"/>
      <c r="B989" s="926"/>
      <c r="C989" s="926"/>
      <c r="D989" s="926"/>
      <c r="E989" s="926"/>
    </row>
    <row r="990" spans="1:5" x14ac:dyDescent="0.25">
      <c r="A990" s="925"/>
      <c r="B990" s="926"/>
      <c r="C990" s="926"/>
      <c r="D990" s="926"/>
      <c r="E990" s="926"/>
    </row>
    <row r="991" spans="1:5" x14ac:dyDescent="0.25">
      <c r="A991" s="925"/>
      <c r="B991" s="926"/>
      <c r="C991" s="926"/>
      <c r="D991" s="926"/>
      <c r="E991" s="926"/>
    </row>
    <row r="992" spans="1:5" x14ac:dyDescent="0.25">
      <c r="A992" s="925"/>
      <c r="B992" s="926"/>
      <c r="C992" s="926"/>
      <c r="D992" s="926"/>
      <c r="E992" s="926"/>
    </row>
    <row r="993" spans="1:5" x14ac:dyDescent="0.25">
      <c r="A993" s="925"/>
      <c r="B993" s="926"/>
      <c r="C993" s="926"/>
      <c r="D993" s="926"/>
      <c r="E993" s="926"/>
    </row>
    <row r="994" spans="1:5" x14ac:dyDescent="0.25">
      <c r="A994" s="925"/>
      <c r="B994" s="926"/>
      <c r="C994" s="926"/>
      <c r="D994" s="926"/>
      <c r="E994" s="926"/>
    </row>
    <row r="995" spans="1:5" x14ac:dyDescent="0.25">
      <c r="A995" s="925"/>
      <c r="B995" s="926"/>
      <c r="C995" s="926"/>
      <c r="D995" s="926"/>
      <c r="E995" s="926"/>
    </row>
    <row r="996" spans="1:5" x14ac:dyDescent="0.25">
      <c r="A996" s="925"/>
      <c r="B996" s="926"/>
      <c r="C996" s="926"/>
      <c r="D996" s="926"/>
      <c r="E996" s="926"/>
    </row>
    <row r="997" spans="1:5" x14ac:dyDescent="0.25">
      <c r="A997" s="925"/>
      <c r="B997" s="926"/>
      <c r="C997" s="926"/>
      <c r="D997" s="926"/>
      <c r="E997" s="926"/>
    </row>
    <row r="998" spans="1:5" x14ac:dyDescent="0.25">
      <c r="A998" s="925"/>
      <c r="B998" s="926"/>
      <c r="C998" s="926"/>
      <c r="D998" s="926"/>
      <c r="E998" s="926"/>
    </row>
    <row r="999" spans="1:5" x14ac:dyDescent="0.25">
      <c r="A999" s="925"/>
      <c r="B999" s="926"/>
      <c r="C999" s="926"/>
      <c r="D999" s="926"/>
      <c r="E999" s="926"/>
    </row>
    <row r="1000" spans="1:5" x14ac:dyDescent="0.25">
      <c r="A1000" s="925"/>
      <c r="B1000" s="926"/>
      <c r="C1000" s="926"/>
      <c r="D1000" s="926"/>
      <c r="E1000" s="926"/>
    </row>
    <row r="1001" spans="1:5" x14ac:dyDescent="0.25">
      <c r="A1001" s="925"/>
      <c r="B1001" s="926"/>
      <c r="C1001" s="926"/>
      <c r="D1001" s="926"/>
      <c r="E1001" s="926"/>
    </row>
    <row r="1002" spans="1:5" x14ac:dyDescent="0.25">
      <c r="A1002" s="925"/>
      <c r="B1002" s="926"/>
      <c r="C1002" s="926"/>
      <c r="D1002" s="926"/>
      <c r="E1002" s="926"/>
    </row>
    <row r="1003" spans="1:5" x14ac:dyDescent="0.25">
      <c r="A1003" s="925"/>
      <c r="B1003" s="926"/>
      <c r="C1003" s="926"/>
      <c r="D1003" s="926"/>
      <c r="E1003" s="926"/>
    </row>
    <row r="1004" spans="1:5" x14ac:dyDescent="0.25">
      <c r="A1004" s="925"/>
      <c r="B1004" s="926"/>
      <c r="C1004" s="926"/>
      <c r="D1004" s="926"/>
      <c r="E1004" s="926"/>
    </row>
    <row r="1005" spans="1:5" x14ac:dyDescent="0.25">
      <c r="A1005" s="925"/>
      <c r="B1005" s="926"/>
      <c r="C1005" s="926"/>
      <c r="D1005" s="926"/>
      <c r="E1005" s="926"/>
    </row>
    <row r="1006" spans="1:5" x14ac:dyDescent="0.25">
      <c r="A1006" s="925"/>
      <c r="B1006" s="926"/>
      <c r="C1006" s="926"/>
      <c r="D1006" s="926"/>
      <c r="E1006" s="926"/>
    </row>
    <row r="1007" spans="1:5" x14ac:dyDescent="0.25">
      <c r="A1007" s="925"/>
      <c r="B1007" s="926"/>
      <c r="C1007" s="926"/>
      <c r="D1007" s="926"/>
      <c r="E1007" s="926"/>
    </row>
    <row r="1008" spans="1:5" x14ac:dyDescent="0.25">
      <c r="A1008" s="925"/>
      <c r="B1008" s="926"/>
      <c r="C1008" s="926"/>
      <c r="D1008" s="926"/>
      <c r="E1008" s="926"/>
    </row>
    <row r="1009" spans="1:5" x14ac:dyDescent="0.25">
      <c r="A1009" s="925"/>
      <c r="B1009" s="926"/>
      <c r="C1009" s="926"/>
      <c r="D1009" s="926"/>
      <c r="E1009" s="926"/>
    </row>
    <row r="1010" spans="1:5" x14ac:dyDescent="0.25">
      <c r="A1010" s="925"/>
      <c r="B1010" s="926"/>
      <c r="C1010" s="926"/>
      <c r="D1010" s="926"/>
      <c r="E1010" s="926"/>
    </row>
    <row r="1011" spans="1:5" x14ac:dyDescent="0.25">
      <c r="A1011" s="925"/>
      <c r="B1011" s="926"/>
      <c r="C1011" s="926"/>
      <c r="D1011" s="926"/>
      <c r="E1011" s="926"/>
    </row>
    <row r="1012" spans="1:5" x14ac:dyDescent="0.25">
      <c r="A1012" s="925"/>
      <c r="B1012" s="926"/>
      <c r="C1012" s="926"/>
      <c r="D1012" s="926"/>
      <c r="E1012" s="926"/>
    </row>
    <row r="1013" spans="1:5" x14ac:dyDescent="0.25">
      <c r="A1013" s="925"/>
      <c r="B1013" s="926"/>
      <c r="C1013" s="926"/>
      <c r="D1013" s="926"/>
      <c r="E1013" s="926"/>
    </row>
    <row r="1014" spans="1:5" x14ac:dyDescent="0.25">
      <c r="A1014" s="925"/>
      <c r="B1014" s="926"/>
      <c r="C1014" s="926"/>
      <c r="D1014" s="926"/>
      <c r="E1014" s="926"/>
    </row>
    <row r="1015" spans="1:5" x14ac:dyDescent="0.25">
      <c r="A1015" s="925"/>
      <c r="B1015" s="926"/>
      <c r="C1015" s="926"/>
      <c r="D1015" s="926"/>
      <c r="E1015" s="926"/>
    </row>
    <row r="1016" spans="1:5" x14ac:dyDescent="0.25">
      <c r="A1016" s="925"/>
      <c r="B1016" s="926"/>
      <c r="C1016" s="926"/>
      <c r="D1016" s="926"/>
      <c r="E1016" s="926"/>
    </row>
    <row r="1017" spans="1:5" x14ac:dyDescent="0.25">
      <c r="A1017" s="925"/>
      <c r="B1017" s="926"/>
      <c r="C1017" s="926"/>
      <c r="D1017" s="926"/>
      <c r="E1017" s="926"/>
    </row>
    <row r="1018" spans="1:5" x14ac:dyDescent="0.25">
      <c r="A1018" s="925"/>
      <c r="B1018" s="926"/>
      <c r="C1018" s="926"/>
      <c r="D1018" s="926"/>
      <c r="E1018" s="926"/>
    </row>
    <row r="1019" spans="1:5" x14ac:dyDescent="0.25">
      <c r="A1019" s="925"/>
      <c r="B1019" s="926"/>
      <c r="C1019" s="926"/>
      <c r="D1019" s="926"/>
      <c r="E1019" s="926"/>
    </row>
    <row r="1020" spans="1:5" x14ac:dyDescent="0.25">
      <c r="A1020" s="925"/>
      <c r="B1020" s="926"/>
      <c r="C1020" s="926"/>
      <c r="D1020" s="926"/>
      <c r="E1020" s="926"/>
    </row>
    <row r="1021" spans="1:5" x14ac:dyDescent="0.25">
      <c r="A1021" s="925"/>
      <c r="B1021" s="926"/>
      <c r="C1021" s="926"/>
      <c r="D1021" s="926"/>
      <c r="E1021" s="926"/>
    </row>
    <row r="1022" spans="1:5" x14ac:dyDescent="0.25">
      <c r="A1022" s="925"/>
      <c r="B1022" s="926"/>
      <c r="C1022" s="926"/>
      <c r="D1022" s="926"/>
      <c r="E1022" s="926"/>
    </row>
    <row r="1023" spans="1:5" x14ac:dyDescent="0.25">
      <c r="A1023" s="925"/>
      <c r="B1023" s="926"/>
      <c r="C1023" s="926"/>
      <c r="D1023" s="926"/>
      <c r="E1023" s="926"/>
    </row>
    <row r="1024" spans="1:5" x14ac:dyDescent="0.25">
      <c r="A1024" s="925"/>
      <c r="B1024" s="926"/>
      <c r="C1024" s="926"/>
      <c r="D1024" s="926"/>
      <c r="E1024" s="926"/>
    </row>
    <row r="1025" spans="1:5" x14ac:dyDescent="0.25">
      <c r="A1025" s="925"/>
      <c r="B1025" s="926"/>
      <c r="C1025" s="926"/>
      <c r="D1025" s="926"/>
      <c r="E1025" s="926"/>
    </row>
    <row r="1026" spans="1:5" x14ac:dyDescent="0.25">
      <c r="A1026" s="925"/>
      <c r="B1026" s="926"/>
      <c r="C1026" s="926"/>
      <c r="D1026" s="926"/>
      <c r="E1026" s="926"/>
    </row>
    <row r="1027" spans="1:5" x14ac:dyDescent="0.25">
      <c r="A1027" s="925"/>
      <c r="B1027" s="926"/>
      <c r="C1027" s="926"/>
      <c r="D1027" s="926"/>
      <c r="E1027" s="926"/>
    </row>
    <row r="1028" spans="1:5" x14ac:dyDescent="0.25">
      <c r="A1028" s="925"/>
      <c r="B1028" s="926"/>
      <c r="C1028" s="926"/>
      <c r="D1028" s="926"/>
      <c r="E1028" s="926"/>
    </row>
    <row r="1029" spans="1:5" x14ac:dyDescent="0.25">
      <c r="A1029" s="925"/>
      <c r="B1029" s="926"/>
      <c r="C1029" s="926"/>
      <c r="D1029" s="926"/>
      <c r="E1029" s="926"/>
    </row>
    <row r="1030" spans="1:5" x14ac:dyDescent="0.25">
      <c r="A1030" s="925"/>
      <c r="B1030" s="926"/>
      <c r="C1030" s="926"/>
      <c r="D1030" s="926"/>
      <c r="E1030" s="926"/>
    </row>
    <row r="1031" spans="1:5" x14ac:dyDescent="0.25">
      <c r="A1031" s="925"/>
      <c r="B1031" s="926"/>
      <c r="C1031" s="926"/>
      <c r="D1031" s="926"/>
      <c r="E1031" s="926"/>
    </row>
    <row r="1032" spans="1:5" x14ac:dyDescent="0.25">
      <c r="A1032" s="925"/>
      <c r="B1032" s="926"/>
      <c r="C1032" s="926"/>
      <c r="D1032" s="926"/>
      <c r="E1032" s="926"/>
    </row>
    <row r="1033" spans="1:5" x14ac:dyDescent="0.25">
      <c r="A1033" s="925"/>
      <c r="B1033" s="926"/>
      <c r="C1033" s="926"/>
      <c r="D1033" s="926"/>
      <c r="E1033" s="926"/>
    </row>
    <row r="1034" spans="1:5" x14ac:dyDescent="0.25">
      <c r="A1034" s="925"/>
      <c r="B1034" s="926"/>
      <c r="C1034" s="926"/>
      <c r="D1034" s="926"/>
      <c r="E1034" s="926"/>
    </row>
    <row r="1035" spans="1:5" x14ac:dyDescent="0.25">
      <c r="A1035" s="925"/>
      <c r="B1035" s="926"/>
      <c r="C1035" s="926"/>
      <c r="D1035" s="926"/>
      <c r="E1035" s="926"/>
    </row>
    <row r="1036" spans="1:5" x14ac:dyDescent="0.25">
      <c r="A1036" s="925"/>
      <c r="B1036" s="926"/>
      <c r="C1036" s="926"/>
      <c r="D1036" s="926"/>
      <c r="E1036" s="926"/>
    </row>
    <row r="1037" spans="1:5" x14ac:dyDescent="0.25">
      <c r="A1037" s="925"/>
      <c r="B1037" s="926"/>
      <c r="C1037" s="926"/>
      <c r="D1037" s="926"/>
      <c r="E1037" s="926"/>
    </row>
    <row r="1038" spans="1:5" x14ac:dyDescent="0.25">
      <c r="A1038" s="925"/>
      <c r="B1038" s="926"/>
      <c r="C1038" s="926"/>
      <c r="D1038" s="926"/>
      <c r="E1038" s="926"/>
    </row>
    <row r="1039" spans="1:5" x14ac:dyDescent="0.25">
      <c r="A1039" s="925"/>
      <c r="B1039" s="926"/>
      <c r="C1039" s="926"/>
      <c r="D1039" s="926"/>
      <c r="E1039" s="926"/>
    </row>
    <row r="1040" spans="1:5" x14ac:dyDescent="0.25">
      <c r="A1040" s="925"/>
      <c r="B1040" s="926"/>
      <c r="C1040" s="926"/>
      <c r="D1040" s="926"/>
      <c r="E1040" s="926"/>
    </row>
    <row r="1041" spans="1:5" x14ac:dyDescent="0.25">
      <c r="A1041" s="925"/>
      <c r="B1041" s="926"/>
      <c r="C1041" s="926"/>
      <c r="D1041" s="926"/>
      <c r="E1041" s="926"/>
    </row>
    <row r="1042" spans="1:5" x14ac:dyDescent="0.25">
      <c r="A1042" s="925"/>
      <c r="B1042" s="926"/>
      <c r="C1042" s="926"/>
      <c r="D1042" s="926"/>
      <c r="E1042" s="926"/>
    </row>
    <row r="1043" spans="1:5" x14ac:dyDescent="0.25">
      <c r="A1043" s="925"/>
      <c r="B1043" s="926"/>
      <c r="C1043" s="926"/>
      <c r="D1043" s="926"/>
      <c r="E1043" s="926"/>
    </row>
    <row r="1044" spans="1:5" x14ac:dyDescent="0.25">
      <c r="A1044" s="925"/>
      <c r="B1044" s="926"/>
      <c r="C1044" s="926"/>
      <c r="D1044" s="926"/>
      <c r="E1044" s="926"/>
    </row>
    <row r="1045" spans="1:5" x14ac:dyDescent="0.25">
      <c r="A1045" s="925"/>
      <c r="B1045" s="926"/>
      <c r="C1045" s="926"/>
      <c r="D1045" s="926"/>
      <c r="E1045" s="926"/>
    </row>
    <row r="1046" spans="1:5" x14ac:dyDescent="0.25">
      <c r="A1046" s="925"/>
      <c r="B1046" s="926"/>
      <c r="C1046" s="926"/>
      <c r="D1046" s="926"/>
      <c r="E1046" s="926"/>
    </row>
    <row r="1047" spans="1:5" x14ac:dyDescent="0.25">
      <c r="A1047" s="925"/>
      <c r="B1047" s="926"/>
      <c r="C1047" s="926"/>
      <c r="D1047" s="926"/>
      <c r="E1047" s="926"/>
    </row>
    <row r="1048" spans="1:5" x14ac:dyDescent="0.25">
      <c r="A1048" s="925"/>
      <c r="B1048" s="926"/>
      <c r="C1048" s="926"/>
      <c r="D1048" s="926"/>
      <c r="E1048" s="926"/>
    </row>
    <row r="1049" spans="1:5" x14ac:dyDescent="0.25">
      <c r="A1049" s="925"/>
      <c r="B1049" s="926"/>
      <c r="C1049" s="926"/>
      <c r="D1049" s="926"/>
      <c r="E1049" s="926"/>
    </row>
    <row r="1050" spans="1:5" x14ac:dyDescent="0.25">
      <c r="A1050" s="925"/>
      <c r="B1050" s="926"/>
      <c r="C1050" s="926"/>
      <c r="D1050" s="926"/>
      <c r="E1050" s="926"/>
    </row>
    <row r="1051" spans="1:5" x14ac:dyDescent="0.25">
      <c r="A1051" s="925"/>
      <c r="B1051" s="926"/>
      <c r="C1051" s="926"/>
      <c r="D1051" s="926"/>
      <c r="E1051" s="926"/>
    </row>
    <row r="1052" spans="1:5" x14ac:dyDescent="0.25">
      <c r="A1052" s="925"/>
      <c r="B1052" s="926"/>
      <c r="C1052" s="926"/>
      <c r="D1052" s="926"/>
      <c r="E1052" s="926"/>
    </row>
    <row r="1053" spans="1:5" x14ac:dyDescent="0.25">
      <c r="A1053" s="925"/>
      <c r="B1053" s="926"/>
      <c r="C1053" s="926"/>
      <c r="D1053" s="926"/>
      <c r="E1053" s="926"/>
    </row>
    <row r="1054" spans="1:5" x14ac:dyDescent="0.25">
      <c r="A1054" s="925"/>
      <c r="B1054" s="926"/>
      <c r="C1054" s="926"/>
      <c r="D1054" s="926"/>
      <c r="E1054" s="926"/>
    </row>
    <row r="1055" spans="1:5" x14ac:dyDescent="0.25">
      <c r="A1055" s="925"/>
      <c r="B1055" s="926"/>
      <c r="C1055" s="926"/>
      <c r="D1055" s="926"/>
      <c r="E1055" s="926"/>
    </row>
    <row r="1056" spans="1:5" x14ac:dyDescent="0.25">
      <c r="A1056" s="925"/>
      <c r="B1056" s="926"/>
      <c r="C1056" s="926"/>
      <c r="D1056" s="926"/>
      <c r="E1056" s="926"/>
    </row>
    <row r="1057" spans="1:5" x14ac:dyDescent="0.25">
      <c r="A1057" s="925"/>
      <c r="B1057" s="926"/>
      <c r="C1057" s="926"/>
      <c r="D1057" s="926"/>
      <c r="E1057" s="926"/>
    </row>
    <row r="1058" spans="1:5" x14ac:dyDescent="0.25">
      <c r="A1058" s="925"/>
      <c r="B1058" s="926"/>
      <c r="C1058" s="926"/>
      <c r="D1058" s="926"/>
      <c r="E1058" s="926"/>
    </row>
    <row r="1059" spans="1:5" x14ac:dyDescent="0.25">
      <c r="A1059" s="925"/>
      <c r="B1059" s="926"/>
      <c r="C1059" s="926"/>
      <c r="D1059" s="926"/>
      <c r="E1059" s="926"/>
    </row>
    <row r="1060" spans="1:5" x14ac:dyDescent="0.25">
      <c r="A1060" s="925"/>
      <c r="B1060" s="926"/>
      <c r="C1060" s="926"/>
      <c r="D1060" s="926"/>
      <c r="E1060" s="926"/>
    </row>
    <row r="1061" spans="1:5" x14ac:dyDescent="0.25">
      <c r="A1061" s="925"/>
      <c r="B1061" s="926"/>
      <c r="C1061" s="926"/>
      <c r="D1061" s="926"/>
      <c r="E1061" s="926"/>
    </row>
    <row r="1062" spans="1:5" x14ac:dyDescent="0.25">
      <c r="A1062" s="925"/>
      <c r="B1062" s="926"/>
      <c r="C1062" s="926"/>
      <c r="D1062" s="926"/>
      <c r="E1062" s="926"/>
    </row>
    <row r="1063" spans="1:5" x14ac:dyDescent="0.25">
      <c r="A1063" s="925"/>
      <c r="B1063" s="926"/>
      <c r="C1063" s="926"/>
      <c r="D1063" s="926"/>
      <c r="E1063" s="926"/>
    </row>
    <row r="1064" spans="1:5" x14ac:dyDescent="0.25">
      <c r="A1064" s="925"/>
      <c r="B1064" s="926"/>
      <c r="C1064" s="926"/>
      <c r="D1064" s="926"/>
      <c r="E1064" s="926"/>
    </row>
    <row r="1065" spans="1:5" x14ac:dyDescent="0.25">
      <c r="A1065" s="925"/>
      <c r="B1065" s="926"/>
      <c r="C1065" s="926"/>
      <c r="D1065" s="926"/>
      <c r="E1065" s="926"/>
    </row>
    <row r="1066" spans="1:5" x14ac:dyDescent="0.25">
      <c r="A1066" s="925"/>
      <c r="B1066" s="926"/>
      <c r="C1066" s="926"/>
      <c r="D1066" s="926"/>
      <c r="E1066" s="926"/>
    </row>
    <row r="1067" spans="1:5" x14ac:dyDescent="0.25">
      <c r="A1067" s="925"/>
      <c r="B1067" s="926"/>
      <c r="C1067" s="926"/>
      <c r="D1067" s="926"/>
      <c r="E1067" s="926"/>
    </row>
    <row r="1068" spans="1:5" x14ac:dyDescent="0.25">
      <c r="A1068" s="925"/>
      <c r="B1068" s="926"/>
      <c r="C1068" s="926"/>
      <c r="D1068" s="926"/>
      <c r="E1068" s="926"/>
    </row>
    <row r="1069" spans="1:5" x14ac:dyDescent="0.25">
      <c r="A1069" s="925"/>
      <c r="B1069" s="926"/>
      <c r="C1069" s="926"/>
      <c r="D1069" s="926"/>
      <c r="E1069" s="926"/>
    </row>
    <row r="1070" spans="1:5" x14ac:dyDescent="0.25">
      <c r="A1070" s="925"/>
      <c r="B1070" s="926"/>
      <c r="C1070" s="926"/>
      <c r="D1070" s="926"/>
      <c r="E1070" s="926"/>
    </row>
    <row r="1071" spans="1:5" x14ac:dyDescent="0.25">
      <c r="A1071" s="925"/>
      <c r="B1071" s="926"/>
      <c r="C1071" s="926"/>
      <c r="D1071" s="926"/>
      <c r="E1071" s="926"/>
    </row>
    <row r="1072" spans="1:5" x14ac:dyDescent="0.25">
      <c r="A1072" s="925"/>
      <c r="B1072" s="926"/>
      <c r="C1072" s="926"/>
      <c r="D1072" s="926"/>
      <c r="E1072" s="926"/>
    </row>
    <row r="1073" spans="1:5" x14ac:dyDescent="0.25">
      <c r="A1073" s="925"/>
      <c r="B1073" s="926"/>
      <c r="C1073" s="926"/>
      <c r="D1073" s="926"/>
      <c r="E1073" s="926"/>
    </row>
    <row r="1074" spans="1:5" x14ac:dyDescent="0.25">
      <c r="A1074" s="925"/>
      <c r="B1074" s="926"/>
      <c r="C1074" s="926"/>
      <c r="D1074" s="926"/>
      <c r="E1074" s="926"/>
    </row>
    <row r="1075" spans="1:5" x14ac:dyDescent="0.25">
      <c r="A1075" s="925"/>
      <c r="B1075" s="926"/>
      <c r="C1075" s="926"/>
      <c r="D1075" s="926"/>
      <c r="E1075" s="926"/>
    </row>
    <row r="1076" spans="1:5" x14ac:dyDescent="0.25">
      <c r="A1076" s="925"/>
      <c r="B1076" s="926"/>
      <c r="C1076" s="926"/>
      <c r="D1076" s="926"/>
      <c r="E1076" s="926"/>
    </row>
    <row r="1077" spans="1:5" x14ac:dyDescent="0.25">
      <c r="A1077" s="925"/>
      <c r="B1077" s="926"/>
      <c r="C1077" s="926"/>
      <c r="D1077" s="926"/>
      <c r="E1077" s="926"/>
    </row>
    <row r="1078" spans="1:5" x14ac:dyDescent="0.25">
      <c r="A1078" s="925"/>
      <c r="B1078" s="926"/>
      <c r="C1078" s="926"/>
      <c r="D1078" s="926"/>
      <c r="E1078" s="926"/>
    </row>
    <row r="1079" spans="1:5" x14ac:dyDescent="0.25">
      <c r="A1079" s="925"/>
      <c r="B1079" s="926"/>
      <c r="C1079" s="926"/>
      <c r="D1079" s="926"/>
      <c r="E1079" s="926"/>
    </row>
    <row r="1080" spans="1:5" x14ac:dyDescent="0.25">
      <c r="A1080" s="925"/>
      <c r="B1080" s="926"/>
      <c r="C1080" s="926"/>
      <c r="D1080" s="926"/>
      <c r="E1080" s="926"/>
    </row>
    <row r="1081" spans="1:5" x14ac:dyDescent="0.25">
      <c r="A1081" s="925"/>
      <c r="B1081" s="926"/>
      <c r="C1081" s="926"/>
      <c r="D1081" s="926"/>
      <c r="E1081" s="926"/>
    </row>
    <row r="1082" spans="1:5" x14ac:dyDescent="0.25">
      <c r="A1082" s="925"/>
      <c r="B1082" s="926"/>
      <c r="C1082" s="926"/>
      <c r="D1082" s="926"/>
      <c r="E1082" s="926"/>
    </row>
    <row r="1083" spans="1:5" x14ac:dyDescent="0.25">
      <c r="A1083" s="925"/>
      <c r="B1083" s="926"/>
      <c r="C1083" s="926"/>
      <c r="D1083" s="926"/>
      <c r="E1083" s="926"/>
    </row>
    <row r="1084" spans="1:5" x14ac:dyDescent="0.25">
      <c r="A1084" s="925"/>
      <c r="B1084" s="926"/>
      <c r="C1084" s="926"/>
      <c r="D1084" s="926"/>
      <c r="E1084" s="926"/>
    </row>
    <row r="1085" spans="1:5" x14ac:dyDescent="0.25">
      <c r="A1085" s="925"/>
      <c r="B1085" s="926"/>
      <c r="C1085" s="926"/>
      <c r="D1085" s="926"/>
      <c r="E1085" s="926"/>
    </row>
    <row r="1086" spans="1:5" x14ac:dyDescent="0.25">
      <c r="A1086" s="925"/>
      <c r="B1086" s="926"/>
      <c r="C1086" s="926"/>
      <c r="D1086" s="926"/>
      <c r="E1086" s="926"/>
    </row>
    <row r="1087" spans="1:5" x14ac:dyDescent="0.25">
      <c r="A1087" s="925"/>
      <c r="B1087" s="926"/>
      <c r="C1087" s="926"/>
      <c r="D1087" s="926"/>
      <c r="E1087" s="926"/>
    </row>
    <row r="1088" spans="1:5" x14ac:dyDescent="0.25">
      <c r="A1088" s="925"/>
      <c r="B1088" s="926"/>
      <c r="C1088" s="926"/>
      <c r="D1088" s="926"/>
      <c r="E1088" s="926"/>
    </row>
    <row r="1089" spans="1:5" x14ac:dyDescent="0.25">
      <c r="A1089" s="925"/>
      <c r="B1089" s="926"/>
      <c r="C1089" s="926"/>
      <c r="D1089" s="926"/>
      <c r="E1089" s="926"/>
    </row>
    <row r="1090" spans="1:5" x14ac:dyDescent="0.25">
      <c r="A1090" s="925"/>
      <c r="B1090" s="926"/>
      <c r="C1090" s="926"/>
      <c r="D1090" s="926"/>
      <c r="E1090" s="926"/>
    </row>
    <row r="1091" spans="1:5" x14ac:dyDescent="0.25">
      <c r="A1091" s="925"/>
      <c r="B1091" s="926"/>
      <c r="C1091" s="926"/>
      <c r="D1091" s="926"/>
      <c r="E1091" s="926"/>
    </row>
    <row r="1092" spans="1:5" x14ac:dyDescent="0.25">
      <c r="A1092" s="925"/>
      <c r="B1092" s="926"/>
      <c r="C1092" s="926"/>
      <c r="D1092" s="926"/>
      <c r="E1092" s="926"/>
    </row>
    <row r="1093" spans="1:5" x14ac:dyDescent="0.25">
      <c r="A1093" s="925"/>
      <c r="B1093" s="926"/>
      <c r="C1093" s="926"/>
      <c r="D1093" s="926"/>
      <c r="E1093" s="926"/>
    </row>
    <row r="1094" spans="1:5" x14ac:dyDescent="0.25">
      <c r="A1094" s="925"/>
      <c r="B1094" s="926"/>
      <c r="C1094" s="926"/>
      <c r="D1094" s="926"/>
      <c r="E1094" s="926"/>
    </row>
    <row r="1095" spans="1:5" x14ac:dyDescent="0.25">
      <c r="A1095" s="925"/>
      <c r="B1095" s="926"/>
      <c r="C1095" s="926"/>
      <c r="D1095" s="926"/>
      <c r="E1095" s="926"/>
    </row>
    <row r="1096" spans="1:5" x14ac:dyDescent="0.25">
      <c r="A1096" s="925"/>
      <c r="B1096" s="926"/>
      <c r="C1096" s="926"/>
      <c r="D1096" s="926"/>
      <c r="E1096" s="926"/>
    </row>
    <row r="1097" spans="1:5" x14ac:dyDescent="0.25">
      <c r="A1097" s="925"/>
      <c r="B1097" s="926"/>
      <c r="C1097" s="926"/>
      <c r="D1097" s="926"/>
      <c r="E1097" s="926"/>
    </row>
    <row r="1098" spans="1:5" x14ac:dyDescent="0.25">
      <c r="A1098" s="925"/>
      <c r="B1098" s="926"/>
      <c r="C1098" s="926"/>
      <c r="D1098" s="926"/>
      <c r="E1098" s="926"/>
    </row>
    <row r="1099" spans="1:5" x14ac:dyDescent="0.25">
      <c r="A1099" s="925"/>
      <c r="B1099" s="926"/>
      <c r="C1099" s="926"/>
      <c r="D1099" s="926"/>
      <c r="E1099" s="926"/>
    </row>
    <row r="1100" spans="1:5" x14ac:dyDescent="0.25">
      <c r="A1100" s="925"/>
      <c r="B1100" s="926"/>
      <c r="C1100" s="926"/>
      <c r="D1100" s="926"/>
      <c r="E1100" s="926"/>
    </row>
    <row r="1101" spans="1:5" x14ac:dyDescent="0.25">
      <c r="A1101" s="925"/>
      <c r="B1101" s="926"/>
      <c r="C1101" s="926"/>
      <c r="D1101" s="926"/>
      <c r="E1101" s="926"/>
    </row>
    <row r="1102" spans="1:5" x14ac:dyDescent="0.25">
      <c r="A1102" s="925"/>
      <c r="B1102" s="926"/>
      <c r="C1102" s="926"/>
      <c r="D1102" s="926"/>
      <c r="E1102" s="926"/>
    </row>
    <row r="1103" spans="1:5" x14ac:dyDescent="0.25">
      <c r="A1103" s="925"/>
      <c r="B1103" s="926"/>
      <c r="C1103" s="926"/>
      <c r="D1103" s="926"/>
      <c r="E1103" s="926"/>
    </row>
    <row r="1104" spans="1:5" x14ac:dyDescent="0.25">
      <c r="A1104" s="925"/>
      <c r="B1104" s="926"/>
      <c r="C1104" s="926"/>
      <c r="D1104" s="926"/>
      <c r="E1104" s="926"/>
    </row>
    <row r="1105" spans="1:5" x14ac:dyDescent="0.25">
      <c r="A1105" s="925"/>
      <c r="B1105" s="926"/>
      <c r="C1105" s="926"/>
      <c r="D1105" s="926"/>
      <c r="E1105" s="926"/>
    </row>
    <row r="1106" spans="1:5" x14ac:dyDescent="0.25">
      <c r="A1106" s="925"/>
      <c r="B1106" s="926"/>
      <c r="C1106" s="926"/>
      <c r="D1106" s="926"/>
      <c r="E1106" s="926"/>
    </row>
    <row r="1107" spans="1:5" x14ac:dyDescent="0.25">
      <c r="A1107" s="925"/>
      <c r="B1107" s="926"/>
      <c r="C1107" s="926"/>
      <c r="D1107" s="926"/>
      <c r="E1107" s="926"/>
    </row>
    <row r="1108" spans="1:5" x14ac:dyDescent="0.25">
      <c r="A1108" s="925"/>
      <c r="B1108" s="926"/>
      <c r="C1108" s="926"/>
      <c r="D1108" s="926"/>
      <c r="E1108" s="926"/>
    </row>
    <row r="1109" spans="1:5" x14ac:dyDescent="0.25">
      <c r="A1109" s="925"/>
      <c r="B1109" s="926"/>
      <c r="C1109" s="926"/>
      <c r="D1109" s="926"/>
      <c r="E1109" s="926"/>
    </row>
    <row r="1110" spans="1:5" x14ac:dyDescent="0.25">
      <c r="A1110" s="925"/>
      <c r="B1110" s="926"/>
      <c r="C1110" s="926"/>
      <c r="D1110" s="926"/>
      <c r="E1110" s="926"/>
    </row>
    <row r="1111" spans="1:5" x14ac:dyDescent="0.25">
      <c r="A1111" s="925"/>
      <c r="B1111" s="926"/>
      <c r="C1111" s="926"/>
      <c r="D1111" s="926"/>
      <c r="E1111" s="926"/>
    </row>
    <row r="1112" spans="1:5" x14ac:dyDescent="0.25">
      <c r="A1112" s="925"/>
      <c r="B1112" s="926"/>
      <c r="C1112" s="926"/>
      <c r="D1112" s="926"/>
      <c r="E1112" s="926"/>
    </row>
    <row r="1113" spans="1:5" x14ac:dyDescent="0.25">
      <c r="A1113" s="925"/>
      <c r="B1113" s="926"/>
      <c r="C1113" s="926"/>
      <c r="D1113" s="926"/>
      <c r="E1113" s="926"/>
    </row>
    <row r="1114" spans="1:5" x14ac:dyDescent="0.25">
      <c r="A1114" s="925"/>
      <c r="B1114" s="926"/>
      <c r="C1114" s="926"/>
      <c r="D1114" s="926"/>
      <c r="E1114" s="926"/>
    </row>
    <row r="1115" spans="1:5" x14ac:dyDescent="0.25">
      <c r="A1115" s="925"/>
      <c r="B1115" s="926"/>
      <c r="C1115" s="926"/>
      <c r="D1115" s="926"/>
      <c r="E1115" s="926"/>
    </row>
    <row r="1116" spans="1:5" x14ac:dyDescent="0.25">
      <c r="A1116" s="925"/>
      <c r="B1116" s="926"/>
      <c r="C1116" s="926"/>
      <c r="D1116" s="926"/>
      <c r="E1116" s="926"/>
    </row>
    <row r="1117" spans="1:5" x14ac:dyDescent="0.25">
      <c r="A1117" s="925"/>
      <c r="B1117" s="926"/>
      <c r="C1117" s="926"/>
      <c r="D1117" s="926"/>
      <c r="E1117" s="926"/>
    </row>
    <row r="1118" spans="1:5" x14ac:dyDescent="0.25">
      <c r="A1118" s="925"/>
      <c r="B1118" s="926"/>
      <c r="C1118" s="926"/>
      <c r="D1118" s="926"/>
      <c r="E1118" s="926"/>
    </row>
    <row r="1119" spans="1:5" x14ac:dyDescent="0.25">
      <c r="A1119" s="925"/>
      <c r="B1119" s="926"/>
      <c r="C1119" s="926"/>
      <c r="D1119" s="926"/>
      <c r="E1119" s="926"/>
    </row>
    <row r="1120" spans="1:5" x14ac:dyDescent="0.25">
      <c r="A1120" s="925"/>
      <c r="B1120" s="926"/>
      <c r="C1120" s="926"/>
      <c r="D1120" s="926"/>
      <c r="E1120" s="926"/>
    </row>
    <row r="1121" spans="1:5" x14ac:dyDescent="0.25">
      <c r="A1121" s="925"/>
      <c r="B1121" s="926"/>
      <c r="C1121" s="926"/>
      <c r="D1121" s="926"/>
      <c r="E1121" s="926"/>
    </row>
    <row r="1122" spans="1:5" x14ac:dyDescent="0.25">
      <c r="A1122" s="925"/>
      <c r="B1122" s="926"/>
      <c r="C1122" s="926"/>
      <c r="D1122" s="926"/>
      <c r="E1122" s="926"/>
    </row>
    <row r="1123" spans="1:5" x14ac:dyDescent="0.25">
      <c r="A1123" s="925"/>
      <c r="B1123" s="926"/>
      <c r="C1123" s="926"/>
      <c r="D1123" s="926"/>
      <c r="E1123" s="926"/>
    </row>
    <row r="1124" spans="1:5" x14ac:dyDescent="0.25">
      <c r="A1124" s="925"/>
      <c r="B1124" s="926"/>
      <c r="C1124" s="926"/>
      <c r="D1124" s="926"/>
      <c r="E1124" s="926"/>
    </row>
    <row r="1125" spans="1:5" x14ac:dyDescent="0.25">
      <c r="A1125" s="925"/>
      <c r="B1125" s="926"/>
      <c r="C1125" s="926"/>
      <c r="D1125" s="926"/>
      <c r="E1125" s="926"/>
    </row>
    <row r="1126" spans="1:5" x14ac:dyDescent="0.25">
      <c r="A1126" s="925"/>
      <c r="B1126" s="926"/>
      <c r="C1126" s="926"/>
      <c r="D1126" s="926"/>
      <c r="E1126" s="926"/>
    </row>
    <row r="1127" spans="1:5" x14ac:dyDescent="0.25">
      <c r="A1127" s="925"/>
      <c r="B1127" s="926"/>
      <c r="C1127" s="926"/>
      <c r="D1127" s="926"/>
      <c r="E1127" s="926"/>
    </row>
    <row r="1128" spans="1:5" x14ac:dyDescent="0.25">
      <c r="A1128" s="925"/>
      <c r="B1128" s="926"/>
      <c r="C1128" s="926"/>
      <c r="D1128" s="926"/>
      <c r="E1128" s="926"/>
    </row>
    <row r="1129" spans="1:5" x14ac:dyDescent="0.25">
      <c r="A1129" s="925"/>
      <c r="B1129" s="926"/>
      <c r="C1129" s="926"/>
      <c r="D1129" s="926"/>
      <c r="E1129" s="926"/>
    </row>
    <row r="1130" spans="1:5" x14ac:dyDescent="0.25">
      <c r="A1130" s="925"/>
      <c r="B1130" s="926"/>
      <c r="C1130" s="926"/>
      <c r="D1130" s="926"/>
      <c r="E1130" s="926"/>
    </row>
    <row r="1131" spans="1:5" x14ac:dyDescent="0.25">
      <c r="A1131" s="925"/>
      <c r="B1131" s="926"/>
      <c r="C1131" s="926"/>
      <c r="D1131" s="926"/>
      <c r="E1131" s="926"/>
    </row>
    <row r="1132" spans="1:5" x14ac:dyDescent="0.25">
      <c r="A1132" s="925"/>
      <c r="B1132" s="926"/>
      <c r="C1132" s="926"/>
      <c r="D1132" s="926"/>
      <c r="E1132" s="926"/>
    </row>
    <row r="1133" spans="1:5" x14ac:dyDescent="0.25">
      <c r="A1133" s="925"/>
      <c r="B1133" s="926"/>
      <c r="C1133" s="926"/>
      <c r="D1133" s="926"/>
      <c r="E1133" s="926"/>
    </row>
    <row r="1134" spans="1:5" x14ac:dyDescent="0.25">
      <c r="A1134" s="925"/>
      <c r="B1134" s="926"/>
      <c r="C1134" s="926"/>
      <c r="D1134" s="926"/>
      <c r="E1134" s="926"/>
    </row>
    <row r="1135" spans="1:5" x14ac:dyDescent="0.25">
      <c r="A1135" s="925"/>
      <c r="B1135" s="926"/>
      <c r="C1135" s="926"/>
      <c r="D1135" s="926"/>
      <c r="E1135" s="926"/>
    </row>
    <row r="1136" spans="1:5" x14ac:dyDescent="0.25">
      <c r="A1136" s="925"/>
      <c r="B1136" s="926"/>
      <c r="C1136" s="926"/>
      <c r="D1136" s="926"/>
      <c r="E1136" s="926"/>
    </row>
    <row r="1137" spans="1:5" x14ac:dyDescent="0.25">
      <c r="A1137" s="925"/>
      <c r="B1137" s="926"/>
      <c r="C1137" s="926"/>
      <c r="D1137" s="926"/>
      <c r="E1137" s="926"/>
    </row>
    <row r="1138" spans="1:5" x14ac:dyDescent="0.25">
      <c r="A1138" s="925"/>
      <c r="B1138" s="926"/>
      <c r="C1138" s="926"/>
      <c r="D1138" s="926"/>
      <c r="E1138" s="926"/>
    </row>
    <row r="1139" spans="1:5" x14ac:dyDescent="0.25">
      <c r="A1139" s="925"/>
      <c r="B1139" s="926"/>
      <c r="C1139" s="926"/>
      <c r="D1139" s="926"/>
      <c r="E1139" s="926"/>
    </row>
    <row r="1140" spans="1:5" x14ac:dyDescent="0.25">
      <c r="A1140" s="925"/>
      <c r="B1140" s="926"/>
      <c r="C1140" s="926"/>
      <c r="D1140" s="926"/>
      <c r="E1140" s="926"/>
    </row>
    <row r="1141" spans="1:5" x14ac:dyDescent="0.25">
      <c r="A1141" s="925"/>
      <c r="B1141" s="926"/>
      <c r="C1141" s="926"/>
      <c r="D1141" s="926"/>
      <c r="E1141" s="926"/>
    </row>
    <row r="1142" spans="1:5" x14ac:dyDescent="0.25">
      <c r="A1142" s="925"/>
      <c r="B1142" s="926"/>
      <c r="C1142" s="926"/>
      <c r="D1142" s="926"/>
      <c r="E1142" s="926"/>
    </row>
    <row r="1143" spans="1:5" x14ac:dyDescent="0.25">
      <c r="A1143" s="925"/>
      <c r="B1143" s="926"/>
      <c r="C1143" s="926"/>
      <c r="D1143" s="926"/>
      <c r="E1143" s="926"/>
    </row>
    <row r="1144" spans="1:5" x14ac:dyDescent="0.25">
      <c r="A1144" s="925"/>
      <c r="B1144" s="926"/>
      <c r="C1144" s="926"/>
      <c r="D1144" s="926"/>
      <c r="E1144" s="926"/>
    </row>
    <row r="1145" spans="1:5" x14ac:dyDescent="0.25">
      <c r="A1145" s="925"/>
      <c r="B1145" s="926"/>
      <c r="C1145" s="926"/>
      <c r="D1145" s="926"/>
      <c r="E1145" s="926"/>
    </row>
    <row r="1146" spans="1:5" x14ac:dyDescent="0.25">
      <c r="A1146" s="925"/>
      <c r="B1146" s="926"/>
      <c r="C1146" s="926"/>
      <c r="D1146" s="926"/>
      <c r="E1146" s="926"/>
    </row>
    <row r="1147" spans="1:5" x14ac:dyDescent="0.25">
      <c r="A1147" s="925"/>
      <c r="B1147" s="926"/>
      <c r="C1147" s="926"/>
      <c r="D1147" s="926"/>
      <c r="E1147" s="926"/>
    </row>
    <row r="1148" spans="1:5" x14ac:dyDescent="0.25">
      <c r="A1148" s="925"/>
      <c r="B1148" s="926"/>
      <c r="C1148" s="926"/>
      <c r="D1148" s="926"/>
      <c r="E1148" s="926"/>
    </row>
    <row r="1149" spans="1:5" x14ac:dyDescent="0.25">
      <c r="A1149" s="925"/>
      <c r="B1149" s="926"/>
      <c r="C1149" s="926"/>
      <c r="D1149" s="926"/>
      <c r="E1149" s="926"/>
    </row>
    <row r="1150" spans="1:5" x14ac:dyDescent="0.25">
      <c r="A1150" s="925"/>
      <c r="B1150" s="926"/>
      <c r="C1150" s="926"/>
      <c r="D1150" s="926"/>
      <c r="E1150" s="926"/>
    </row>
    <row r="1151" spans="1:5" x14ac:dyDescent="0.25">
      <c r="A1151" s="925"/>
      <c r="B1151" s="926"/>
      <c r="C1151" s="926"/>
      <c r="D1151" s="926"/>
      <c r="E1151" s="926"/>
    </row>
    <row r="1152" spans="1:5" x14ac:dyDescent="0.25">
      <c r="A1152" s="925"/>
      <c r="B1152" s="926"/>
      <c r="C1152" s="926"/>
      <c r="D1152" s="926"/>
      <c r="E1152" s="926"/>
    </row>
    <row r="1153" spans="1:5" x14ac:dyDescent="0.25">
      <c r="A1153" s="925"/>
      <c r="B1153" s="926"/>
      <c r="C1153" s="926"/>
      <c r="D1153" s="926"/>
      <c r="E1153" s="926"/>
    </row>
    <row r="1154" spans="1:5" x14ac:dyDescent="0.25">
      <c r="A1154" s="925"/>
      <c r="B1154" s="926"/>
      <c r="C1154" s="926"/>
      <c r="D1154" s="926"/>
      <c r="E1154" s="926"/>
    </row>
    <row r="1155" spans="1:5" x14ac:dyDescent="0.25">
      <c r="A1155" s="925"/>
      <c r="B1155" s="926"/>
      <c r="C1155" s="926"/>
      <c r="D1155" s="926"/>
      <c r="E1155" s="926"/>
    </row>
    <row r="1156" spans="1:5" x14ac:dyDescent="0.25">
      <c r="A1156" s="925"/>
      <c r="B1156" s="926"/>
      <c r="C1156" s="926"/>
      <c r="D1156" s="926"/>
      <c r="E1156" s="926"/>
    </row>
    <row r="1157" spans="1:5" x14ac:dyDescent="0.25">
      <c r="A1157" s="925"/>
      <c r="B1157" s="926"/>
      <c r="C1157" s="926"/>
      <c r="D1157" s="926"/>
      <c r="E1157" s="926"/>
    </row>
    <row r="1158" spans="1:5" x14ac:dyDescent="0.25">
      <c r="A1158" s="925"/>
      <c r="B1158" s="926"/>
      <c r="C1158" s="926"/>
      <c r="D1158" s="926"/>
      <c r="E1158" s="926"/>
    </row>
    <row r="1159" spans="1:5" x14ac:dyDescent="0.25">
      <c r="A1159" s="925"/>
      <c r="B1159" s="926"/>
      <c r="C1159" s="926"/>
      <c r="D1159" s="926"/>
      <c r="E1159" s="926"/>
    </row>
    <row r="1160" spans="1:5" x14ac:dyDescent="0.25">
      <c r="A1160" s="925"/>
      <c r="B1160" s="926"/>
      <c r="C1160" s="926"/>
      <c r="D1160" s="926"/>
      <c r="E1160" s="926"/>
    </row>
    <row r="1161" spans="1:5" x14ac:dyDescent="0.25">
      <c r="A1161" s="925"/>
      <c r="B1161" s="926"/>
      <c r="C1161" s="926"/>
      <c r="D1161" s="926"/>
      <c r="E1161" s="926"/>
    </row>
    <row r="1162" spans="1:5" x14ac:dyDescent="0.25">
      <c r="A1162" s="925"/>
      <c r="B1162" s="926"/>
      <c r="C1162" s="926"/>
      <c r="D1162" s="926"/>
      <c r="E1162" s="926"/>
    </row>
    <row r="1163" spans="1:5" x14ac:dyDescent="0.25">
      <c r="A1163" s="925"/>
      <c r="B1163" s="926"/>
      <c r="C1163" s="926"/>
      <c r="D1163" s="926"/>
      <c r="E1163" s="926"/>
    </row>
    <row r="1164" spans="1:5" x14ac:dyDescent="0.25">
      <c r="A1164" s="925"/>
      <c r="B1164" s="926"/>
      <c r="C1164" s="926"/>
      <c r="D1164" s="926"/>
      <c r="E1164" s="926"/>
    </row>
    <row r="1165" spans="1:5" x14ac:dyDescent="0.25">
      <c r="A1165" s="925"/>
      <c r="B1165" s="926"/>
      <c r="C1165" s="926"/>
      <c r="D1165" s="926"/>
      <c r="E1165" s="926"/>
    </row>
    <row r="1166" spans="1:5" x14ac:dyDescent="0.25">
      <c r="A1166" s="925"/>
      <c r="B1166" s="926"/>
      <c r="C1166" s="926"/>
      <c r="D1166" s="926"/>
      <c r="E1166" s="926"/>
    </row>
    <row r="1167" spans="1:5" x14ac:dyDescent="0.25">
      <c r="A1167" s="925"/>
      <c r="B1167" s="926"/>
      <c r="C1167" s="926"/>
      <c r="D1167" s="926"/>
      <c r="E1167" s="926"/>
    </row>
    <row r="1168" spans="1:5" x14ac:dyDescent="0.25">
      <c r="A1168" s="925"/>
      <c r="B1168" s="926"/>
      <c r="C1168" s="926"/>
      <c r="D1168" s="926"/>
      <c r="E1168" s="926"/>
    </row>
    <row r="1169" spans="1:5" x14ac:dyDescent="0.25">
      <c r="A1169" s="925"/>
      <c r="B1169" s="926"/>
      <c r="C1169" s="926"/>
      <c r="D1169" s="926"/>
      <c r="E1169" s="926"/>
    </row>
    <row r="1170" spans="1:5" x14ac:dyDescent="0.25">
      <c r="A1170" s="925"/>
      <c r="B1170" s="926"/>
      <c r="C1170" s="926"/>
      <c r="D1170" s="926"/>
      <c r="E1170" s="926"/>
    </row>
    <row r="1171" spans="1:5" x14ac:dyDescent="0.25">
      <c r="A1171" s="925"/>
      <c r="B1171" s="926"/>
      <c r="C1171" s="926"/>
      <c r="D1171" s="926"/>
      <c r="E1171" s="926"/>
    </row>
    <row r="1172" spans="1:5" x14ac:dyDescent="0.25">
      <c r="A1172" s="925"/>
      <c r="B1172" s="926"/>
      <c r="C1172" s="926"/>
      <c r="D1172" s="926"/>
      <c r="E1172" s="926"/>
    </row>
    <row r="1173" spans="1:5" x14ac:dyDescent="0.25">
      <c r="A1173" s="925"/>
      <c r="B1173" s="926"/>
      <c r="C1173" s="926"/>
      <c r="D1173" s="926"/>
      <c r="E1173" s="926"/>
    </row>
    <row r="1174" spans="1:5" x14ac:dyDescent="0.25">
      <c r="A1174" s="925"/>
      <c r="B1174" s="926"/>
      <c r="C1174" s="926"/>
      <c r="D1174" s="926"/>
      <c r="E1174" s="926"/>
    </row>
    <row r="1175" spans="1:5" x14ac:dyDescent="0.25">
      <c r="A1175" s="925"/>
      <c r="B1175" s="926"/>
      <c r="C1175" s="926"/>
      <c r="D1175" s="926"/>
      <c r="E1175" s="926"/>
    </row>
    <row r="1176" spans="1:5" x14ac:dyDescent="0.25">
      <c r="A1176" s="925"/>
      <c r="B1176" s="926"/>
      <c r="C1176" s="926"/>
      <c r="D1176" s="926"/>
      <c r="E1176" s="926"/>
    </row>
    <row r="1177" spans="1:5" x14ac:dyDescent="0.25">
      <c r="A1177" s="925"/>
      <c r="B1177" s="926"/>
      <c r="C1177" s="926"/>
      <c r="D1177" s="926"/>
      <c r="E1177" s="926"/>
    </row>
    <row r="1178" spans="1:5" x14ac:dyDescent="0.25">
      <c r="A1178" s="925"/>
      <c r="B1178" s="926"/>
      <c r="C1178" s="926"/>
      <c r="D1178" s="926"/>
      <c r="E1178" s="926"/>
    </row>
    <row r="1179" spans="1:5" x14ac:dyDescent="0.25">
      <c r="A1179" s="925"/>
      <c r="B1179" s="926"/>
      <c r="C1179" s="926"/>
      <c r="D1179" s="926"/>
      <c r="E1179" s="926"/>
    </row>
    <row r="1180" spans="1:5" x14ac:dyDescent="0.25">
      <c r="A1180" s="925"/>
      <c r="B1180" s="926"/>
      <c r="C1180" s="926"/>
      <c r="D1180" s="926"/>
      <c r="E1180" s="926"/>
    </row>
    <row r="1181" spans="1:5" x14ac:dyDescent="0.25">
      <c r="A1181" s="925"/>
      <c r="B1181" s="926"/>
      <c r="C1181" s="926"/>
      <c r="D1181" s="926"/>
      <c r="E1181" s="926"/>
    </row>
    <row r="1182" spans="1:5" x14ac:dyDescent="0.25">
      <c r="A1182" s="925"/>
      <c r="B1182" s="926"/>
      <c r="C1182" s="926"/>
      <c r="D1182" s="926"/>
      <c r="E1182" s="926"/>
    </row>
    <row r="1183" spans="1:5" x14ac:dyDescent="0.25">
      <c r="A1183" s="925"/>
      <c r="B1183" s="926"/>
      <c r="C1183" s="926"/>
      <c r="D1183" s="926"/>
      <c r="E1183" s="926"/>
    </row>
    <row r="1184" spans="1:5" x14ac:dyDescent="0.25">
      <c r="A1184" s="925"/>
      <c r="B1184" s="926"/>
      <c r="C1184" s="926"/>
      <c r="D1184" s="926"/>
      <c r="E1184" s="926"/>
    </row>
    <row r="1185" spans="1:5" x14ac:dyDescent="0.25">
      <c r="A1185" s="925"/>
      <c r="B1185" s="926"/>
      <c r="C1185" s="926"/>
      <c r="D1185" s="926"/>
      <c r="E1185" s="926"/>
    </row>
    <row r="1186" spans="1:5" x14ac:dyDescent="0.25">
      <c r="A1186" s="925"/>
      <c r="B1186" s="926"/>
      <c r="C1186" s="926"/>
      <c r="D1186" s="926"/>
      <c r="E1186" s="926"/>
    </row>
    <row r="1187" spans="1:5" x14ac:dyDescent="0.25">
      <c r="A1187" s="925"/>
      <c r="B1187" s="926"/>
      <c r="C1187" s="926"/>
      <c r="D1187" s="926"/>
      <c r="E1187" s="926"/>
    </row>
    <row r="1188" spans="1:5" x14ac:dyDescent="0.25">
      <c r="A1188" s="925"/>
      <c r="B1188" s="926"/>
      <c r="C1188" s="926"/>
      <c r="D1188" s="926"/>
      <c r="E1188" s="926"/>
    </row>
    <row r="1189" spans="1:5" x14ac:dyDescent="0.25">
      <c r="A1189" s="925"/>
      <c r="B1189" s="926"/>
      <c r="C1189" s="926"/>
      <c r="D1189" s="926"/>
      <c r="E1189" s="926"/>
    </row>
    <row r="1190" spans="1:5" x14ac:dyDescent="0.25">
      <c r="A1190" s="925"/>
      <c r="B1190" s="926"/>
      <c r="C1190" s="926"/>
      <c r="D1190" s="926"/>
      <c r="E1190" s="926"/>
    </row>
    <row r="1191" spans="1:5" x14ac:dyDescent="0.25">
      <c r="A1191" s="925"/>
      <c r="B1191" s="926"/>
      <c r="C1191" s="926"/>
      <c r="D1191" s="926"/>
      <c r="E1191" s="926"/>
    </row>
    <row r="1192" spans="1:5" x14ac:dyDescent="0.25">
      <c r="A1192" s="925"/>
      <c r="B1192" s="926"/>
      <c r="C1192" s="926"/>
      <c r="D1192" s="926"/>
      <c r="E1192" s="926"/>
    </row>
    <row r="1193" spans="1:5" x14ac:dyDescent="0.25">
      <c r="A1193" s="925"/>
      <c r="B1193" s="926"/>
      <c r="C1193" s="926"/>
      <c r="D1193" s="926"/>
      <c r="E1193" s="926"/>
    </row>
    <row r="1194" spans="1:5" x14ac:dyDescent="0.25">
      <c r="A1194" s="925"/>
      <c r="B1194" s="926"/>
      <c r="C1194" s="926"/>
      <c r="D1194" s="926"/>
      <c r="E1194" s="926"/>
    </row>
    <row r="1195" spans="1:5" x14ac:dyDescent="0.25">
      <c r="A1195" s="925"/>
      <c r="B1195" s="926"/>
      <c r="C1195" s="926"/>
      <c r="D1195" s="926"/>
      <c r="E1195" s="926"/>
    </row>
    <row r="1196" spans="1:5" x14ac:dyDescent="0.25">
      <c r="A1196" s="925"/>
      <c r="B1196" s="926"/>
      <c r="C1196" s="926"/>
      <c r="D1196" s="926"/>
      <c r="E1196" s="926"/>
    </row>
    <row r="1197" spans="1:5" x14ac:dyDescent="0.25">
      <c r="A1197" s="925"/>
      <c r="B1197" s="926"/>
      <c r="C1197" s="926"/>
      <c r="D1197" s="926"/>
      <c r="E1197" s="926"/>
    </row>
    <row r="1198" spans="1:5" x14ac:dyDescent="0.25">
      <c r="A1198" s="925"/>
      <c r="B1198" s="926"/>
      <c r="C1198" s="926"/>
      <c r="D1198" s="926"/>
      <c r="E1198" s="926"/>
    </row>
    <row r="1199" spans="1:5" x14ac:dyDescent="0.25">
      <c r="A1199" s="925"/>
      <c r="B1199" s="926"/>
      <c r="C1199" s="926"/>
      <c r="D1199" s="926"/>
      <c r="E1199" s="926"/>
    </row>
    <row r="1200" spans="1:5" x14ac:dyDescent="0.25">
      <c r="A1200" s="925"/>
      <c r="B1200" s="926"/>
      <c r="C1200" s="926"/>
      <c r="D1200" s="926"/>
      <c r="E1200" s="926"/>
    </row>
    <row r="1201" spans="1:5" x14ac:dyDescent="0.25">
      <c r="A1201" s="925"/>
      <c r="B1201" s="926"/>
      <c r="C1201" s="926"/>
      <c r="D1201" s="926"/>
      <c r="E1201" s="926"/>
    </row>
    <row r="1202" spans="1:5" x14ac:dyDescent="0.25">
      <c r="A1202" s="925"/>
      <c r="B1202" s="926"/>
      <c r="C1202" s="926"/>
      <c r="D1202" s="926"/>
      <c r="E1202" s="926"/>
    </row>
    <row r="1203" spans="1:5" x14ac:dyDescent="0.25">
      <c r="A1203" s="925"/>
      <c r="B1203" s="926"/>
      <c r="C1203" s="926"/>
      <c r="D1203" s="926"/>
      <c r="E1203" s="926"/>
    </row>
    <row r="1204" spans="1:5" x14ac:dyDescent="0.25">
      <c r="A1204" s="925"/>
      <c r="B1204" s="926"/>
      <c r="C1204" s="926"/>
      <c r="D1204" s="926"/>
      <c r="E1204" s="926"/>
    </row>
    <row r="1205" spans="1:5" x14ac:dyDescent="0.25">
      <c r="A1205" s="925"/>
      <c r="B1205" s="926"/>
      <c r="C1205" s="926"/>
      <c r="D1205" s="926"/>
      <c r="E1205" s="926"/>
    </row>
    <row r="1206" spans="1:5" x14ac:dyDescent="0.25">
      <c r="A1206" s="925"/>
      <c r="B1206" s="926"/>
      <c r="C1206" s="926"/>
      <c r="D1206" s="926"/>
      <c r="E1206" s="926"/>
    </row>
    <row r="1207" spans="1:5" x14ac:dyDescent="0.25">
      <c r="A1207" s="925"/>
      <c r="B1207" s="926"/>
      <c r="C1207" s="926"/>
      <c r="D1207" s="926"/>
      <c r="E1207" s="926"/>
    </row>
    <row r="1208" spans="1:5" x14ac:dyDescent="0.25">
      <c r="A1208" s="925"/>
      <c r="B1208" s="926"/>
      <c r="C1208" s="926"/>
      <c r="D1208" s="926"/>
      <c r="E1208" s="926"/>
    </row>
    <row r="1209" spans="1:5" x14ac:dyDescent="0.25">
      <c r="A1209" s="925"/>
      <c r="B1209" s="926"/>
      <c r="C1209" s="926"/>
      <c r="D1209" s="926"/>
      <c r="E1209" s="926"/>
    </row>
    <row r="1210" spans="1:5" x14ac:dyDescent="0.25">
      <c r="A1210" s="925"/>
      <c r="B1210" s="926"/>
      <c r="C1210" s="926"/>
      <c r="D1210" s="926"/>
      <c r="E1210" s="926"/>
    </row>
    <row r="1211" spans="1:5" x14ac:dyDescent="0.25">
      <c r="A1211" s="925"/>
      <c r="B1211" s="926"/>
      <c r="C1211" s="926"/>
      <c r="D1211" s="926"/>
      <c r="E1211" s="926"/>
    </row>
    <row r="1212" spans="1:5" x14ac:dyDescent="0.25">
      <c r="A1212" s="925"/>
      <c r="B1212" s="926"/>
      <c r="C1212" s="926"/>
      <c r="D1212" s="926"/>
      <c r="E1212" s="926"/>
    </row>
    <row r="1213" spans="1:5" x14ac:dyDescent="0.25">
      <c r="A1213" s="925"/>
      <c r="B1213" s="926"/>
      <c r="C1213" s="926"/>
      <c r="D1213" s="926"/>
      <c r="E1213" s="926"/>
    </row>
    <row r="1214" spans="1:5" x14ac:dyDescent="0.25">
      <c r="A1214" s="925"/>
      <c r="B1214" s="926"/>
      <c r="C1214" s="926"/>
      <c r="D1214" s="926"/>
      <c r="E1214" s="926"/>
    </row>
    <row r="1215" spans="1:5" x14ac:dyDescent="0.25">
      <c r="A1215" s="925"/>
      <c r="B1215" s="926"/>
      <c r="C1215" s="926"/>
      <c r="D1215" s="926"/>
      <c r="E1215" s="926"/>
    </row>
    <row r="1216" spans="1:5" x14ac:dyDescent="0.25">
      <c r="A1216" s="925"/>
      <c r="B1216" s="926"/>
      <c r="C1216" s="926"/>
      <c r="D1216" s="926"/>
      <c r="E1216" s="926"/>
    </row>
    <row r="1217" spans="1:5" x14ac:dyDescent="0.25">
      <c r="A1217" s="925"/>
      <c r="B1217" s="926"/>
      <c r="C1217" s="926"/>
      <c r="D1217" s="926"/>
      <c r="E1217" s="926"/>
    </row>
    <row r="1218" spans="1:5" x14ac:dyDescent="0.25">
      <c r="A1218" s="925"/>
      <c r="B1218" s="926"/>
      <c r="C1218" s="926"/>
      <c r="D1218" s="926"/>
      <c r="E1218" s="926"/>
    </row>
    <row r="1219" spans="1:5" x14ac:dyDescent="0.25">
      <c r="A1219" s="925"/>
      <c r="B1219" s="926"/>
      <c r="C1219" s="926"/>
      <c r="D1219" s="926"/>
      <c r="E1219" s="926"/>
    </row>
    <row r="1220" spans="1:5" x14ac:dyDescent="0.25">
      <c r="A1220" s="925"/>
      <c r="B1220" s="926"/>
      <c r="C1220" s="926"/>
      <c r="D1220" s="926"/>
      <c r="E1220" s="926"/>
    </row>
    <row r="1221" spans="1:5" x14ac:dyDescent="0.25">
      <c r="A1221" s="925"/>
      <c r="B1221" s="926"/>
      <c r="C1221" s="926"/>
      <c r="D1221" s="926"/>
      <c r="E1221" s="926"/>
    </row>
    <row r="1222" spans="1:5" x14ac:dyDescent="0.25">
      <c r="A1222" s="925"/>
      <c r="B1222" s="926"/>
      <c r="C1222" s="926"/>
      <c r="D1222" s="926"/>
      <c r="E1222" s="926"/>
    </row>
    <row r="1223" spans="1:5" x14ac:dyDescent="0.25">
      <c r="A1223" s="925"/>
      <c r="B1223" s="926"/>
      <c r="C1223" s="926"/>
      <c r="D1223" s="926"/>
      <c r="E1223" s="926"/>
    </row>
    <row r="1224" spans="1:5" x14ac:dyDescent="0.25">
      <c r="A1224" s="925"/>
      <c r="B1224" s="926"/>
      <c r="C1224" s="926"/>
      <c r="D1224" s="926"/>
      <c r="E1224" s="926"/>
    </row>
    <row r="1225" spans="1:5" x14ac:dyDescent="0.25">
      <c r="A1225" s="925"/>
      <c r="B1225" s="926"/>
      <c r="C1225" s="926"/>
      <c r="D1225" s="926"/>
      <c r="E1225" s="926"/>
    </row>
    <row r="1226" spans="1:5" x14ac:dyDescent="0.25">
      <c r="A1226" s="925"/>
      <c r="B1226" s="926"/>
      <c r="C1226" s="926"/>
      <c r="D1226" s="926"/>
      <c r="E1226" s="926"/>
    </row>
    <row r="1227" spans="1:5" x14ac:dyDescent="0.25">
      <c r="A1227" s="925"/>
      <c r="B1227" s="926"/>
      <c r="C1227" s="926"/>
      <c r="D1227" s="926"/>
      <c r="E1227" s="926"/>
    </row>
    <row r="1228" spans="1:5" x14ac:dyDescent="0.25">
      <c r="A1228" s="925"/>
      <c r="B1228" s="926"/>
      <c r="C1228" s="926"/>
      <c r="D1228" s="926"/>
      <c r="E1228" s="926"/>
    </row>
    <row r="1229" spans="1:5" x14ac:dyDescent="0.25">
      <c r="A1229" s="925"/>
      <c r="B1229" s="926"/>
      <c r="C1229" s="926"/>
      <c r="D1229" s="926"/>
      <c r="E1229" s="926"/>
    </row>
    <row r="1230" spans="1:5" x14ac:dyDescent="0.25">
      <c r="A1230" s="925"/>
      <c r="B1230" s="926"/>
      <c r="C1230" s="926"/>
      <c r="D1230" s="926"/>
      <c r="E1230" s="926"/>
    </row>
    <row r="1231" spans="1:5" x14ac:dyDescent="0.25">
      <c r="A1231" s="925"/>
      <c r="B1231" s="926"/>
      <c r="C1231" s="926"/>
      <c r="D1231" s="926"/>
      <c r="E1231" s="926"/>
    </row>
    <row r="1232" spans="1:5" x14ac:dyDescent="0.25">
      <c r="A1232" s="925"/>
      <c r="B1232" s="926"/>
      <c r="C1232" s="926"/>
      <c r="D1232" s="926"/>
      <c r="E1232" s="926"/>
    </row>
    <row r="1233" spans="1:5" x14ac:dyDescent="0.25">
      <c r="A1233" s="925"/>
      <c r="B1233" s="926"/>
      <c r="C1233" s="926"/>
      <c r="D1233" s="926"/>
      <c r="E1233" s="926"/>
    </row>
    <row r="1234" spans="1:5" x14ac:dyDescent="0.25">
      <c r="A1234" s="925"/>
      <c r="B1234" s="926"/>
      <c r="C1234" s="926"/>
      <c r="D1234" s="926"/>
      <c r="E1234" s="926"/>
    </row>
    <row r="1235" spans="1:5" x14ac:dyDescent="0.25">
      <c r="A1235" s="925"/>
      <c r="B1235" s="926"/>
      <c r="C1235" s="926"/>
      <c r="D1235" s="926"/>
      <c r="E1235" s="926"/>
    </row>
    <row r="1236" spans="1:5" x14ac:dyDescent="0.25">
      <c r="A1236" s="925"/>
      <c r="B1236" s="926"/>
      <c r="C1236" s="926"/>
      <c r="D1236" s="926"/>
      <c r="E1236" s="926"/>
    </row>
    <row r="1237" spans="1:5" x14ac:dyDescent="0.25">
      <c r="A1237" s="925"/>
      <c r="B1237" s="926"/>
      <c r="C1237" s="926"/>
      <c r="D1237" s="926"/>
      <c r="E1237" s="926"/>
    </row>
    <row r="1238" spans="1:5" x14ac:dyDescent="0.25">
      <c r="A1238" s="925"/>
      <c r="B1238" s="926"/>
      <c r="C1238" s="926"/>
      <c r="D1238" s="926"/>
      <c r="E1238" s="926"/>
    </row>
    <row r="1239" spans="1:5" x14ac:dyDescent="0.25">
      <c r="A1239" s="925"/>
      <c r="B1239" s="926"/>
      <c r="C1239" s="926"/>
      <c r="D1239" s="926"/>
      <c r="E1239" s="926"/>
    </row>
    <row r="1240" spans="1:5" x14ac:dyDescent="0.25">
      <c r="A1240" s="925"/>
      <c r="B1240" s="926"/>
      <c r="C1240" s="926"/>
      <c r="D1240" s="926"/>
      <c r="E1240" s="926"/>
    </row>
    <row r="1241" spans="1:5" x14ac:dyDescent="0.25">
      <c r="A1241" s="925"/>
      <c r="B1241" s="926"/>
      <c r="C1241" s="926"/>
      <c r="D1241" s="926"/>
      <c r="E1241" s="926"/>
    </row>
    <row r="1242" spans="1:5" x14ac:dyDescent="0.25">
      <c r="A1242" s="925"/>
      <c r="B1242" s="926"/>
      <c r="C1242" s="926"/>
      <c r="D1242" s="926"/>
      <c r="E1242" s="926"/>
    </row>
    <row r="1243" spans="1:5" x14ac:dyDescent="0.25">
      <c r="A1243" s="925"/>
      <c r="B1243" s="926"/>
      <c r="C1243" s="926"/>
      <c r="D1243" s="926"/>
      <c r="E1243" s="926"/>
    </row>
    <row r="1244" spans="1:5" x14ac:dyDescent="0.25">
      <c r="A1244" s="925"/>
      <c r="B1244" s="926"/>
      <c r="C1244" s="926"/>
      <c r="D1244" s="926"/>
      <c r="E1244" s="926"/>
    </row>
    <row r="1245" spans="1:5" x14ac:dyDescent="0.25">
      <c r="A1245" s="925"/>
      <c r="B1245" s="926"/>
      <c r="C1245" s="926"/>
      <c r="D1245" s="926"/>
      <c r="E1245" s="926"/>
    </row>
    <row r="1246" spans="1:5" x14ac:dyDescent="0.25">
      <c r="A1246" s="925"/>
      <c r="B1246" s="926"/>
      <c r="C1246" s="926"/>
      <c r="D1246" s="926"/>
      <c r="E1246" s="926"/>
    </row>
    <row r="1247" spans="1:5" x14ac:dyDescent="0.25">
      <c r="A1247" s="925"/>
      <c r="B1247" s="926"/>
      <c r="C1247" s="926"/>
      <c r="D1247" s="926"/>
      <c r="E1247" s="926"/>
    </row>
    <row r="1248" spans="1:5" x14ac:dyDescent="0.25">
      <c r="A1248" s="925"/>
      <c r="B1248" s="926"/>
      <c r="C1248" s="926"/>
      <c r="D1248" s="926"/>
      <c r="E1248" s="926"/>
    </row>
    <row r="1249" spans="1:5" x14ac:dyDescent="0.25">
      <c r="A1249" s="925"/>
      <c r="B1249" s="926"/>
      <c r="C1249" s="926"/>
      <c r="D1249" s="926"/>
      <c r="E1249" s="926"/>
    </row>
    <row r="1250" spans="1:5" x14ac:dyDescent="0.25">
      <c r="A1250" s="925"/>
      <c r="B1250" s="926"/>
      <c r="C1250" s="926"/>
      <c r="D1250" s="926"/>
      <c r="E1250" s="926"/>
    </row>
    <row r="1251" spans="1:5" x14ac:dyDescent="0.25">
      <c r="A1251" s="925"/>
      <c r="B1251" s="926"/>
      <c r="C1251" s="926"/>
      <c r="D1251" s="926"/>
      <c r="E1251" s="926"/>
    </row>
    <row r="1252" spans="1:5" x14ac:dyDescent="0.25">
      <c r="A1252" s="925"/>
      <c r="B1252" s="926"/>
      <c r="C1252" s="926"/>
      <c r="D1252" s="926"/>
      <c r="E1252" s="926"/>
    </row>
    <row r="1253" spans="1:5" x14ac:dyDescent="0.25">
      <c r="A1253" s="925"/>
      <c r="B1253" s="926"/>
      <c r="C1253" s="926"/>
      <c r="D1253" s="926"/>
      <c r="E1253" s="926"/>
    </row>
    <row r="1254" spans="1:5" x14ac:dyDescent="0.25">
      <c r="A1254" s="925"/>
      <c r="B1254" s="926"/>
      <c r="C1254" s="926"/>
      <c r="D1254" s="926"/>
      <c r="E1254" s="926"/>
    </row>
    <row r="1255" spans="1:5" x14ac:dyDescent="0.25">
      <c r="A1255" s="925"/>
      <c r="B1255" s="926"/>
      <c r="C1255" s="926"/>
      <c r="D1255" s="926"/>
      <c r="E1255" s="926"/>
    </row>
    <row r="1256" spans="1:5" x14ac:dyDescent="0.25">
      <c r="A1256" s="925"/>
      <c r="B1256" s="926"/>
      <c r="C1256" s="926"/>
      <c r="D1256" s="926"/>
      <c r="E1256" s="926"/>
    </row>
    <row r="1257" spans="1:5" x14ac:dyDescent="0.25">
      <c r="A1257" s="925"/>
      <c r="B1257" s="926"/>
      <c r="C1257" s="926"/>
      <c r="D1257" s="926"/>
      <c r="E1257" s="926"/>
    </row>
    <row r="1258" spans="1:5" x14ac:dyDescent="0.25">
      <c r="A1258" s="925"/>
      <c r="B1258" s="926"/>
      <c r="C1258" s="926"/>
      <c r="D1258" s="926"/>
      <c r="E1258" s="926"/>
    </row>
    <row r="1259" spans="1:5" x14ac:dyDescent="0.25">
      <c r="A1259" s="925"/>
      <c r="B1259" s="926"/>
      <c r="C1259" s="926"/>
      <c r="D1259" s="926"/>
      <c r="E1259" s="926"/>
    </row>
    <row r="1260" spans="1:5" x14ac:dyDescent="0.25">
      <c r="A1260" s="925"/>
      <c r="B1260" s="926"/>
      <c r="C1260" s="926"/>
      <c r="D1260" s="926"/>
      <c r="E1260" s="926"/>
    </row>
    <row r="1261" spans="1:5" x14ac:dyDescent="0.25">
      <c r="A1261" s="925"/>
      <c r="B1261" s="926"/>
      <c r="C1261" s="926"/>
      <c r="D1261" s="926"/>
      <c r="E1261" s="926"/>
    </row>
    <row r="1262" spans="1:5" x14ac:dyDescent="0.25">
      <c r="A1262" s="925"/>
      <c r="B1262" s="926"/>
      <c r="C1262" s="926"/>
      <c r="D1262" s="926"/>
      <c r="E1262" s="926"/>
    </row>
    <row r="1263" spans="1:5" x14ac:dyDescent="0.25">
      <c r="A1263" s="925"/>
      <c r="B1263" s="926"/>
      <c r="C1263" s="926"/>
      <c r="D1263" s="926"/>
      <c r="E1263" s="926"/>
    </row>
    <row r="1264" spans="1:5" x14ac:dyDescent="0.25">
      <c r="A1264" s="925"/>
      <c r="B1264" s="926"/>
      <c r="C1264" s="926"/>
      <c r="D1264" s="926"/>
      <c r="E1264" s="926"/>
    </row>
    <row r="1265" spans="1:5" x14ac:dyDescent="0.25">
      <c r="A1265" s="925"/>
      <c r="B1265" s="926"/>
      <c r="C1265" s="926"/>
      <c r="D1265" s="926"/>
      <c r="E1265" s="926"/>
    </row>
    <row r="1266" spans="1:5" x14ac:dyDescent="0.25">
      <c r="A1266" s="925"/>
      <c r="B1266" s="926"/>
      <c r="C1266" s="926"/>
      <c r="D1266" s="926"/>
      <c r="E1266" s="926"/>
    </row>
    <row r="1267" spans="1:5" x14ac:dyDescent="0.25">
      <c r="A1267" s="925"/>
      <c r="B1267" s="926"/>
      <c r="C1267" s="926"/>
      <c r="D1267" s="926"/>
      <c r="E1267" s="926"/>
    </row>
    <row r="1268" spans="1:5" x14ac:dyDescent="0.25">
      <c r="A1268" s="925"/>
      <c r="B1268" s="926"/>
      <c r="C1268" s="926"/>
      <c r="D1268" s="926"/>
      <c r="E1268" s="926"/>
    </row>
    <row r="1269" spans="1:5" x14ac:dyDescent="0.25">
      <c r="A1269" s="925"/>
      <c r="B1269" s="926"/>
      <c r="C1269" s="926"/>
      <c r="D1269" s="926"/>
      <c r="E1269" s="926"/>
    </row>
    <row r="1270" spans="1:5" x14ac:dyDescent="0.25">
      <c r="A1270" s="925"/>
      <c r="B1270" s="926"/>
      <c r="C1270" s="926"/>
      <c r="D1270" s="926"/>
      <c r="E1270" s="926"/>
    </row>
    <row r="1271" spans="1:5" x14ac:dyDescent="0.25">
      <c r="A1271" s="925"/>
      <c r="B1271" s="926"/>
      <c r="C1271" s="926"/>
      <c r="D1271" s="926"/>
      <c r="E1271" s="926"/>
    </row>
    <row r="1272" spans="1:5" x14ac:dyDescent="0.25">
      <c r="A1272" s="925"/>
      <c r="B1272" s="926"/>
      <c r="C1272" s="926"/>
      <c r="D1272" s="926"/>
      <c r="E1272" s="926"/>
    </row>
    <row r="1273" spans="1:5" x14ac:dyDescent="0.25">
      <c r="A1273" s="925"/>
      <c r="B1273" s="926"/>
      <c r="C1273" s="926"/>
      <c r="D1273" s="926"/>
      <c r="E1273" s="926"/>
    </row>
    <row r="1274" spans="1:5" x14ac:dyDescent="0.25">
      <c r="A1274" s="925"/>
      <c r="B1274" s="926"/>
      <c r="C1274" s="926"/>
      <c r="D1274" s="926"/>
      <c r="E1274" s="926"/>
    </row>
    <row r="1275" spans="1:5" x14ac:dyDescent="0.25">
      <c r="A1275" s="925"/>
      <c r="B1275" s="926"/>
      <c r="C1275" s="926"/>
      <c r="D1275" s="926"/>
      <c r="E1275" s="926"/>
    </row>
    <row r="1276" spans="1:5" x14ac:dyDescent="0.25">
      <c r="A1276" s="925"/>
      <c r="B1276" s="926"/>
      <c r="C1276" s="926"/>
      <c r="D1276" s="926"/>
      <c r="E1276" s="926"/>
    </row>
    <row r="1277" spans="1:5" x14ac:dyDescent="0.25">
      <c r="A1277" s="925"/>
      <c r="B1277" s="926"/>
      <c r="C1277" s="926"/>
      <c r="D1277" s="926"/>
      <c r="E1277" s="926"/>
    </row>
    <row r="1278" spans="1:5" x14ac:dyDescent="0.25">
      <c r="A1278" s="925"/>
      <c r="B1278" s="926"/>
      <c r="C1278" s="926"/>
      <c r="D1278" s="926"/>
      <c r="E1278" s="926"/>
    </row>
    <row r="1279" spans="1:5" x14ac:dyDescent="0.25">
      <c r="A1279" s="925"/>
      <c r="B1279" s="926"/>
      <c r="C1279" s="926"/>
      <c r="D1279" s="926"/>
      <c r="E1279" s="926"/>
    </row>
    <row r="1280" spans="1:5" x14ac:dyDescent="0.25">
      <c r="A1280" s="925"/>
      <c r="B1280" s="926"/>
      <c r="C1280" s="926"/>
      <c r="D1280" s="926"/>
      <c r="E1280" s="926"/>
    </row>
    <row r="1281" spans="1:5" x14ac:dyDescent="0.25">
      <c r="A1281" s="925"/>
      <c r="B1281" s="926"/>
      <c r="C1281" s="926"/>
      <c r="D1281" s="926"/>
      <c r="E1281" s="926"/>
    </row>
    <row r="1282" spans="1:5" x14ac:dyDescent="0.25">
      <c r="A1282" s="925"/>
      <c r="B1282" s="926"/>
      <c r="C1282" s="926"/>
      <c r="D1282" s="926"/>
      <c r="E1282" s="926"/>
    </row>
    <row r="1283" spans="1:5" x14ac:dyDescent="0.25">
      <c r="A1283" s="925"/>
      <c r="B1283" s="926"/>
      <c r="C1283" s="926"/>
      <c r="D1283" s="926"/>
      <c r="E1283" s="926"/>
    </row>
    <row r="1284" spans="1:5" x14ac:dyDescent="0.25">
      <c r="A1284" s="925"/>
      <c r="B1284" s="926"/>
      <c r="C1284" s="926"/>
      <c r="D1284" s="926"/>
      <c r="E1284" s="926"/>
    </row>
    <row r="1285" spans="1:5" x14ac:dyDescent="0.25">
      <c r="A1285" s="925"/>
      <c r="B1285" s="926"/>
      <c r="C1285" s="926"/>
      <c r="D1285" s="926"/>
      <c r="E1285" s="926"/>
    </row>
    <row r="1286" spans="1:5" x14ac:dyDescent="0.25">
      <c r="A1286" s="925"/>
      <c r="B1286" s="926"/>
      <c r="C1286" s="926"/>
      <c r="D1286" s="926"/>
      <c r="E1286" s="926"/>
    </row>
    <row r="1287" spans="1:5" x14ac:dyDescent="0.25">
      <c r="A1287" s="925"/>
      <c r="B1287" s="926"/>
      <c r="C1287" s="926"/>
      <c r="D1287" s="926"/>
      <c r="E1287" s="926"/>
    </row>
    <row r="1288" spans="1:5" x14ac:dyDescent="0.25">
      <c r="A1288" s="925"/>
      <c r="B1288" s="926"/>
      <c r="C1288" s="926"/>
      <c r="D1288" s="926"/>
      <c r="E1288" s="926"/>
    </row>
    <row r="1289" spans="1:5" x14ac:dyDescent="0.25">
      <c r="A1289" s="925"/>
      <c r="B1289" s="926"/>
      <c r="C1289" s="926"/>
      <c r="D1289" s="926"/>
      <c r="E1289" s="926"/>
    </row>
    <row r="1290" spans="1:5" x14ac:dyDescent="0.25">
      <c r="A1290" s="925"/>
      <c r="B1290" s="926"/>
      <c r="C1290" s="926"/>
      <c r="D1290" s="926"/>
      <c r="E1290" s="926"/>
    </row>
    <row r="1291" spans="1:5" x14ac:dyDescent="0.25">
      <c r="A1291" s="925"/>
      <c r="B1291" s="926"/>
      <c r="C1291" s="926"/>
      <c r="D1291" s="926"/>
      <c r="E1291" s="926"/>
    </row>
    <row r="1292" spans="1:5" x14ac:dyDescent="0.25">
      <c r="A1292" s="925"/>
      <c r="B1292" s="926"/>
      <c r="C1292" s="926"/>
      <c r="D1292" s="926"/>
      <c r="E1292" s="926"/>
    </row>
    <row r="1293" spans="1:5" x14ac:dyDescent="0.25">
      <c r="A1293" s="925"/>
      <c r="B1293" s="926"/>
      <c r="C1293" s="926"/>
      <c r="D1293" s="926"/>
      <c r="E1293" s="926"/>
    </row>
    <row r="1294" spans="1:5" x14ac:dyDescent="0.25">
      <c r="A1294" s="925"/>
      <c r="B1294" s="926"/>
      <c r="C1294" s="926"/>
      <c r="D1294" s="926"/>
      <c r="E1294" s="926"/>
    </row>
    <row r="1295" spans="1:5" x14ac:dyDescent="0.25">
      <c r="A1295" s="925"/>
      <c r="B1295" s="926"/>
      <c r="C1295" s="926"/>
      <c r="D1295" s="926"/>
      <c r="E1295" s="926"/>
    </row>
    <row r="1296" spans="1:5" x14ac:dyDescent="0.25">
      <c r="A1296" s="925"/>
      <c r="B1296" s="926"/>
      <c r="C1296" s="926"/>
      <c r="D1296" s="926"/>
      <c r="E1296" s="926"/>
    </row>
    <row r="1297" spans="1:5" x14ac:dyDescent="0.25">
      <c r="A1297" s="925"/>
      <c r="B1297" s="926"/>
      <c r="C1297" s="926"/>
      <c r="D1297" s="926"/>
      <c r="E1297" s="926"/>
    </row>
    <row r="1298" spans="1:5" x14ac:dyDescent="0.25">
      <c r="A1298" s="925"/>
      <c r="B1298" s="926"/>
      <c r="C1298" s="926"/>
      <c r="D1298" s="926"/>
      <c r="E1298" s="926"/>
    </row>
    <row r="1299" spans="1:5" x14ac:dyDescent="0.25">
      <c r="A1299" s="925"/>
      <c r="B1299" s="926"/>
      <c r="C1299" s="926"/>
      <c r="D1299" s="926"/>
      <c r="E1299" s="926"/>
    </row>
    <row r="1300" spans="1:5" x14ac:dyDescent="0.25">
      <c r="A1300" s="925"/>
      <c r="B1300" s="926"/>
      <c r="C1300" s="926"/>
      <c r="D1300" s="926"/>
      <c r="E1300" s="926"/>
    </row>
    <row r="1301" spans="1:5" x14ac:dyDescent="0.25">
      <c r="A1301" s="925"/>
      <c r="B1301" s="926"/>
      <c r="C1301" s="926"/>
      <c r="D1301" s="926"/>
      <c r="E1301" s="926"/>
    </row>
    <row r="1302" spans="1:5" x14ac:dyDescent="0.25">
      <c r="A1302" s="925"/>
      <c r="B1302" s="926"/>
      <c r="C1302" s="926"/>
      <c r="D1302" s="926"/>
      <c r="E1302" s="926"/>
    </row>
    <row r="1303" spans="1:5" x14ac:dyDescent="0.25">
      <c r="A1303" s="925"/>
      <c r="B1303" s="926"/>
      <c r="C1303" s="926"/>
      <c r="D1303" s="926"/>
      <c r="E1303" s="926"/>
    </row>
    <row r="1304" spans="1:5" x14ac:dyDescent="0.25">
      <c r="A1304" s="925"/>
      <c r="B1304" s="926"/>
      <c r="C1304" s="926"/>
      <c r="D1304" s="926"/>
      <c r="E1304" s="926"/>
    </row>
    <row r="1305" spans="1:5" x14ac:dyDescent="0.25">
      <c r="A1305" s="925"/>
      <c r="B1305" s="926"/>
      <c r="C1305" s="926"/>
      <c r="D1305" s="926"/>
      <c r="E1305" s="926"/>
    </row>
    <row r="1306" spans="1:5" x14ac:dyDescent="0.25">
      <c r="A1306" s="925"/>
      <c r="B1306" s="926"/>
      <c r="C1306" s="926"/>
      <c r="D1306" s="926"/>
      <c r="E1306" s="926"/>
    </row>
    <row r="1307" spans="1:5" x14ac:dyDescent="0.25">
      <c r="A1307" s="925"/>
      <c r="B1307" s="926"/>
      <c r="C1307" s="926"/>
      <c r="D1307" s="926"/>
      <c r="E1307" s="926"/>
    </row>
    <row r="1308" spans="1:5" x14ac:dyDescent="0.25">
      <c r="A1308" s="925"/>
      <c r="B1308" s="926"/>
      <c r="C1308" s="926"/>
      <c r="D1308" s="926"/>
      <c r="E1308" s="926"/>
    </row>
    <row r="1309" spans="1:5" x14ac:dyDescent="0.25">
      <c r="A1309" s="925"/>
      <c r="B1309" s="926"/>
      <c r="C1309" s="926"/>
      <c r="D1309" s="926"/>
      <c r="E1309" s="926"/>
    </row>
    <row r="1310" spans="1:5" x14ac:dyDescent="0.25">
      <c r="A1310" s="925"/>
      <c r="B1310" s="926"/>
      <c r="C1310" s="926"/>
      <c r="D1310" s="926"/>
      <c r="E1310" s="926"/>
    </row>
    <row r="1311" spans="1:5" x14ac:dyDescent="0.25">
      <c r="A1311" s="925"/>
      <c r="B1311" s="926"/>
      <c r="C1311" s="926"/>
      <c r="D1311" s="926"/>
      <c r="E1311" s="926"/>
    </row>
    <row r="1312" spans="1:5" x14ac:dyDescent="0.25">
      <c r="A1312" s="925"/>
      <c r="B1312" s="926"/>
      <c r="C1312" s="926"/>
      <c r="D1312" s="926"/>
      <c r="E1312" s="926"/>
    </row>
    <row r="1313" spans="1:5" x14ac:dyDescent="0.25">
      <c r="A1313" s="925"/>
      <c r="B1313" s="926"/>
      <c r="C1313" s="926"/>
      <c r="D1313" s="926"/>
      <c r="E1313" s="926"/>
    </row>
    <row r="1314" spans="1:5" x14ac:dyDescent="0.25">
      <c r="A1314" s="925"/>
      <c r="B1314" s="926"/>
      <c r="C1314" s="926"/>
      <c r="D1314" s="926"/>
      <c r="E1314" s="926"/>
    </row>
    <row r="1315" spans="1:5" x14ac:dyDescent="0.25">
      <c r="A1315" s="925"/>
      <c r="B1315" s="926"/>
      <c r="C1315" s="926"/>
      <c r="D1315" s="926"/>
      <c r="E1315" s="926"/>
    </row>
    <row r="1316" spans="1:5" x14ac:dyDescent="0.25">
      <c r="A1316" s="925"/>
      <c r="B1316" s="926"/>
      <c r="C1316" s="926"/>
      <c r="D1316" s="926"/>
      <c r="E1316" s="926"/>
    </row>
    <row r="1317" spans="1:5" x14ac:dyDescent="0.25">
      <c r="A1317" s="925"/>
      <c r="B1317" s="926"/>
      <c r="C1317" s="926"/>
      <c r="D1317" s="926"/>
      <c r="E1317" s="926"/>
    </row>
    <row r="1318" spans="1:5" x14ac:dyDescent="0.25">
      <c r="A1318" s="925"/>
      <c r="B1318" s="926"/>
      <c r="C1318" s="926"/>
      <c r="D1318" s="926"/>
      <c r="E1318" s="926"/>
    </row>
    <row r="1319" spans="1:5" x14ac:dyDescent="0.25">
      <c r="A1319" s="925"/>
      <c r="B1319" s="926"/>
      <c r="C1319" s="926"/>
      <c r="D1319" s="926"/>
      <c r="E1319" s="926"/>
    </row>
    <row r="1320" spans="1:5" x14ac:dyDescent="0.25">
      <c r="A1320" s="925"/>
      <c r="B1320" s="926"/>
      <c r="C1320" s="926"/>
      <c r="D1320" s="926"/>
      <c r="E1320" s="926"/>
    </row>
    <row r="1321" spans="1:5" x14ac:dyDescent="0.25">
      <c r="A1321" s="925"/>
      <c r="B1321" s="926"/>
      <c r="C1321" s="926"/>
      <c r="D1321" s="926"/>
      <c r="E1321" s="926"/>
    </row>
    <row r="1322" spans="1:5" x14ac:dyDescent="0.25">
      <c r="A1322" s="925"/>
      <c r="B1322" s="926"/>
      <c r="C1322" s="926"/>
      <c r="D1322" s="926"/>
      <c r="E1322" s="926"/>
    </row>
    <row r="1323" spans="1:5" x14ac:dyDescent="0.25">
      <c r="A1323" s="925"/>
      <c r="B1323" s="926"/>
      <c r="C1323" s="926"/>
      <c r="D1323" s="926"/>
      <c r="E1323" s="926"/>
    </row>
    <row r="1324" spans="1:5" x14ac:dyDescent="0.25">
      <c r="A1324" s="925"/>
      <c r="B1324" s="926"/>
      <c r="C1324" s="926"/>
      <c r="D1324" s="926"/>
      <c r="E1324" s="926"/>
    </row>
    <row r="1325" spans="1:5" x14ac:dyDescent="0.25">
      <c r="A1325" s="925"/>
      <c r="B1325" s="926"/>
      <c r="C1325" s="926"/>
      <c r="D1325" s="926"/>
      <c r="E1325" s="926"/>
    </row>
    <row r="1326" spans="1:5" x14ac:dyDescent="0.25">
      <c r="A1326" s="925"/>
      <c r="B1326" s="926"/>
      <c r="C1326" s="926"/>
      <c r="D1326" s="926"/>
      <c r="E1326" s="926"/>
    </row>
    <row r="1327" spans="1:5" x14ac:dyDescent="0.25">
      <c r="A1327" s="925"/>
      <c r="B1327" s="926"/>
      <c r="C1327" s="926"/>
      <c r="D1327" s="926"/>
      <c r="E1327" s="926"/>
    </row>
    <row r="1328" spans="1:5" x14ac:dyDescent="0.25">
      <c r="A1328" s="925"/>
      <c r="B1328" s="926"/>
      <c r="C1328" s="926"/>
      <c r="D1328" s="926"/>
      <c r="E1328" s="926"/>
    </row>
    <row r="1329" spans="1:5" x14ac:dyDescent="0.25">
      <c r="A1329" s="925"/>
      <c r="B1329" s="926"/>
      <c r="C1329" s="926"/>
      <c r="D1329" s="926"/>
      <c r="E1329" s="926"/>
    </row>
    <row r="1330" spans="1:5" x14ac:dyDescent="0.25">
      <c r="A1330" s="925"/>
      <c r="B1330" s="926"/>
      <c r="C1330" s="926"/>
      <c r="D1330" s="926"/>
      <c r="E1330" s="926"/>
    </row>
    <row r="1331" spans="1:5" x14ac:dyDescent="0.25">
      <c r="A1331" s="925"/>
      <c r="B1331" s="926"/>
      <c r="C1331" s="926"/>
      <c r="D1331" s="926"/>
      <c r="E1331" s="926"/>
    </row>
    <row r="1332" spans="1:5" x14ac:dyDescent="0.25">
      <c r="A1332" s="925"/>
      <c r="B1332" s="926"/>
      <c r="C1332" s="926"/>
      <c r="D1332" s="926"/>
      <c r="E1332" s="926"/>
    </row>
    <row r="1333" spans="1:5" x14ac:dyDescent="0.25">
      <c r="A1333" s="925"/>
      <c r="B1333" s="926"/>
      <c r="C1333" s="926"/>
      <c r="D1333" s="926"/>
      <c r="E1333" s="926"/>
    </row>
    <row r="1334" spans="1:5" x14ac:dyDescent="0.25">
      <c r="A1334" s="925"/>
      <c r="B1334" s="926"/>
      <c r="C1334" s="926"/>
      <c r="D1334" s="926"/>
      <c r="E1334" s="926"/>
    </row>
    <row r="1335" spans="1:5" x14ac:dyDescent="0.25">
      <c r="A1335" s="925"/>
      <c r="B1335" s="926"/>
      <c r="C1335" s="926"/>
      <c r="D1335" s="926"/>
      <c r="E1335" s="926"/>
    </row>
    <row r="1336" spans="1:5" x14ac:dyDescent="0.25">
      <c r="A1336" s="925"/>
      <c r="B1336" s="926"/>
      <c r="C1336" s="926"/>
      <c r="D1336" s="926"/>
      <c r="E1336" s="926"/>
    </row>
    <row r="1337" spans="1:5" x14ac:dyDescent="0.25">
      <c r="A1337" s="925"/>
      <c r="B1337" s="926"/>
      <c r="C1337" s="926"/>
      <c r="D1337" s="926"/>
      <c r="E1337" s="926"/>
    </row>
    <row r="1338" spans="1:5" x14ac:dyDescent="0.25">
      <c r="A1338" s="925"/>
      <c r="B1338" s="926"/>
      <c r="C1338" s="926"/>
      <c r="D1338" s="926"/>
      <c r="E1338" s="926"/>
    </row>
    <row r="1339" spans="1:5" x14ac:dyDescent="0.25">
      <c r="A1339" s="925"/>
      <c r="B1339" s="926"/>
      <c r="C1339" s="926"/>
      <c r="D1339" s="926"/>
      <c r="E1339" s="926"/>
    </row>
    <row r="1340" spans="1:5" x14ac:dyDescent="0.25">
      <c r="A1340" s="925"/>
      <c r="B1340" s="926"/>
      <c r="C1340" s="926"/>
      <c r="D1340" s="926"/>
      <c r="E1340" s="926"/>
    </row>
    <row r="1341" spans="1:5" x14ac:dyDescent="0.25">
      <c r="A1341" s="925"/>
      <c r="B1341" s="926"/>
      <c r="C1341" s="926"/>
      <c r="D1341" s="926"/>
      <c r="E1341" s="926"/>
    </row>
    <row r="1342" spans="1:5" x14ac:dyDescent="0.25">
      <c r="A1342" s="925"/>
      <c r="B1342" s="926"/>
      <c r="C1342" s="926"/>
      <c r="D1342" s="926"/>
      <c r="E1342" s="926"/>
    </row>
    <row r="1343" spans="1:5" x14ac:dyDescent="0.25">
      <c r="A1343" s="925"/>
      <c r="B1343" s="926"/>
      <c r="C1343" s="926"/>
      <c r="D1343" s="926"/>
      <c r="E1343" s="926"/>
    </row>
    <row r="1344" spans="1:5" x14ac:dyDescent="0.25">
      <c r="A1344" s="925"/>
      <c r="B1344" s="926"/>
      <c r="C1344" s="926"/>
      <c r="D1344" s="926"/>
      <c r="E1344" s="926"/>
    </row>
    <row r="1345" spans="1:5" x14ac:dyDescent="0.25">
      <c r="A1345" s="925"/>
      <c r="B1345" s="926"/>
      <c r="C1345" s="926"/>
      <c r="D1345" s="926"/>
      <c r="E1345" s="926"/>
    </row>
    <row r="1346" spans="1:5" x14ac:dyDescent="0.25">
      <c r="A1346" s="925"/>
      <c r="B1346" s="926"/>
      <c r="C1346" s="926"/>
      <c r="D1346" s="926"/>
      <c r="E1346" s="926"/>
    </row>
    <row r="1347" spans="1:5" x14ac:dyDescent="0.25">
      <c r="A1347" s="925"/>
      <c r="B1347" s="926"/>
      <c r="C1347" s="926"/>
      <c r="D1347" s="926"/>
      <c r="E1347" s="926"/>
    </row>
    <row r="1348" spans="1:5" x14ac:dyDescent="0.25">
      <c r="A1348" s="925"/>
      <c r="B1348" s="926"/>
      <c r="C1348" s="926"/>
      <c r="D1348" s="926"/>
      <c r="E1348" s="926"/>
    </row>
    <row r="1349" spans="1:5" x14ac:dyDescent="0.25">
      <c r="A1349" s="925"/>
      <c r="B1349" s="926"/>
      <c r="C1349" s="926"/>
      <c r="D1349" s="926"/>
      <c r="E1349" s="926"/>
    </row>
    <row r="1350" spans="1:5" x14ac:dyDescent="0.25">
      <c r="A1350" s="925"/>
      <c r="B1350" s="926"/>
      <c r="C1350" s="926"/>
      <c r="D1350" s="926"/>
      <c r="E1350" s="926"/>
    </row>
    <row r="1351" spans="1:5" x14ac:dyDescent="0.25">
      <c r="A1351" s="925"/>
      <c r="B1351" s="926"/>
      <c r="C1351" s="926"/>
      <c r="D1351" s="926"/>
      <c r="E1351" s="926"/>
    </row>
    <row r="1352" spans="1:5" x14ac:dyDescent="0.25">
      <c r="A1352" s="925"/>
      <c r="B1352" s="926"/>
      <c r="C1352" s="926"/>
      <c r="D1352" s="926"/>
      <c r="E1352" s="926"/>
    </row>
    <row r="1353" spans="1:5" x14ac:dyDescent="0.25">
      <c r="A1353" s="925"/>
      <c r="B1353" s="926"/>
      <c r="C1353" s="926"/>
      <c r="D1353" s="926"/>
      <c r="E1353" s="926"/>
    </row>
    <row r="1354" spans="1:5" x14ac:dyDescent="0.25">
      <c r="A1354" s="925"/>
      <c r="B1354" s="926"/>
      <c r="C1354" s="926"/>
      <c r="D1354" s="926"/>
      <c r="E1354" s="926"/>
    </row>
    <row r="1355" spans="1:5" x14ac:dyDescent="0.25">
      <c r="A1355" s="925"/>
      <c r="B1355" s="926"/>
      <c r="C1355" s="926"/>
      <c r="D1355" s="926"/>
      <c r="E1355" s="926"/>
    </row>
    <row r="1356" spans="1:5" x14ac:dyDescent="0.25">
      <c r="A1356" s="925"/>
      <c r="B1356" s="926"/>
      <c r="C1356" s="926"/>
      <c r="D1356" s="926"/>
      <c r="E1356" s="926"/>
    </row>
    <row r="1357" spans="1:5" x14ac:dyDescent="0.25">
      <c r="A1357" s="925"/>
      <c r="B1357" s="926"/>
      <c r="C1357" s="926"/>
      <c r="D1357" s="926"/>
      <c r="E1357" s="926"/>
    </row>
    <row r="1358" spans="1:5" x14ac:dyDescent="0.25">
      <c r="A1358" s="925"/>
      <c r="B1358" s="926"/>
      <c r="C1358" s="926"/>
      <c r="D1358" s="926"/>
      <c r="E1358" s="926"/>
    </row>
    <row r="1359" spans="1:5" x14ac:dyDescent="0.25">
      <c r="A1359" s="925"/>
      <c r="B1359" s="926"/>
      <c r="C1359" s="926"/>
      <c r="D1359" s="926"/>
      <c r="E1359" s="926"/>
    </row>
    <row r="1360" spans="1:5" x14ac:dyDescent="0.25">
      <c r="A1360" s="925"/>
      <c r="B1360" s="926"/>
      <c r="C1360" s="926"/>
      <c r="D1360" s="926"/>
      <c r="E1360" s="926"/>
    </row>
    <row r="1361" spans="1:5" x14ac:dyDescent="0.25">
      <c r="A1361" s="925"/>
      <c r="B1361" s="926"/>
      <c r="C1361" s="926"/>
      <c r="D1361" s="926"/>
      <c r="E1361" s="926"/>
    </row>
    <row r="1362" spans="1:5" x14ac:dyDescent="0.25">
      <c r="A1362" s="925"/>
      <c r="B1362" s="926"/>
      <c r="C1362" s="926"/>
      <c r="D1362" s="926"/>
      <c r="E1362" s="926"/>
    </row>
    <row r="1363" spans="1:5" x14ac:dyDescent="0.25">
      <c r="A1363" s="925"/>
      <c r="B1363" s="926"/>
      <c r="C1363" s="926"/>
      <c r="D1363" s="926"/>
      <c r="E1363" s="926"/>
    </row>
    <row r="1364" spans="1:5" x14ac:dyDescent="0.25">
      <c r="A1364" s="925"/>
      <c r="B1364" s="926"/>
      <c r="C1364" s="926"/>
      <c r="D1364" s="926"/>
      <c r="E1364" s="926"/>
    </row>
    <row r="1365" spans="1:5" x14ac:dyDescent="0.25">
      <c r="A1365" s="925"/>
      <c r="B1365" s="926"/>
      <c r="C1365" s="926"/>
      <c r="D1365" s="926"/>
      <c r="E1365" s="926"/>
    </row>
    <row r="1366" spans="1:5" x14ac:dyDescent="0.25">
      <c r="A1366" s="925"/>
      <c r="B1366" s="926"/>
      <c r="C1366" s="926"/>
      <c r="D1366" s="926"/>
      <c r="E1366" s="926"/>
    </row>
    <row r="1367" spans="1:5" x14ac:dyDescent="0.25">
      <c r="A1367" s="925"/>
      <c r="B1367" s="926"/>
      <c r="C1367" s="926"/>
      <c r="D1367" s="926"/>
      <c r="E1367" s="926"/>
    </row>
    <row r="1368" spans="1:5" x14ac:dyDescent="0.25">
      <c r="A1368" s="925"/>
      <c r="B1368" s="926"/>
      <c r="C1368" s="926"/>
      <c r="D1368" s="926"/>
      <c r="E1368" s="926"/>
    </row>
    <row r="1369" spans="1:5" x14ac:dyDescent="0.25">
      <c r="A1369" s="925"/>
      <c r="B1369" s="926"/>
      <c r="C1369" s="926"/>
      <c r="D1369" s="926"/>
      <c r="E1369" s="926"/>
    </row>
    <row r="1370" spans="1:5" x14ac:dyDescent="0.25">
      <c r="A1370" s="925"/>
      <c r="B1370" s="926"/>
      <c r="C1370" s="926"/>
      <c r="D1370" s="926"/>
      <c r="E1370" s="926"/>
    </row>
    <row r="1371" spans="1:5" x14ac:dyDescent="0.25">
      <c r="A1371" s="925"/>
      <c r="B1371" s="926"/>
      <c r="C1371" s="926"/>
      <c r="D1371" s="926"/>
      <c r="E1371" s="926"/>
    </row>
    <row r="1372" spans="1:5" x14ac:dyDescent="0.25">
      <c r="A1372" s="925"/>
      <c r="B1372" s="926"/>
      <c r="C1372" s="926"/>
      <c r="D1372" s="926"/>
      <c r="E1372" s="926"/>
    </row>
    <row r="1373" spans="1:5" x14ac:dyDescent="0.25">
      <c r="A1373" s="925"/>
      <c r="B1373" s="926"/>
      <c r="C1373" s="926"/>
      <c r="D1373" s="926"/>
      <c r="E1373" s="926"/>
    </row>
    <row r="1374" spans="1:5" x14ac:dyDescent="0.25">
      <c r="A1374" s="925"/>
      <c r="B1374" s="926"/>
      <c r="C1374" s="926"/>
      <c r="D1374" s="926"/>
      <c r="E1374" s="926"/>
    </row>
    <row r="1375" spans="1:5" x14ac:dyDescent="0.25">
      <c r="A1375" s="925"/>
      <c r="B1375" s="926"/>
      <c r="C1375" s="926"/>
      <c r="D1375" s="926"/>
      <c r="E1375" s="926"/>
    </row>
    <row r="1376" spans="1:5" x14ac:dyDescent="0.25">
      <c r="A1376" s="925"/>
      <c r="B1376" s="926"/>
      <c r="C1376" s="926"/>
      <c r="D1376" s="926"/>
      <c r="E1376" s="926"/>
    </row>
    <row r="1377" spans="1:5" x14ac:dyDescent="0.25">
      <c r="A1377" s="925"/>
      <c r="B1377" s="926"/>
      <c r="C1377" s="926"/>
      <c r="D1377" s="926"/>
      <c r="E1377" s="926"/>
    </row>
    <row r="1378" spans="1:5" x14ac:dyDescent="0.25">
      <c r="A1378" s="925"/>
      <c r="B1378" s="926"/>
      <c r="C1378" s="926"/>
      <c r="D1378" s="926"/>
      <c r="E1378" s="926"/>
    </row>
    <row r="1379" spans="1:5" x14ac:dyDescent="0.25">
      <c r="A1379" s="925"/>
      <c r="B1379" s="926"/>
      <c r="C1379" s="926"/>
      <c r="D1379" s="926"/>
      <c r="E1379" s="926"/>
    </row>
    <row r="1380" spans="1:5" x14ac:dyDescent="0.25">
      <c r="A1380" s="925"/>
      <c r="B1380" s="926"/>
      <c r="C1380" s="926"/>
      <c r="D1380" s="926"/>
      <c r="E1380" s="926"/>
    </row>
    <row r="1381" spans="1:5" x14ac:dyDescent="0.25">
      <c r="A1381" s="925"/>
      <c r="B1381" s="926"/>
      <c r="C1381" s="926"/>
      <c r="D1381" s="926"/>
      <c r="E1381" s="926"/>
    </row>
    <row r="1382" spans="1:5" x14ac:dyDescent="0.25">
      <c r="A1382" s="925"/>
      <c r="B1382" s="926"/>
      <c r="C1382" s="926"/>
      <c r="D1382" s="926"/>
      <c r="E1382" s="926"/>
    </row>
    <row r="1383" spans="1:5" x14ac:dyDescent="0.25">
      <c r="A1383" s="925"/>
      <c r="B1383" s="926"/>
      <c r="C1383" s="926"/>
      <c r="D1383" s="926"/>
      <c r="E1383" s="926"/>
    </row>
    <row r="1384" spans="1:5" x14ac:dyDescent="0.25">
      <c r="A1384" s="925"/>
      <c r="B1384" s="926"/>
      <c r="C1384" s="926"/>
      <c r="D1384" s="926"/>
      <c r="E1384" s="926"/>
    </row>
    <row r="1385" spans="1:5" x14ac:dyDescent="0.25">
      <c r="A1385" s="925"/>
      <c r="B1385" s="926"/>
      <c r="C1385" s="926"/>
      <c r="D1385" s="926"/>
      <c r="E1385" s="926"/>
    </row>
    <row r="1386" spans="1:5" x14ac:dyDescent="0.25">
      <c r="A1386" s="925"/>
      <c r="B1386" s="926"/>
      <c r="C1386" s="926"/>
      <c r="D1386" s="926"/>
      <c r="E1386" s="926"/>
    </row>
    <row r="1387" spans="1:5" x14ac:dyDescent="0.25">
      <c r="A1387" s="925"/>
      <c r="B1387" s="926"/>
      <c r="C1387" s="926"/>
      <c r="D1387" s="926"/>
      <c r="E1387" s="926"/>
    </row>
    <row r="1388" spans="1:5" x14ac:dyDescent="0.25">
      <c r="A1388" s="925"/>
      <c r="B1388" s="926"/>
      <c r="C1388" s="926"/>
      <c r="D1388" s="926"/>
      <c r="E1388" s="926"/>
    </row>
    <row r="1389" spans="1:5" x14ac:dyDescent="0.25">
      <c r="A1389" s="925"/>
      <c r="B1389" s="926"/>
      <c r="C1389" s="926"/>
      <c r="D1389" s="926"/>
      <c r="E1389" s="926"/>
    </row>
    <row r="1390" spans="1:5" x14ac:dyDescent="0.25">
      <c r="A1390" s="925"/>
      <c r="B1390" s="926"/>
      <c r="C1390" s="926"/>
      <c r="D1390" s="926"/>
      <c r="E1390" s="926"/>
    </row>
    <row r="1391" spans="1:5" x14ac:dyDescent="0.25">
      <c r="A1391" s="925"/>
      <c r="B1391" s="926"/>
      <c r="C1391" s="926"/>
      <c r="D1391" s="926"/>
      <c r="E1391" s="926"/>
    </row>
    <row r="1392" spans="1:5" x14ac:dyDescent="0.25">
      <c r="A1392" s="925"/>
      <c r="B1392" s="926"/>
      <c r="C1392" s="926"/>
      <c r="D1392" s="926"/>
      <c r="E1392" s="926"/>
    </row>
    <row r="1393" spans="1:5" x14ac:dyDescent="0.25">
      <c r="A1393" s="925"/>
      <c r="B1393" s="926"/>
      <c r="C1393" s="926"/>
      <c r="D1393" s="926"/>
      <c r="E1393" s="926"/>
    </row>
    <row r="1394" spans="1:5" x14ac:dyDescent="0.25">
      <c r="A1394" s="925"/>
      <c r="B1394" s="926"/>
      <c r="C1394" s="926"/>
      <c r="D1394" s="926"/>
      <c r="E1394" s="926"/>
    </row>
    <row r="1395" spans="1:5" x14ac:dyDescent="0.25">
      <c r="A1395" s="925"/>
      <c r="B1395" s="926"/>
      <c r="C1395" s="926"/>
      <c r="D1395" s="926"/>
      <c r="E1395" s="926"/>
    </row>
    <row r="1396" spans="1:5" x14ac:dyDescent="0.25">
      <c r="A1396" s="925"/>
      <c r="B1396" s="926"/>
      <c r="C1396" s="926"/>
      <c r="D1396" s="926"/>
      <c r="E1396" s="926"/>
    </row>
    <row r="1397" spans="1:5" x14ac:dyDescent="0.25">
      <c r="A1397" s="925"/>
      <c r="B1397" s="926"/>
      <c r="C1397" s="926"/>
      <c r="D1397" s="926"/>
      <c r="E1397" s="926"/>
    </row>
    <row r="1398" spans="1:5" x14ac:dyDescent="0.25">
      <c r="A1398" s="925"/>
      <c r="B1398" s="926"/>
      <c r="C1398" s="926"/>
      <c r="D1398" s="926"/>
      <c r="E1398" s="926"/>
    </row>
    <row r="1399" spans="1:5" x14ac:dyDescent="0.25">
      <c r="A1399" s="925"/>
      <c r="B1399" s="926"/>
      <c r="C1399" s="926"/>
      <c r="D1399" s="926"/>
      <c r="E1399" s="926"/>
    </row>
    <row r="1400" spans="1:5" x14ac:dyDescent="0.25">
      <c r="A1400" s="925"/>
      <c r="B1400" s="926"/>
      <c r="C1400" s="926"/>
      <c r="D1400" s="926"/>
      <c r="E1400" s="926"/>
    </row>
    <row r="1401" spans="1:5" x14ac:dyDescent="0.25">
      <c r="A1401" s="925"/>
      <c r="B1401" s="926"/>
      <c r="C1401" s="926"/>
      <c r="D1401" s="926"/>
      <c r="E1401" s="926"/>
    </row>
    <row r="1402" spans="1:5" x14ac:dyDescent="0.25">
      <c r="A1402" s="925"/>
      <c r="B1402" s="926"/>
      <c r="C1402" s="926"/>
      <c r="D1402" s="926"/>
      <c r="E1402" s="926"/>
    </row>
    <row r="1403" spans="1:5" x14ac:dyDescent="0.25">
      <c r="A1403" s="925"/>
      <c r="B1403" s="926"/>
      <c r="C1403" s="926"/>
      <c r="D1403" s="926"/>
      <c r="E1403" s="926"/>
    </row>
    <row r="1404" spans="1:5" x14ac:dyDescent="0.25">
      <c r="A1404" s="925"/>
      <c r="B1404" s="926"/>
      <c r="C1404" s="926"/>
      <c r="D1404" s="926"/>
      <c r="E1404" s="926"/>
    </row>
    <row r="1405" spans="1:5" x14ac:dyDescent="0.25">
      <c r="A1405" s="925"/>
      <c r="B1405" s="926"/>
      <c r="C1405" s="926"/>
      <c r="D1405" s="926"/>
      <c r="E1405" s="926"/>
    </row>
    <row r="1406" spans="1:5" x14ac:dyDescent="0.25">
      <c r="A1406" s="925"/>
      <c r="B1406" s="926"/>
      <c r="C1406" s="926"/>
      <c r="D1406" s="926"/>
      <c r="E1406" s="926"/>
    </row>
    <row r="1407" spans="1:5" x14ac:dyDescent="0.25">
      <c r="A1407" s="925"/>
      <c r="B1407" s="926"/>
      <c r="C1407" s="926"/>
      <c r="D1407" s="926"/>
      <c r="E1407" s="926"/>
    </row>
    <row r="1408" spans="1:5" x14ac:dyDescent="0.25">
      <c r="A1408" s="925"/>
      <c r="B1408" s="926"/>
      <c r="C1408" s="926"/>
      <c r="D1408" s="926"/>
      <c r="E1408" s="926"/>
    </row>
    <row r="1409" spans="1:5" x14ac:dyDescent="0.25">
      <c r="A1409" s="925"/>
      <c r="B1409" s="926"/>
      <c r="C1409" s="926"/>
      <c r="D1409" s="926"/>
      <c r="E1409" s="926"/>
    </row>
    <row r="1410" spans="1:5" x14ac:dyDescent="0.25">
      <c r="A1410" s="925"/>
      <c r="B1410" s="926"/>
      <c r="C1410" s="926"/>
      <c r="D1410" s="926"/>
      <c r="E1410" s="926"/>
    </row>
    <row r="1411" spans="1:5" x14ac:dyDescent="0.25">
      <c r="A1411" s="925"/>
      <c r="B1411" s="926"/>
      <c r="C1411" s="926"/>
      <c r="D1411" s="926"/>
      <c r="E1411" s="926"/>
    </row>
    <row r="1412" spans="1:5" x14ac:dyDescent="0.25">
      <c r="A1412" s="925"/>
      <c r="B1412" s="926"/>
      <c r="C1412" s="926"/>
      <c r="D1412" s="926"/>
      <c r="E1412" s="926"/>
    </row>
    <row r="1413" spans="1:5" x14ac:dyDescent="0.25">
      <c r="A1413" s="925"/>
      <c r="B1413" s="926"/>
      <c r="C1413" s="926"/>
      <c r="D1413" s="926"/>
      <c r="E1413" s="926"/>
    </row>
    <row r="1414" spans="1:5" x14ac:dyDescent="0.25">
      <c r="A1414" s="925"/>
      <c r="B1414" s="926"/>
      <c r="C1414" s="926"/>
      <c r="D1414" s="926"/>
      <c r="E1414" s="926"/>
    </row>
    <row r="1415" spans="1:5" x14ac:dyDescent="0.25">
      <c r="A1415" s="925"/>
      <c r="B1415" s="926"/>
      <c r="C1415" s="926"/>
      <c r="D1415" s="926"/>
      <c r="E1415" s="926"/>
    </row>
    <row r="1416" spans="1:5" x14ac:dyDescent="0.25">
      <c r="A1416" s="925"/>
      <c r="B1416" s="926"/>
      <c r="C1416" s="926"/>
      <c r="D1416" s="926"/>
      <c r="E1416" s="926"/>
    </row>
    <row r="1417" spans="1:5" x14ac:dyDescent="0.25">
      <c r="A1417" s="925"/>
      <c r="B1417" s="926"/>
      <c r="C1417" s="926"/>
      <c r="D1417" s="926"/>
      <c r="E1417" s="926"/>
    </row>
    <row r="1418" spans="1:5" x14ac:dyDescent="0.25">
      <c r="A1418" s="925"/>
      <c r="B1418" s="926"/>
      <c r="C1418" s="926"/>
      <c r="D1418" s="926"/>
      <c r="E1418" s="926"/>
    </row>
    <row r="1419" spans="1:5" x14ac:dyDescent="0.25">
      <c r="A1419" s="925"/>
      <c r="B1419" s="926"/>
      <c r="C1419" s="926"/>
      <c r="D1419" s="926"/>
      <c r="E1419" s="926"/>
    </row>
    <row r="1420" spans="1:5" x14ac:dyDescent="0.25">
      <c r="A1420" s="925"/>
      <c r="B1420" s="926"/>
      <c r="C1420" s="926"/>
      <c r="D1420" s="926"/>
      <c r="E1420" s="926"/>
    </row>
    <row r="1421" spans="1:5" x14ac:dyDescent="0.25">
      <c r="A1421" s="925"/>
      <c r="B1421" s="926"/>
      <c r="C1421" s="926"/>
      <c r="D1421" s="926"/>
      <c r="E1421" s="926"/>
    </row>
    <row r="1422" spans="1:5" x14ac:dyDescent="0.25">
      <c r="A1422" s="925"/>
      <c r="B1422" s="926"/>
      <c r="C1422" s="926"/>
      <c r="D1422" s="926"/>
      <c r="E1422" s="926"/>
    </row>
    <row r="1423" spans="1:5" x14ac:dyDescent="0.25">
      <c r="A1423" s="925"/>
      <c r="B1423" s="926"/>
      <c r="C1423" s="926"/>
      <c r="D1423" s="926"/>
      <c r="E1423" s="926"/>
    </row>
    <row r="1424" spans="1:5" x14ac:dyDescent="0.25">
      <c r="A1424" s="925"/>
      <c r="B1424" s="926"/>
      <c r="C1424" s="926"/>
      <c r="D1424" s="926"/>
      <c r="E1424" s="926"/>
    </row>
    <row r="1425" spans="1:5" x14ac:dyDescent="0.25">
      <c r="A1425" s="925"/>
      <c r="B1425" s="926"/>
      <c r="C1425" s="926"/>
      <c r="D1425" s="926"/>
      <c r="E1425" s="926"/>
    </row>
    <row r="1426" spans="1:5" x14ac:dyDescent="0.25">
      <c r="A1426" s="925"/>
      <c r="B1426" s="926"/>
      <c r="C1426" s="926"/>
      <c r="D1426" s="926"/>
      <c r="E1426" s="926"/>
    </row>
    <row r="1427" spans="1:5" x14ac:dyDescent="0.25">
      <c r="A1427" s="925"/>
      <c r="B1427" s="926"/>
      <c r="C1427" s="926"/>
      <c r="D1427" s="926"/>
      <c r="E1427" s="926"/>
    </row>
    <row r="1428" spans="1:5" x14ac:dyDescent="0.25">
      <c r="A1428" s="925"/>
      <c r="B1428" s="926"/>
      <c r="C1428" s="926"/>
      <c r="D1428" s="926"/>
      <c r="E1428" s="926"/>
    </row>
    <row r="1429" spans="1:5" x14ac:dyDescent="0.25">
      <c r="A1429" s="925"/>
      <c r="B1429" s="926"/>
      <c r="C1429" s="926"/>
      <c r="D1429" s="926"/>
      <c r="E1429" s="926"/>
    </row>
    <row r="1430" spans="1:5" x14ac:dyDescent="0.25">
      <c r="A1430" s="925"/>
      <c r="B1430" s="926"/>
      <c r="C1430" s="926"/>
      <c r="D1430" s="926"/>
      <c r="E1430" s="926"/>
    </row>
    <row r="1431" spans="1:5" x14ac:dyDescent="0.25">
      <c r="A1431" s="925"/>
      <c r="B1431" s="926"/>
      <c r="C1431" s="926"/>
      <c r="D1431" s="926"/>
      <c r="E1431" s="926"/>
    </row>
    <row r="1432" spans="1:5" x14ac:dyDescent="0.25">
      <c r="A1432" s="925"/>
      <c r="B1432" s="926"/>
      <c r="C1432" s="926"/>
      <c r="D1432" s="926"/>
      <c r="E1432" s="926"/>
    </row>
    <row r="1433" spans="1:5" x14ac:dyDescent="0.25">
      <c r="A1433" s="925"/>
      <c r="B1433" s="926"/>
      <c r="C1433" s="926"/>
      <c r="D1433" s="926"/>
      <c r="E1433" s="926"/>
    </row>
    <row r="1434" spans="1:5" x14ac:dyDescent="0.25">
      <c r="A1434" s="925"/>
      <c r="B1434" s="926"/>
      <c r="C1434" s="926"/>
      <c r="D1434" s="926"/>
      <c r="E1434" s="926"/>
    </row>
    <row r="1435" spans="1:5" x14ac:dyDescent="0.25">
      <c r="A1435" s="925"/>
      <c r="B1435" s="926"/>
      <c r="C1435" s="926"/>
      <c r="D1435" s="926"/>
      <c r="E1435" s="926"/>
    </row>
    <row r="1436" spans="1:5" x14ac:dyDescent="0.25">
      <c r="A1436" s="925"/>
      <c r="B1436" s="926"/>
      <c r="C1436" s="926"/>
      <c r="D1436" s="926"/>
      <c r="E1436" s="926"/>
    </row>
    <row r="1437" spans="1:5" x14ac:dyDescent="0.25">
      <c r="A1437" s="925"/>
      <c r="B1437" s="926"/>
      <c r="C1437" s="926"/>
      <c r="D1437" s="926"/>
      <c r="E1437" s="926"/>
    </row>
    <row r="1438" spans="1:5" x14ac:dyDescent="0.25">
      <c r="A1438" s="925"/>
      <c r="B1438" s="926"/>
      <c r="C1438" s="926"/>
      <c r="D1438" s="926"/>
      <c r="E1438" s="926"/>
    </row>
    <row r="1439" spans="1:5" x14ac:dyDescent="0.25">
      <c r="A1439" s="925"/>
      <c r="B1439" s="926"/>
      <c r="C1439" s="926"/>
      <c r="D1439" s="926"/>
      <c r="E1439" s="926"/>
    </row>
    <row r="1440" spans="1:5" x14ac:dyDescent="0.25">
      <c r="A1440" s="925"/>
      <c r="B1440" s="926"/>
      <c r="C1440" s="926"/>
      <c r="D1440" s="926"/>
      <c r="E1440" s="926"/>
    </row>
    <row r="1441" spans="1:5" x14ac:dyDescent="0.25">
      <c r="A1441" s="925"/>
      <c r="B1441" s="926"/>
      <c r="C1441" s="926"/>
      <c r="D1441" s="926"/>
      <c r="E1441" s="926"/>
    </row>
    <row r="1442" spans="1:5" x14ac:dyDescent="0.25">
      <c r="A1442" s="925"/>
      <c r="B1442" s="926"/>
      <c r="C1442" s="926"/>
      <c r="D1442" s="926"/>
      <c r="E1442" s="926"/>
    </row>
    <row r="1443" spans="1:5" x14ac:dyDescent="0.25">
      <c r="A1443" s="925"/>
      <c r="B1443" s="926"/>
      <c r="C1443" s="926"/>
      <c r="D1443" s="926"/>
      <c r="E1443" s="926"/>
    </row>
    <row r="1444" spans="1:5" x14ac:dyDescent="0.25">
      <c r="A1444" s="925"/>
      <c r="B1444" s="926"/>
      <c r="C1444" s="926"/>
      <c r="D1444" s="926"/>
      <c r="E1444" s="926"/>
    </row>
    <row r="1445" spans="1:5" x14ac:dyDescent="0.25">
      <c r="A1445" s="925"/>
      <c r="B1445" s="926"/>
      <c r="C1445" s="926"/>
      <c r="D1445" s="926"/>
      <c r="E1445" s="926"/>
    </row>
    <row r="1446" spans="1:5" x14ac:dyDescent="0.25">
      <c r="A1446" s="925"/>
      <c r="B1446" s="926"/>
      <c r="C1446" s="926"/>
      <c r="D1446" s="926"/>
      <c r="E1446" s="926"/>
    </row>
    <row r="1447" spans="1:5" x14ac:dyDescent="0.25">
      <c r="A1447" s="925"/>
      <c r="B1447" s="926"/>
      <c r="C1447" s="926"/>
      <c r="D1447" s="926"/>
      <c r="E1447" s="926"/>
    </row>
    <row r="1448" spans="1:5" x14ac:dyDescent="0.25">
      <c r="A1448" s="925"/>
      <c r="B1448" s="926"/>
      <c r="C1448" s="926"/>
      <c r="D1448" s="926"/>
      <c r="E1448" s="926"/>
    </row>
    <row r="1449" spans="1:5" x14ac:dyDescent="0.25">
      <c r="A1449" s="925"/>
      <c r="B1449" s="926"/>
      <c r="C1449" s="926"/>
      <c r="D1449" s="926"/>
      <c r="E1449" s="926"/>
    </row>
    <row r="1450" spans="1:5" x14ac:dyDescent="0.25">
      <c r="A1450" s="925"/>
      <c r="B1450" s="926"/>
      <c r="C1450" s="926"/>
      <c r="D1450" s="926"/>
      <c r="E1450" s="926"/>
    </row>
    <row r="1451" spans="1:5" x14ac:dyDescent="0.25">
      <c r="A1451" s="925"/>
      <c r="B1451" s="926"/>
      <c r="C1451" s="926"/>
      <c r="D1451" s="926"/>
      <c r="E1451" s="926"/>
    </row>
    <row r="1452" spans="1:5" x14ac:dyDescent="0.25">
      <c r="A1452" s="925"/>
      <c r="B1452" s="926"/>
      <c r="C1452" s="926"/>
      <c r="D1452" s="926"/>
      <c r="E1452" s="926"/>
    </row>
    <row r="1453" spans="1:5" x14ac:dyDescent="0.25">
      <c r="A1453" s="925"/>
      <c r="B1453" s="926"/>
      <c r="C1453" s="926"/>
      <c r="D1453" s="926"/>
      <c r="E1453" s="926"/>
    </row>
    <row r="1454" spans="1:5" x14ac:dyDescent="0.25">
      <c r="A1454" s="925"/>
      <c r="B1454" s="926"/>
      <c r="C1454" s="926"/>
      <c r="D1454" s="926"/>
      <c r="E1454" s="926"/>
    </row>
    <row r="1455" spans="1:5" x14ac:dyDescent="0.25">
      <c r="A1455" s="925"/>
      <c r="B1455" s="926"/>
      <c r="C1455" s="926"/>
      <c r="D1455" s="926"/>
      <c r="E1455" s="926"/>
    </row>
    <row r="1456" spans="1:5" x14ac:dyDescent="0.25">
      <c r="A1456" s="925"/>
      <c r="B1456" s="926"/>
      <c r="C1456" s="926"/>
      <c r="D1456" s="926"/>
      <c r="E1456" s="926"/>
    </row>
    <row r="1457" spans="1:5" x14ac:dyDescent="0.25">
      <c r="A1457" s="925"/>
      <c r="B1457" s="926"/>
      <c r="C1457" s="926"/>
      <c r="D1457" s="926"/>
      <c r="E1457" s="926"/>
    </row>
    <row r="1458" spans="1:5" x14ac:dyDescent="0.25">
      <c r="A1458" s="925"/>
      <c r="B1458" s="926"/>
      <c r="C1458" s="926"/>
      <c r="D1458" s="926"/>
      <c r="E1458" s="926"/>
    </row>
    <row r="1459" spans="1:5" x14ac:dyDescent="0.25">
      <c r="A1459" s="925"/>
      <c r="B1459" s="926"/>
      <c r="C1459" s="926"/>
      <c r="D1459" s="926"/>
      <c r="E1459" s="926"/>
    </row>
    <row r="1460" spans="1:5" x14ac:dyDescent="0.25">
      <c r="A1460" s="925"/>
      <c r="B1460" s="926"/>
      <c r="C1460" s="926"/>
      <c r="D1460" s="926"/>
      <c r="E1460" s="926"/>
    </row>
    <row r="1461" spans="1:5" x14ac:dyDescent="0.25">
      <c r="A1461" s="925"/>
      <c r="B1461" s="926"/>
      <c r="C1461" s="926"/>
      <c r="D1461" s="926"/>
      <c r="E1461" s="926"/>
    </row>
    <row r="1462" spans="1:5" x14ac:dyDescent="0.25">
      <c r="A1462" s="925"/>
      <c r="B1462" s="926"/>
      <c r="C1462" s="926"/>
      <c r="D1462" s="926"/>
      <c r="E1462" s="926"/>
    </row>
    <row r="1463" spans="1:5" x14ac:dyDescent="0.25">
      <c r="A1463" s="925"/>
      <c r="B1463" s="926"/>
      <c r="C1463" s="926"/>
      <c r="D1463" s="926"/>
      <c r="E1463" s="926"/>
    </row>
    <row r="1464" spans="1:5" x14ac:dyDescent="0.25">
      <c r="A1464" s="925"/>
      <c r="B1464" s="926"/>
      <c r="C1464" s="926"/>
      <c r="D1464" s="926"/>
      <c r="E1464" s="926"/>
    </row>
    <row r="1465" spans="1:5" x14ac:dyDescent="0.25">
      <c r="A1465" s="925"/>
      <c r="B1465" s="926"/>
      <c r="C1465" s="926"/>
      <c r="D1465" s="926"/>
      <c r="E1465" s="926"/>
    </row>
    <row r="1466" spans="1:5" x14ac:dyDescent="0.25">
      <c r="A1466" s="925"/>
      <c r="B1466" s="926"/>
      <c r="C1466" s="926"/>
      <c r="D1466" s="926"/>
      <c r="E1466" s="926"/>
    </row>
    <row r="1467" spans="1:5" x14ac:dyDescent="0.25">
      <c r="A1467" s="925"/>
      <c r="B1467" s="926"/>
      <c r="C1467" s="926"/>
      <c r="D1467" s="926"/>
      <c r="E1467" s="926"/>
    </row>
    <row r="1468" spans="1:5" x14ac:dyDescent="0.25">
      <c r="A1468" s="925"/>
      <c r="B1468" s="926"/>
      <c r="C1468" s="926"/>
      <c r="D1468" s="926"/>
      <c r="E1468" s="926"/>
    </row>
    <row r="1469" spans="1:5" x14ac:dyDescent="0.25">
      <c r="A1469" s="925"/>
      <c r="B1469" s="926"/>
      <c r="C1469" s="926"/>
      <c r="D1469" s="926"/>
      <c r="E1469" s="926"/>
    </row>
    <row r="1470" spans="1:5" x14ac:dyDescent="0.25">
      <c r="A1470" s="925"/>
      <c r="B1470" s="926"/>
      <c r="C1470" s="926"/>
      <c r="D1470" s="926"/>
      <c r="E1470" s="926"/>
    </row>
    <row r="1471" spans="1:5" x14ac:dyDescent="0.25">
      <c r="A1471" s="925"/>
      <c r="B1471" s="926"/>
      <c r="C1471" s="926"/>
      <c r="D1471" s="926"/>
      <c r="E1471" s="926"/>
    </row>
    <row r="1472" spans="1:5" x14ac:dyDescent="0.25">
      <c r="A1472" s="925"/>
      <c r="B1472" s="926"/>
      <c r="C1472" s="926"/>
      <c r="D1472" s="926"/>
      <c r="E1472" s="926"/>
    </row>
    <row r="1473" spans="1:5" x14ac:dyDescent="0.25">
      <c r="A1473" s="925"/>
      <c r="B1473" s="926"/>
      <c r="C1473" s="926"/>
      <c r="D1473" s="926"/>
      <c r="E1473" s="926"/>
    </row>
    <row r="1474" spans="1:5" x14ac:dyDescent="0.25">
      <c r="A1474" s="925"/>
      <c r="B1474" s="926"/>
      <c r="C1474" s="926"/>
      <c r="D1474" s="926"/>
      <c r="E1474" s="926"/>
    </row>
    <row r="1475" spans="1:5" x14ac:dyDescent="0.25">
      <c r="A1475" s="925"/>
      <c r="B1475" s="926"/>
      <c r="C1475" s="926"/>
      <c r="D1475" s="926"/>
      <c r="E1475" s="926"/>
    </row>
    <row r="1476" spans="1:5" x14ac:dyDescent="0.25">
      <c r="A1476" s="925"/>
      <c r="B1476" s="926"/>
      <c r="C1476" s="926"/>
      <c r="D1476" s="926"/>
      <c r="E1476" s="926"/>
    </row>
    <row r="1477" spans="1:5" x14ac:dyDescent="0.25">
      <c r="A1477" s="925"/>
      <c r="B1477" s="926"/>
      <c r="C1477" s="926"/>
      <c r="D1477" s="926"/>
      <c r="E1477" s="926"/>
    </row>
    <row r="1478" spans="1:5" x14ac:dyDescent="0.25">
      <c r="A1478" s="925"/>
      <c r="B1478" s="926"/>
      <c r="C1478" s="926"/>
      <c r="D1478" s="926"/>
      <c r="E1478" s="926"/>
    </row>
    <row r="1479" spans="1:5" x14ac:dyDescent="0.25">
      <c r="A1479" s="925"/>
      <c r="B1479" s="926"/>
      <c r="C1479" s="926"/>
      <c r="D1479" s="926"/>
      <c r="E1479" s="926"/>
    </row>
    <row r="1480" spans="1:5" x14ac:dyDescent="0.25">
      <c r="A1480" s="925"/>
      <c r="B1480" s="926"/>
      <c r="C1480" s="926"/>
      <c r="D1480" s="926"/>
      <c r="E1480" s="926"/>
    </row>
    <row r="1481" spans="1:5" x14ac:dyDescent="0.25">
      <c r="A1481" s="925"/>
      <c r="B1481" s="926"/>
      <c r="C1481" s="926"/>
      <c r="D1481" s="926"/>
      <c r="E1481" s="926"/>
    </row>
    <row r="1482" spans="1:5" x14ac:dyDescent="0.25">
      <c r="A1482" s="925"/>
      <c r="B1482" s="926"/>
      <c r="C1482" s="926"/>
      <c r="D1482" s="926"/>
      <c r="E1482" s="926"/>
    </row>
    <row r="1483" spans="1:5" x14ac:dyDescent="0.25">
      <c r="A1483" s="925"/>
      <c r="B1483" s="926"/>
      <c r="C1483" s="926"/>
      <c r="D1483" s="926"/>
      <c r="E1483" s="926"/>
    </row>
    <row r="1484" spans="1:5" x14ac:dyDescent="0.25">
      <c r="A1484" s="925"/>
      <c r="B1484" s="926"/>
      <c r="C1484" s="926"/>
      <c r="D1484" s="926"/>
      <c r="E1484" s="926"/>
    </row>
    <row r="1485" spans="1:5" x14ac:dyDescent="0.25">
      <c r="A1485" s="925"/>
      <c r="B1485" s="926"/>
      <c r="C1485" s="926"/>
      <c r="D1485" s="926"/>
      <c r="E1485" s="926"/>
    </row>
    <row r="1486" spans="1:5" x14ac:dyDescent="0.25">
      <c r="A1486" s="925"/>
      <c r="B1486" s="926"/>
      <c r="C1486" s="926"/>
      <c r="D1486" s="926"/>
      <c r="E1486" s="926"/>
    </row>
    <row r="1487" spans="1:5" x14ac:dyDescent="0.25">
      <c r="A1487" s="925"/>
      <c r="B1487" s="926"/>
      <c r="C1487" s="926"/>
      <c r="D1487" s="926"/>
      <c r="E1487" s="926"/>
    </row>
    <row r="1488" spans="1:5" x14ac:dyDescent="0.25">
      <c r="A1488" s="925"/>
      <c r="B1488" s="926"/>
      <c r="C1488" s="926"/>
      <c r="D1488" s="926"/>
      <c r="E1488" s="926"/>
    </row>
    <row r="1489" spans="1:5" x14ac:dyDescent="0.25">
      <c r="A1489" s="925"/>
      <c r="B1489" s="926"/>
      <c r="C1489" s="926"/>
      <c r="D1489" s="926"/>
      <c r="E1489" s="926"/>
    </row>
    <row r="1490" spans="1:5" x14ac:dyDescent="0.25">
      <c r="A1490" s="925"/>
      <c r="B1490" s="926"/>
      <c r="C1490" s="926"/>
      <c r="D1490" s="926"/>
      <c r="E1490" s="926"/>
    </row>
    <row r="1491" spans="1:5" x14ac:dyDescent="0.25">
      <c r="A1491" s="925"/>
      <c r="B1491" s="926"/>
      <c r="C1491" s="926"/>
      <c r="D1491" s="926"/>
      <c r="E1491" s="926"/>
    </row>
    <row r="1492" spans="1:5" x14ac:dyDescent="0.25">
      <c r="A1492" s="925"/>
      <c r="B1492" s="926"/>
      <c r="C1492" s="926"/>
      <c r="D1492" s="926"/>
      <c r="E1492" s="926"/>
    </row>
    <row r="1493" spans="1:5" x14ac:dyDescent="0.25">
      <c r="A1493" s="925"/>
      <c r="B1493" s="926"/>
      <c r="C1493" s="926"/>
      <c r="D1493" s="926"/>
      <c r="E1493" s="926"/>
    </row>
    <row r="1494" spans="1:5" x14ac:dyDescent="0.25">
      <c r="A1494" s="925"/>
      <c r="B1494" s="926"/>
      <c r="C1494" s="926"/>
      <c r="D1494" s="926"/>
      <c r="E1494" s="926"/>
    </row>
    <row r="1495" spans="1:5" x14ac:dyDescent="0.25">
      <c r="A1495" s="925"/>
      <c r="B1495" s="926"/>
      <c r="C1495" s="926"/>
      <c r="D1495" s="926"/>
      <c r="E1495" s="926"/>
    </row>
    <row r="1496" spans="1:5" x14ac:dyDescent="0.25">
      <c r="A1496" s="925"/>
      <c r="B1496" s="926"/>
      <c r="C1496" s="926"/>
      <c r="D1496" s="926"/>
      <c r="E1496" s="926"/>
    </row>
    <row r="1497" spans="1:5" x14ac:dyDescent="0.25">
      <c r="A1497" s="925"/>
      <c r="B1497" s="926"/>
      <c r="C1497" s="926"/>
      <c r="D1497" s="926"/>
      <c r="E1497" s="926"/>
    </row>
    <row r="1498" spans="1:5" x14ac:dyDescent="0.25">
      <c r="A1498" s="925"/>
      <c r="B1498" s="926"/>
      <c r="C1498" s="926"/>
      <c r="D1498" s="926"/>
      <c r="E1498" s="926"/>
    </row>
    <row r="1499" spans="1:5" x14ac:dyDescent="0.25">
      <c r="A1499" s="925"/>
      <c r="B1499" s="926"/>
      <c r="C1499" s="926"/>
      <c r="D1499" s="926"/>
      <c r="E1499" s="926"/>
    </row>
    <row r="1500" spans="1:5" x14ac:dyDescent="0.25">
      <c r="A1500" s="925"/>
      <c r="B1500" s="926"/>
      <c r="C1500" s="926"/>
      <c r="D1500" s="926"/>
      <c r="E1500" s="926"/>
    </row>
    <row r="1501" spans="1:5" x14ac:dyDescent="0.25">
      <c r="A1501" s="925"/>
      <c r="B1501" s="926"/>
      <c r="C1501" s="926"/>
      <c r="D1501" s="926"/>
      <c r="E1501" s="926"/>
    </row>
    <row r="1502" spans="1:5" x14ac:dyDescent="0.25">
      <c r="A1502" s="925"/>
      <c r="B1502" s="926"/>
      <c r="C1502" s="926"/>
      <c r="D1502" s="926"/>
      <c r="E1502" s="926"/>
    </row>
    <row r="1503" spans="1:5" x14ac:dyDescent="0.25">
      <c r="A1503" s="925"/>
      <c r="B1503" s="926"/>
      <c r="C1503" s="926"/>
      <c r="D1503" s="926"/>
      <c r="E1503" s="926"/>
    </row>
    <row r="1504" spans="1:5" x14ac:dyDescent="0.25">
      <c r="A1504" s="925"/>
      <c r="B1504" s="926"/>
      <c r="C1504" s="926"/>
      <c r="D1504" s="926"/>
      <c r="E1504" s="926"/>
    </row>
    <row r="1505" spans="1:5" x14ac:dyDescent="0.25">
      <c r="A1505" s="925"/>
      <c r="B1505" s="926"/>
      <c r="C1505" s="926"/>
      <c r="D1505" s="926"/>
      <c r="E1505" s="926"/>
    </row>
    <row r="1506" spans="1:5" x14ac:dyDescent="0.25">
      <c r="A1506" s="925"/>
      <c r="B1506" s="926"/>
      <c r="C1506" s="926"/>
      <c r="D1506" s="926"/>
      <c r="E1506" s="926"/>
    </row>
    <row r="1507" spans="1:5" x14ac:dyDescent="0.25">
      <c r="A1507" s="925"/>
      <c r="B1507" s="926"/>
      <c r="C1507" s="926"/>
      <c r="D1507" s="926"/>
      <c r="E1507" s="926"/>
    </row>
    <row r="1508" spans="1:5" x14ac:dyDescent="0.25">
      <c r="A1508" s="925"/>
      <c r="B1508" s="926"/>
      <c r="C1508" s="926"/>
      <c r="D1508" s="926"/>
      <c r="E1508" s="926"/>
    </row>
    <row r="1509" spans="1:5" x14ac:dyDescent="0.25">
      <c r="A1509" s="925"/>
      <c r="B1509" s="926"/>
      <c r="C1509" s="926"/>
      <c r="D1509" s="926"/>
      <c r="E1509" s="926"/>
    </row>
    <row r="1510" spans="1:5" x14ac:dyDescent="0.25">
      <c r="A1510" s="925"/>
      <c r="B1510" s="926"/>
      <c r="C1510" s="926"/>
      <c r="D1510" s="926"/>
      <c r="E1510" s="926"/>
    </row>
    <row r="1511" spans="1:5" x14ac:dyDescent="0.25">
      <c r="A1511" s="925"/>
      <c r="B1511" s="926"/>
      <c r="C1511" s="926"/>
      <c r="D1511" s="926"/>
      <c r="E1511" s="926"/>
    </row>
    <row r="1512" spans="1:5" x14ac:dyDescent="0.25">
      <c r="A1512" s="925"/>
      <c r="B1512" s="926"/>
      <c r="C1512" s="926"/>
      <c r="D1512" s="926"/>
      <c r="E1512" s="926"/>
    </row>
    <row r="1513" spans="1:5" x14ac:dyDescent="0.25">
      <c r="A1513" s="925"/>
      <c r="B1513" s="926"/>
      <c r="C1513" s="926"/>
      <c r="D1513" s="926"/>
      <c r="E1513" s="926"/>
    </row>
    <row r="1514" spans="1:5" x14ac:dyDescent="0.25">
      <c r="A1514" s="925"/>
      <c r="B1514" s="926"/>
      <c r="C1514" s="926"/>
      <c r="D1514" s="926"/>
      <c r="E1514" s="926"/>
    </row>
    <row r="1515" spans="1:5" x14ac:dyDescent="0.25">
      <c r="A1515" s="925"/>
      <c r="B1515" s="926"/>
      <c r="C1515" s="926"/>
      <c r="D1515" s="926"/>
      <c r="E1515" s="926"/>
    </row>
    <row r="1516" spans="1:5" x14ac:dyDescent="0.25">
      <c r="A1516" s="925"/>
      <c r="B1516" s="926"/>
      <c r="C1516" s="926"/>
      <c r="D1516" s="926"/>
      <c r="E1516" s="926"/>
    </row>
    <row r="1517" spans="1:5" x14ac:dyDescent="0.25">
      <c r="A1517" s="925"/>
      <c r="B1517" s="926"/>
      <c r="C1517" s="926"/>
      <c r="D1517" s="926"/>
      <c r="E1517" s="926"/>
    </row>
    <row r="1518" spans="1:5" x14ac:dyDescent="0.25">
      <c r="A1518" s="925"/>
      <c r="B1518" s="926"/>
      <c r="C1518" s="926"/>
      <c r="D1518" s="926"/>
      <c r="E1518" s="926"/>
    </row>
    <row r="1519" spans="1:5" x14ac:dyDescent="0.25">
      <c r="A1519" s="925"/>
      <c r="B1519" s="926"/>
      <c r="C1519" s="926"/>
      <c r="D1519" s="926"/>
      <c r="E1519" s="926"/>
    </row>
    <row r="1520" spans="1:5" x14ac:dyDescent="0.25">
      <c r="A1520" s="925"/>
      <c r="B1520" s="926"/>
      <c r="C1520" s="926"/>
      <c r="D1520" s="926"/>
      <c r="E1520" s="926"/>
    </row>
    <row r="1521" spans="1:5" x14ac:dyDescent="0.25">
      <c r="A1521" s="925"/>
      <c r="B1521" s="926"/>
      <c r="C1521" s="926"/>
      <c r="D1521" s="926"/>
      <c r="E1521" s="926"/>
    </row>
    <row r="1522" spans="1:5" x14ac:dyDescent="0.25">
      <c r="A1522" s="925"/>
      <c r="B1522" s="926"/>
      <c r="C1522" s="926"/>
      <c r="D1522" s="926"/>
      <c r="E1522" s="926"/>
    </row>
    <row r="1523" spans="1:5" x14ac:dyDescent="0.25">
      <c r="A1523" s="925"/>
      <c r="B1523" s="926"/>
      <c r="C1523" s="926"/>
      <c r="D1523" s="926"/>
      <c r="E1523" s="926"/>
    </row>
    <row r="1524" spans="1:5" x14ac:dyDescent="0.25">
      <c r="A1524" s="925"/>
      <c r="B1524" s="926"/>
      <c r="C1524" s="926"/>
      <c r="D1524" s="926"/>
      <c r="E1524" s="926"/>
    </row>
    <row r="1525" spans="1:5" x14ac:dyDescent="0.25">
      <c r="A1525" s="925"/>
      <c r="B1525" s="926"/>
      <c r="C1525" s="926"/>
      <c r="D1525" s="926"/>
      <c r="E1525" s="926"/>
    </row>
    <row r="1526" spans="1:5" x14ac:dyDescent="0.25">
      <c r="A1526" s="925"/>
      <c r="B1526" s="926"/>
      <c r="C1526" s="926"/>
      <c r="D1526" s="926"/>
      <c r="E1526" s="926"/>
    </row>
    <row r="1527" spans="1:5" x14ac:dyDescent="0.25">
      <c r="A1527" s="925"/>
      <c r="B1527" s="926"/>
      <c r="C1527" s="926"/>
      <c r="D1527" s="926"/>
      <c r="E1527" s="926"/>
    </row>
    <row r="1528" spans="1:5" x14ac:dyDescent="0.25">
      <c r="A1528" s="925"/>
      <c r="B1528" s="926"/>
      <c r="C1528" s="926"/>
      <c r="D1528" s="926"/>
      <c r="E1528" s="926"/>
    </row>
    <row r="1529" spans="1:5" x14ac:dyDescent="0.25">
      <c r="A1529" s="925"/>
      <c r="B1529" s="926"/>
      <c r="C1529" s="926"/>
      <c r="D1529" s="926"/>
      <c r="E1529" s="926"/>
    </row>
    <row r="1530" spans="1:5" x14ac:dyDescent="0.25">
      <c r="A1530" s="925"/>
      <c r="B1530" s="926"/>
      <c r="C1530" s="926"/>
      <c r="D1530" s="926"/>
      <c r="E1530" s="926"/>
    </row>
    <row r="1531" spans="1:5" x14ac:dyDescent="0.25">
      <c r="A1531" s="925"/>
      <c r="B1531" s="926"/>
      <c r="C1531" s="926"/>
      <c r="D1531" s="926"/>
      <c r="E1531" s="926"/>
    </row>
    <row r="1532" spans="1:5" x14ac:dyDescent="0.25">
      <c r="A1532" s="925"/>
      <c r="B1532" s="926"/>
      <c r="C1532" s="926"/>
      <c r="D1532" s="926"/>
      <c r="E1532" s="926"/>
    </row>
    <row r="1533" spans="1:5" x14ac:dyDescent="0.25">
      <c r="A1533" s="925"/>
      <c r="B1533" s="926"/>
      <c r="C1533" s="926"/>
      <c r="D1533" s="926"/>
      <c r="E1533" s="926"/>
    </row>
    <row r="1534" spans="1:5" x14ac:dyDescent="0.25">
      <c r="A1534" s="925"/>
      <c r="B1534" s="926"/>
      <c r="C1534" s="926"/>
      <c r="D1534" s="926"/>
      <c r="E1534" s="926"/>
    </row>
    <row r="1535" spans="1:5" x14ac:dyDescent="0.25">
      <c r="A1535" s="925"/>
      <c r="B1535" s="926"/>
      <c r="C1535" s="926"/>
      <c r="D1535" s="926"/>
      <c r="E1535" s="926"/>
    </row>
    <row r="1536" spans="1:5" x14ac:dyDescent="0.25">
      <c r="A1536" s="925"/>
      <c r="B1536" s="926"/>
      <c r="C1536" s="926"/>
      <c r="D1536" s="926"/>
      <c r="E1536" s="926"/>
    </row>
    <row r="1537" spans="1:5" x14ac:dyDescent="0.25">
      <c r="A1537" s="925"/>
      <c r="B1537" s="926"/>
      <c r="C1537" s="926"/>
      <c r="D1537" s="926"/>
      <c r="E1537" s="926"/>
    </row>
    <row r="1538" spans="1:5" x14ac:dyDescent="0.25">
      <c r="A1538" s="925"/>
      <c r="B1538" s="926"/>
      <c r="C1538" s="926"/>
      <c r="D1538" s="926"/>
      <c r="E1538" s="926"/>
    </row>
    <row r="1539" spans="1:5" x14ac:dyDescent="0.25">
      <c r="A1539" s="925"/>
      <c r="B1539" s="926"/>
      <c r="C1539" s="926"/>
      <c r="D1539" s="926"/>
      <c r="E1539" s="926"/>
    </row>
    <row r="1540" spans="1:5" x14ac:dyDescent="0.25">
      <c r="A1540" s="925"/>
      <c r="B1540" s="926"/>
      <c r="C1540" s="926"/>
      <c r="D1540" s="926"/>
      <c r="E1540" s="926"/>
    </row>
    <row r="1541" spans="1:5" x14ac:dyDescent="0.25">
      <c r="A1541" s="925"/>
      <c r="B1541" s="926"/>
      <c r="C1541" s="926"/>
      <c r="D1541" s="926"/>
      <c r="E1541" s="926"/>
    </row>
    <row r="1542" spans="1:5" x14ac:dyDescent="0.25">
      <c r="A1542" s="925"/>
      <c r="B1542" s="926"/>
      <c r="C1542" s="926"/>
      <c r="D1542" s="926"/>
      <c r="E1542" s="926"/>
    </row>
    <row r="1543" spans="1:5" x14ac:dyDescent="0.25">
      <c r="A1543" s="925"/>
      <c r="B1543" s="926"/>
      <c r="C1543" s="926"/>
      <c r="D1543" s="926"/>
      <c r="E1543" s="926"/>
    </row>
    <row r="1544" spans="1:5" x14ac:dyDescent="0.25">
      <c r="A1544" s="925"/>
      <c r="B1544" s="926"/>
      <c r="C1544" s="926"/>
      <c r="D1544" s="926"/>
      <c r="E1544" s="926"/>
    </row>
    <row r="1545" spans="1:5" x14ac:dyDescent="0.25">
      <c r="A1545" s="925"/>
      <c r="B1545" s="926"/>
      <c r="C1545" s="926"/>
      <c r="D1545" s="926"/>
      <c r="E1545" s="926"/>
    </row>
    <row r="1546" spans="1:5" x14ac:dyDescent="0.25">
      <c r="A1546" s="925"/>
      <c r="B1546" s="926"/>
      <c r="C1546" s="926"/>
      <c r="D1546" s="926"/>
      <c r="E1546" s="926"/>
    </row>
    <row r="1547" spans="1:5" x14ac:dyDescent="0.25">
      <c r="A1547" s="925"/>
      <c r="B1547" s="926"/>
      <c r="C1547" s="926"/>
      <c r="D1547" s="926"/>
      <c r="E1547" s="926"/>
    </row>
    <row r="1548" spans="1:5" x14ac:dyDescent="0.25">
      <c r="A1548" s="925"/>
      <c r="B1548" s="926"/>
      <c r="C1548" s="926"/>
      <c r="D1548" s="926"/>
      <c r="E1548" s="926"/>
    </row>
    <row r="1549" spans="1:5" x14ac:dyDescent="0.25">
      <c r="A1549" s="925"/>
      <c r="B1549" s="926"/>
      <c r="C1549" s="926"/>
      <c r="D1549" s="926"/>
      <c r="E1549" s="926"/>
    </row>
    <row r="1550" spans="1:5" x14ac:dyDescent="0.25">
      <c r="A1550" s="925"/>
      <c r="B1550" s="926"/>
      <c r="C1550" s="926"/>
      <c r="D1550" s="926"/>
      <c r="E1550" s="926"/>
    </row>
    <row r="1551" spans="1:5" x14ac:dyDescent="0.25">
      <c r="A1551" s="925"/>
      <c r="B1551" s="926"/>
      <c r="C1551" s="926"/>
      <c r="D1551" s="926"/>
      <c r="E1551" s="926"/>
    </row>
    <row r="1552" spans="1:5" x14ac:dyDescent="0.25">
      <c r="A1552" s="925"/>
      <c r="B1552" s="926"/>
      <c r="C1552" s="926"/>
      <c r="D1552" s="926"/>
      <c r="E1552" s="926"/>
    </row>
    <row r="1553" spans="1:5" x14ac:dyDescent="0.25">
      <c r="A1553" s="925"/>
      <c r="B1553" s="926"/>
      <c r="C1553" s="926"/>
      <c r="D1553" s="926"/>
      <c r="E1553" s="926"/>
    </row>
    <row r="1554" spans="1:5" x14ac:dyDescent="0.25">
      <c r="A1554" s="925"/>
      <c r="B1554" s="926"/>
      <c r="C1554" s="926"/>
      <c r="D1554" s="926"/>
      <c r="E1554" s="926"/>
    </row>
    <row r="1555" spans="1:5" x14ac:dyDescent="0.25">
      <c r="A1555" s="925"/>
      <c r="B1555" s="926"/>
      <c r="C1555" s="926"/>
      <c r="D1555" s="926"/>
      <c r="E1555" s="926"/>
    </row>
    <row r="1556" spans="1:5" x14ac:dyDescent="0.25">
      <c r="A1556" s="925"/>
      <c r="B1556" s="926"/>
      <c r="C1556" s="926"/>
      <c r="D1556" s="926"/>
      <c r="E1556" s="926"/>
    </row>
    <row r="1557" spans="1:5" x14ac:dyDescent="0.25">
      <c r="A1557" s="925"/>
      <c r="B1557" s="926"/>
      <c r="C1557" s="926"/>
      <c r="D1557" s="926"/>
      <c r="E1557" s="926"/>
    </row>
    <row r="1558" spans="1:5" x14ac:dyDescent="0.25">
      <c r="A1558" s="925"/>
      <c r="B1558" s="926"/>
      <c r="C1558" s="926"/>
      <c r="D1558" s="926"/>
      <c r="E1558" s="926"/>
    </row>
    <row r="1559" spans="1:5" x14ac:dyDescent="0.25">
      <c r="A1559" s="925"/>
      <c r="B1559" s="926"/>
      <c r="C1559" s="926"/>
      <c r="D1559" s="926"/>
      <c r="E1559" s="926"/>
    </row>
    <row r="1560" spans="1:5" x14ac:dyDescent="0.25">
      <c r="A1560" s="925"/>
      <c r="B1560" s="926"/>
      <c r="C1560" s="926"/>
      <c r="D1560" s="926"/>
      <c r="E1560" s="926"/>
    </row>
    <row r="1561" spans="1:5" x14ac:dyDescent="0.25">
      <c r="A1561" s="925"/>
      <c r="B1561" s="926"/>
      <c r="C1561" s="926"/>
      <c r="D1561" s="926"/>
      <c r="E1561" s="926"/>
    </row>
    <row r="1562" spans="1:5" x14ac:dyDescent="0.25">
      <c r="A1562" s="925"/>
      <c r="B1562" s="926"/>
      <c r="C1562" s="926"/>
      <c r="D1562" s="926"/>
      <c r="E1562" s="926"/>
    </row>
    <row r="1563" spans="1:5" x14ac:dyDescent="0.25">
      <c r="A1563" s="925"/>
      <c r="B1563" s="926"/>
      <c r="C1563" s="926"/>
      <c r="D1563" s="926"/>
      <c r="E1563" s="926"/>
    </row>
    <row r="1564" spans="1:5" x14ac:dyDescent="0.25">
      <c r="A1564" s="925"/>
      <c r="B1564" s="926"/>
      <c r="C1564" s="926"/>
      <c r="D1564" s="926"/>
      <c r="E1564" s="926"/>
    </row>
    <row r="1565" spans="1:5" x14ac:dyDescent="0.25">
      <c r="A1565" s="925"/>
      <c r="B1565" s="926"/>
      <c r="C1565" s="926"/>
      <c r="D1565" s="926"/>
      <c r="E1565" s="926"/>
    </row>
    <row r="1566" spans="1:5" x14ac:dyDescent="0.25">
      <c r="A1566" s="925"/>
      <c r="B1566" s="926"/>
      <c r="C1566" s="926"/>
      <c r="D1566" s="926"/>
      <c r="E1566" s="926"/>
    </row>
    <row r="1567" spans="1:5" x14ac:dyDescent="0.25">
      <c r="A1567" s="925"/>
      <c r="B1567" s="926"/>
      <c r="C1567" s="926"/>
      <c r="D1567" s="926"/>
      <c r="E1567" s="926"/>
    </row>
    <row r="1568" spans="1:5" x14ac:dyDescent="0.25">
      <c r="A1568" s="925"/>
      <c r="B1568" s="926"/>
      <c r="C1568" s="926"/>
      <c r="D1568" s="926"/>
      <c r="E1568" s="926"/>
    </row>
    <row r="1569" spans="1:5" x14ac:dyDescent="0.25">
      <c r="A1569" s="925"/>
      <c r="B1569" s="926"/>
      <c r="C1569" s="926"/>
      <c r="D1569" s="926"/>
      <c r="E1569" s="926"/>
    </row>
    <row r="1570" spans="1:5" x14ac:dyDescent="0.25">
      <c r="A1570" s="925"/>
      <c r="B1570" s="926"/>
      <c r="C1570" s="926"/>
      <c r="D1570" s="926"/>
      <c r="E1570" s="926"/>
    </row>
    <row r="1571" spans="1:5" x14ac:dyDescent="0.25">
      <c r="A1571" s="925"/>
      <c r="B1571" s="926"/>
      <c r="C1571" s="926"/>
      <c r="D1571" s="926"/>
      <c r="E1571" s="926"/>
    </row>
    <row r="1572" spans="1:5" x14ac:dyDescent="0.25">
      <c r="A1572" s="925"/>
      <c r="B1572" s="926"/>
      <c r="C1572" s="926"/>
      <c r="D1572" s="926"/>
      <c r="E1572" s="926"/>
    </row>
    <row r="1573" spans="1:5" x14ac:dyDescent="0.25">
      <c r="A1573" s="925"/>
      <c r="B1573" s="926"/>
      <c r="C1573" s="926"/>
      <c r="D1573" s="926"/>
      <c r="E1573" s="926"/>
    </row>
    <row r="1574" spans="1:5" x14ac:dyDescent="0.25">
      <c r="A1574" s="925"/>
      <c r="B1574" s="926"/>
      <c r="C1574" s="926"/>
      <c r="D1574" s="926"/>
      <c r="E1574" s="926"/>
    </row>
    <row r="1575" spans="1:5" x14ac:dyDescent="0.25">
      <c r="A1575" s="925"/>
      <c r="B1575" s="926"/>
      <c r="C1575" s="926"/>
      <c r="D1575" s="926"/>
      <c r="E1575" s="926"/>
    </row>
    <row r="1576" spans="1:5" x14ac:dyDescent="0.25">
      <c r="A1576" s="925"/>
      <c r="B1576" s="926"/>
      <c r="C1576" s="926"/>
      <c r="D1576" s="926"/>
      <c r="E1576" s="926"/>
    </row>
    <row r="1577" spans="1:5" x14ac:dyDescent="0.25">
      <c r="A1577" s="925"/>
      <c r="B1577" s="926"/>
      <c r="C1577" s="926"/>
      <c r="D1577" s="926"/>
      <c r="E1577" s="926"/>
    </row>
    <row r="1578" spans="1:5" x14ac:dyDescent="0.25">
      <c r="A1578" s="925"/>
      <c r="B1578" s="926"/>
      <c r="C1578" s="926"/>
      <c r="D1578" s="926"/>
      <c r="E1578" s="926"/>
    </row>
    <row r="1579" spans="1:5" x14ac:dyDescent="0.25">
      <c r="A1579" s="925"/>
      <c r="B1579" s="926"/>
      <c r="C1579" s="926"/>
      <c r="D1579" s="926"/>
      <c r="E1579" s="926"/>
    </row>
    <row r="1580" spans="1:5" x14ac:dyDescent="0.25">
      <c r="A1580" s="925"/>
      <c r="B1580" s="926"/>
      <c r="C1580" s="926"/>
      <c r="D1580" s="926"/>
      <c r="E1580" s="926"/>
    </row>
    <row r="1581" spans="1:5" x14ac:dyDescent="0.25">
      <c r="A1581" s="925"/>
      <c r="B1581" s="926"/>
      <c r="C1581" s="926"/>
      <c r="D1581" s="926"/>
      <c r="E1581" s="926"/>
    </row>
    <row r="1582" spans="1:5" x14ac:dyDescent="0.25">
      <c r="A1582" s="925"/>
      <c r="B1582" s="926"/>
      <c r="C1582" s="926"/>
      <c r="D1582" s="926"/>
      <c r="E1582" s="926"/>
    </row>
    <row r="1583" spans="1:5" x14ac:dyDescent="0.25">
      <c r="A1583" s="925"/>
      <c r="B1583" s="926"/>
      <c r="C1583" s="926"/>
      <c r="D1583" s="926"/>
      <c r="E1583" s="926"/>
    </row>
    <row r="1584" spans="1:5" x14ac:dyDescent="0.25">
      <c r="A1584" s="925"/>
      <c r="B1584" s="926"/>
      <c r="C1584" s="926"/>
      <c r="D1584" s="926"/>
      <c r="E1584" s="926"/>
    </row>
    <row r="1585" spans="1:5" x14ac:dyDescent="0.25">
      <c r="A1585" s="925"/>
      <c r="B1585" s="926"/>
      <c r="C1585" s="926"/>
      <c r="D1585" s="926"/>
      <c r="E1585" s="926"/>
    </row>
    <row r="1586" spans="1:5" x14ac:dyDescent="0.25">
      <c r="A1586" s="925"/>
      <c r="B1586" s="926"/>
      <c r="C1586" s="926"/>
      <c r="D1586" s="926"/>
      <c r="E1586" s="926"/>
    </row>
    <row r="1587" spans="1:5" x14ac:dyDescent="0.25">
      <c r="A1587" s="925"/>
      <c r="B1587" s="926"/>
      <c r="C1587" s="926"/>
      <c r="D1587" s="926"/>
      <c r="E1587" s="926"/>
    </row>
    <row r="1588" spans="1:5" x14ac:dyDescent="0.25">
      <c r="A1588" s="925"/>
      <c r="B1588" s="926"/>
      <c r="C1588" s="926"/>
      <c r="D1588" s="926"/>
      <c r="E1588" s="926"/>
    </row>
    <row r="1589" spans="1:5" x14ac:dyDescent="0.25">
      <c r="A1589" s="925"/>
      <c r="B1589" s="926"/>
      <c r="C1589" s="926"/>
      <c r="D1589" s="926"/>
      <c r="E1589" s="926"/>
    </row>
    <row r="1590" spans="1:5" x14ac:dyDescent="0.25">
      <c r="A1590" s="925"/>
      <c r="B1590" s="926"/>
      <c r="C1590" s="926"/>
      <c r="D1590" s="926"/>
      <c r="E1590" s="926"/>
    </row>
    <row r="1591" spans="1:5" x14ac:dyDescent="0.25">
      <c r="A1591" s="925"/>
      <c r="B1591" s="926"/>
      <c r="C1591" s="926"/>
      <c r="D1591" s="926"/>
      <c r="E1591" s="926"/>
    </row>
    <row r="1592" spans="1:5" x14ac:dyDescent="0.25">
      <c r="A1592" s="925"/>
      <c r="B1592" s="926"/>
      <c r="C1592" s="926"/>
      <c r="D1592" s="926"/>
      <c r="E1592" s="926"/>
    </row>
    <row r="1593" spans="1:5" x14ac:dyDescent="0.25">
      <c r="A1593" s="925"/>
      <c r="B1593" s="926"/>
      <c r="C1593" s="926"/>
      <c r="D1593" s="926"/>
      <c r="E1593" s="926"/>
    </row>
    <row r="1594" spans="1:5" x14ac:dyDescent="0.25">
      <c r="A1594" s="925"/>
      <c r="B1594" s="926"/>
      <c r="C1594" s="926"/>
      <c r="D1594" s="926"/>
      <c r="E1594" s="926"/>
    </row>
    <row r="1595" spans="1:5" x14ac:dyDescent="0.25">
      <c r="A1595" s="925"/>
      <c r="B1595" s="926"/>
      <c r="C1595" s="926"/>
      <c r="D1595" s="926"/>
      <c r="E1595" s="926"/>
    </row>
    <row r="1596" spans="1:5" x14ac:dyDescent="0.25">
      <c r="A1596" s="925"/>
      <c r="B1596" s="926"/>
      <c r="C1596" s="926"/>
      <c r="D1596" s="926"/>
      <c r="E1596" s="926"/>
    </row>
    <row r="1597" spans="1:5" x14ac:dyDescent="0.25">
      <c r="A1597" s="925"/>
      <c r="B1597" s="926"/>
      <c r="C1597" s="926"/>
      <c r="D1597" s="926"/>
      <c r="E1597" s="926"/>
    </row>
    <row r="1598" spans="1:5" x14ac:dyDescent="0.25">
      <c r="A1598" s="925"/>
      <c r="B1598" s="926"/>
      <c r="C1598" s="926"/>
      <c r="D1598" s="926"/>
      <c r="E1598" s="926"/>
    </row>
    <row r="1599" spans="1:5" x14ac:dyDescent="0.25">
      <c r="A1599" s="925"/>
      <c r="B1599" s="926"/>
      <c r="C1599" s="926"/>
      <c r="D1599" s="926"/>
      <c r="E1599" s="926"/>
    </row>
    <row r="1600" spans="1:5" x14ac:dyDescent="0.25">
      <c r="A1600" s="925"/>
      <c r="B1600" s="926"/>
      <c r="C1600" s="926"/>
      <c r="D1600" s="926"/>
      <c r="E1600" s="926"/>
    </row>
    <row r="1601" spans="1:5" x14ac:dyDescent="0.25">
      <c r="A1601" s="925"/>
      <c r="B1601" s="926"/>
      <c r="C1601" s="926"/>
      <c r="D1601" s="926"/>
      <c r="E1601" s="926"/>
    </row>
    <row r="1602" spans="1:5" x14ac:dyDescent="0.25">
      <c r="A1602" s="925"/>
      <c r="B1602" s="926"/>
      <c r="C1602" s="926"/>
      <c r="D1602" s="926"/>
      <c r="E1602" s="926"/>
    </row>
    <row r="1603" spans="1:5" x14ac:dyDescent="0.25">
      <c r="A1603" s="925"/>
      <c r="B1603" s="926"/>
      <c r="C1603" s="926"/>
      <c r="D1603" s="926"/>
      <c r="E1603" s="926"/>
    </row>
    <row r="1604" spans="1:5" x14ac:dyDescent="0.25">
      <c r="A1604" s="925"/>
      <c r="B1604" s="926"/>
      <c r="C1604" s="926"/>
      <c r="D1604" s="926"/>
      <c r="E1604" s="926"/>
    </row>
    <row r="1605" spans="1:5" x14ac:dyDescent="0.25">
      <c r="A1605" s="925"/>
      <c r="B1605" s="926"/>
      <c r="C1605" s="926"/>
      <c r="D1605" s="926"/>
      <c r="E1605" s="926"/>
    </row>
    <row r="1606" spans="1:5" x14ac:dyDescent="0.25">
      <c r="A1606" s="925"/>
      <c r="B1606" s="926"/>
      <c r="C1606" s="926"/>
      <c r="D1606" s="926"/>
      <c r="E1606" s="926"/>
    </row>
    <row r="1607" spans="1:5" x14ac:dyDescent="0.25">
      <c r="A1607" s="925"/>
      <c r="B1607" s="926"/>
      <c r="C1607" s="926"/>
      <c r="D1607" s="926"/>
      <c r="E1607" s="926"/>
    </row>
    <row r="1608" spans="1:5" x14ac:dyDescent="0.25">
      <c r="A1608" s="925"/>
      <c r="B1608" s="926"/>
      <c r="C1608" s="926"/>
      <c r="D1608" s="926"/>
      <c r="E1608" s="926"/>
    </row>
    <row r="1609" spans="1:5" x14ac:dyDescent="0.25">
      <c r="A1609" s="925"/>
      <c r="B1609" s="926"/>
      <c r="C1609" s="926"/>
      <c r="D1609" s="926"/>
      <c r="E1609" s="926"/>
    </row>
    <row r="1610" spans="1:5" x14ac:dyDescent="0.25">
      <c r="A1610" s="925"/>
      <c r="B1610" s="926"/>
      <c r="C1610" s="926"/>
      <c r="D1610" s="926"/>
      <c r="E1610" s="926"/>
    </row>
    <row r="1611" spans="1:5" x14ac:dyDescent="0.25">
      <c r="A1611" s="925"/>
      <c r="B1611" s="926"/>
      <c r="C1611" s="926"/>
      <c r="D1611" s="926"/>
      <c r="E1611" s="926"/>
    </row>
    <row r="1612" spans="1:5" x14ac:dyDescent="0.25">
      <c r="A1612" s="925"/>
      <c r="B1612" s="926"/>
      <c r="C1612" s="926"/>
      <c r="D1612" s="926"/>
      <c r="E1612" s="926"/>
    </row>
    <row r="1613" spans="1:5" x14ac:dyDescent="0.25">
      <c r="A1613" s="925"/>
      <c r="B1613" s="926"/>
      <c r="C1613" s="926"/>
      <c r="D1613" s="926"/>
      <c r="E1613" s="926"/>
    </row>
    <row r="1614" spans="1:5" x14ac:dyDescent="0.25">
      <c r="A1614" s="925"/>
      <c r="B1614" s="926"/>
      <c r="C1614" s="926"/>
      <c r="D1614" s="926"/>
      <c r="E1614" s="926"/>
    </row>
    <row r="1615" spans="1:5" x14ac:dyDescent="0.25">
      <c r="A1615" s="925"/>
      <c r="B1615" s="926"/>
      <c r="C1615" s="926"/>
      <c r="D1615" s="926"/>
      <c r="E1615" s="926"/>
    </row>
    <row r="1616" spans="1:5" x14ac:dyDescent="0.25">
      <c r="A1616" s="925"/>
      <c r="B1616" s="926"/>
      <c r="C1616" s="926"/>
      <c r="D1616" s="926"/>
      <c r="E1616" s="926"/>
    </row>
    <row r="1617" spans="1:5" x14ac:dyDescent="0.25">
      <c r="A1617" s="925"/>
      <c r="B1617" s="926"/>
      <c r="C1617" s="926"/>
      <c r="D1617" s="926"/>
      <c r="E1617" s="926"/>
    </row>
    <row r="1618" spans="1:5" x14ac:dyDescent="0.25">
      <c r="A1618" s="925"/>
      <c r="B1618" s="926"/>
      <c r="C1618" s="926"/>
      <c r="D1618" s="926"/>
      <c r="E1618" s="926"/>
    </row>
    <row r="1619" spans="1:5" x14ac:dyDescent="0.25">
      <c r="A1619" s="925"/>
      <c r="B1619" s="926"/>
      <c r="C1619" s="926"/>
      <c r="D1619" s="926"/>
      <c r="E1619" s="926"/>
    </row>
    <row r="1620" spans="1:5" x14ac:dyDescent="0.25">
      <c r="A1620" s="925"/>
      <c r="B1620" s="926"/>
      <c r="C1620" s="926"/>
      <c r="D1620" s="926"/>
      <c r="E1620" s="926"/>
    </row>
    <row r="1621" spans="1:5" x14ac:dyDescent="0.25">
      <c r="A1621" s="925"/>
      <c r="B1621" s="926"/>
      <c r="C1621" s="926"/>
      <c r="D1621" s="926"/>
      <c r="E1621" s="926"/>
    </row>
    <row r="1622" spans="1:5" x14ac:dyDescent="0.25">
      <c r="A1622" s="925"/>
      <c r="B1622" s="926"/>
      <c r="C1622" s="926"/>
      <c r="D1622" s="926"/>
      <c r="E1622" s="926"/>
    </row>
    <row r="1623" spans="1:5" x14ac:dyDescent="0.25">
      <c r="A1623" s="925"/>
      <c r="B1623" s="926"/>
      <c r="C1623" s="926"/>
      <c r="D1623" s="926"/>
      <c r="E1623" s="926"/>
    </row>
    <row r="1624" spans="1:5" x14ac:dyDescent="0.25">
      <c r="A1624" s="925"/>
      <c r="B1624" s="926"/>
      <c r="C1624" s="926"/>
      <c r="D1624" s="926"/>
      <c r="E1624" s="926"/>
    </row>
    <row r="1625" spans="1:5" x14ac:dyDescent="0.25">
      <c r="A1625" s="925"/>
      <c r="B1625" s="926"/>
      <c r="C1625" s="926"/>
      <c r="D1625" s="926"/>
      <c r="E1625" s="926"/>
    </row>
    <row r="1626" spans="1:5" x14ac:dyDescent="0.25">
      <c r="A1626" s="925"/>
      <c r="B1626" s="926"/>
      <c r="C1626" s="926"/>
      <c r="D1626" s="926"/>
      <c r="E1626" s="926"/>
    </row>
    <row r="1627" spans="1:5" x14ac:dyDescent="0.25">
      <c r="A1627" s="925"/>
      <c r="B1627" s="926"/>
      <c r="C1627" s="926"/>
      <c r="D1627" s="926"/>
      <c r="E1627" s="926"/>
    </row>
    <row r="1628" spans="1:5" x14ac:dyDescent="0.25">
      <c r="A1628" s="925"/>
      <c r="B1628" s="926"/>
      <c r="C1628" s="926"/>
      <c r="D1628" s="926"/>
      <c r="E1628" s="926"/>
    </row>
    <row r="1629" spans="1:5" x14ac:dyDescent="0.25">
      <c r="A1629" s="925"/>
      <c r="B1629" s="926"/>
      <c r="C1629" s="926"/>
      <c r="D1629" s="926"/>
      <c r="E1629" s="926"/>
    </row>
    <row r="1630" spans="1:5" x14ac:dyDescent="0.25">
      <c r="A1630" s="925"/>
      <c r="B1630" s="926"/>
      <c r="C1630" s="926"/>
      <c r="D1630" s="926"/>
      <c r="E1630" s="926"/>
    </row>
    <row r="1631" spans="1:5" x14ac:dyDescent="0.25">
      <c r="A1631" s="925"/>
      <c r="B1631" s="926"/>
      <c r="C1631" s="926"/>
      <c r="D1631" s="926"/>
      <c r="E1631" s="926"/>
    </row>
    <row r="1632" spans="1:5" x14ac:dyDescent="0.25">
      <c r="A1632" s="925"/>
      <c r="B1632" s="926"/>
      <c r="C1632" s="926"/>
      <c r="D1632" s="926"/>
      <c r="E1632" s="926"/>
    </row>
    <row r="1633" spans="1:5" x14ac:dyDescent="0.25">
      <c r="A1633" s="925"/>
      <c r="B1633" s="926"/>
      <c r="C1633" s="926"/>
      <c r="D1633" s="926"/>
      <c r="E1633" s="926"/>
    </row>
    <row r="1634" spans="1:5" x14ac:dyDescent="0.25">
      <c r="A1634" s="925"/>
      <c r="B1634" s="926"/>
      <c r="C1634" s="926"/>
      <c r="D1634" s="926"/>
      <c r="E1634" s="926"/>
    </row>
    <row r="1635" spans="1:5" x14ac:dyDescent="0.25">
      <c r="A1635" s="925"/>
      <c r="B1635" s="926"/>
      <c r="C1635" s="926"/>
      <c r="D1635" s="926"/>
      <c r="E1635" s="926"/>
    </row>
    <row r="1636" spans="1:5" x14ac:dyDescent="0.25">
      <c r="A1636" s="925"/>
      <c r="B1636" s="926"/>
      <c r="C1636" s="926"/>
      <c r="D1636" s="926"/>
      <c r="E1636" s="926"/>
    </row>
    <row r="1637" spans="1:5" x14ac:dyDescent="0.25">
      <c r="A1637" s="925"/>
      <c r="B1637" s="926"/>
      <c r="C1637" s="926"/>
      <c r="D1637" s="926"/>
      <c r="E1637" s="926"/>
    </row>
    <row r="1638" spans="1:5" x14ac:dyDescent="0.25">
      <c r="A1638" s="925"/>
      <c r="B1638" s="926"/>
      <c r="C1638" s="926"/>
      <c r="D1638" s="926"/>
      <c r="E1638" s="926"/>
    </row>
    <row r="1639" spans="1:5" x14ac:dyDescent="0.25">
      <c r="A1639" s="925"/>
      <c r="B1639" s="926"/>
      <c r="C1639" s="926"/>
      <c r="D1639" s="926"/>
      <c r="E1639" s="926"/>
    </row>
    <row r="1640" spans="1:5" x14ac:dyDescent="0.25">
      <c r="A1640" s="925"/>
      <c r="B1640" s="926"/>
      <c r="C1640" s="926"/>
      <c r="D1640" s="926"/>
      <c r="E1640" s="926"/>
    </row>
    <row r="1641" spans="1:5" x14ac:dyDescent="0.25">
      <c r="A1641" s="925"/>
      <c r="B1641" s="926"/>
      <c r="C1641" s="926"/>
      <c r="D1641" s="926"/>
      <c r="E1641" s="926"/>
    </row>
    <row r="1642" spans="1:5" x14ac:dyDescent="0.25">
      <c r="A1642" s="925"/>
      <c r="B1642" s="926"/>
      <c r="C1642" s="926"/>
      <c r="D1642" s="926"/>
      <c r="E1642" s="926"/>
    </row>
    <row r="1643" spans="1:5" x14ac:dyDescent="0.25">
      <c r="A1643" s="925"/>
      <c r="B1643" s="926"/>
      <c r="C1643" s="926"/>
      <c r="D1643" s="926"/>
      <c r="E1643" s="926"/>
    </row>
    <row r="1644" spans="1:5" x14ac:dyDescent="0.25">
      <c r="A1644" s="925"/>
      <c r="B1644" s="926"/>
      <c r="C1644" s="926"/>
      <c r="D1644" s="926"/>
      <c r="E1644" s="926"/>
    </row>
    <row r="1645" spans="1:5" x14ac:dyDescent="0.25">
      <c r="A1645" s="925"/>
      <c r="B1645" s="926"/>
      <c r="C1645" s="926"/>
      <c r="D1645" s="926"/>
      <c r="E1645" s="926"/>
    </row>
    <row r="1646" spans="1:5" x14ac:dyDescent="0.25">
      <c r="A1646" s="925"/>
      <c r="B1646" s="926"/>
      <c r="C1646" s="926"/>
      <c r="D1646" s="926"/>
      <c r="E1646" s="926"/>
    </row>
    <row r="1647" spans="1:5" x14ac:dyDescent="0.25">
      <c r="A1647" s="925"/>
      <c r="B1647" s="926"/>
      <c r="C1647" s="926"/>
      <c r="D1647" s="926"/>
      <c r="E1647" s="926"/>
    </row>
    <row r="1648" spans="1:5" x14ac:dyDescent="0.25">
      <c r="A1648" s="925"/>
      <c r="B1648" s="926"/>
      <c r="C1648" s="926"/>
      <c r="D1648" s="926"/>
      <c r="E1648" s="926"/>
    </row>
    <row r="1649" spans="1:5" x14ac:dyDescent="0.25">
      <c r="A1649" s="925"/>
      <c r="B1649" s="926"/>
      <c r="C1649" s="926"/>
      <c r="D1649" s="926"/>
      <c r="E1649" s="926"/>
    </row>
    <row r="1650" spans="1:5" x14ac:dyDescent="0.25">
      <c r="A1650" s="925"/>
      <c r="B1650" s="926"/>
      <c r="C1650" s="926"/>
      <c r="D1650" s="926"/>
      <c r="E1650" s="926"/>
    </row>
    <row r="1651" spans="1:5" x14ac:dyDescent="0.25">
      <c r="A1651" s="925"/>
      <c r="B1651" s="926"/>
      <c r="C1651" s="926"/>
      <c r="D1651" s="926"/>
      <c r="E1651" s="926"/>
    </row>
    <row r="1652" spans="1:5" x14ac:dyDescent="0.25">
      <c r="A1652" s="925"/>
      <c r="B1652" s="926"/>
      <c r="C1652" s="926"/>
      <c r="D1652" s="926"/>
      <c r="E1652" s="926"/>
    </row>
    <row r="1653" spans="1:5" x14ac:dyDescent="0.25">
      <c r="A1653" s="925"/>
      <c r="B1653" s="926"/>
      <c r="C1653" s="926"/>
      <c r="D1653" s="926"/>
      <c r="E1653" s="926"/>
    </row>
    <row r="1654" spans="1:5" x14ac:dyDescent="0.25">
      <c r="A1654" s="925"/>
      <c r="B1654" s="926"/>
      <c r="C1654" s="926"/>
      <c r="D1654" s="926"/>
      <c r="E1654" s="926"/>
    </row>
    <row r="1655" spans="1:5" x14ac:dyDescent="0.25">
      <c r="A1655" s="925"/>
      <c r="B1655" s="926"/>
      <c r="C1655" s="926"/>
      <c r="D1655" s="926"/>
      <c r="E1655" s="926"/>
    </row>
    <row r="1656" spans="1:5" x14ac:dyDescent="0.25">
      <c r="A1656" s="925"/>
      <c r="B1656" s="926"/>
      <c r="C1656" s="926"/>
      <c r="D1656" s="926"/>
      <c r="E1656" s="926"/>
    </row>
    <row r="1657" spans="1:5" x14ac:dyDescent="0.25">
      <c r="A1657" s="925"/>
      <c r="B1657" s="926"/>
      <c r="C1657" s="926"/>
      <c r="D1657" s="926"/>
      <c r="E1657" s="926"/>
    </row>
    <row r="1658" spans="1:5" x14ac:dyDescent="0.25">
      <c r="A1658" s="925"/>
      <c r="B1658" s="926"/>
      <c r="C1658" s="926"/>
      <c r="D1658" s="926"/>
      <c r="E1658" s="926"/>
    </row>
    <row r="1659" spans="1:5" x14ac:dyDescent="0.25">
      <c r="A1659" s="925"/>
      <c r="B1659" s="926"/>
      <c r="C1659" s="926"/>
      <c r="D1659" s="926"/>
      <c r="E1659" s="926"/>
    </row>
    <row r="1660" spans="1:5" x14ac:dyDescent="0.25">
      <c r="A1660" s="925"/>
      <c r="B1660" s="926"/>
      <c r="C1660" s="926"/>
      <c r="D1660" s="926"/>
      <c r="E1660" s="926"/>
    </row>
    <row r="1661" spans="1:5" x14ac:dyDescent="0.25">
      <c r="A1661" s="925"/>
      <c r="B1661" s="926"/>
      <c r="C1661" s="926"/>
      <c r="D1661" s="926"/>
      <c r="E1661" s="926"/>
    </row>
    <row r="1662" spans="1:5" x14ac:dyDescent="0.25">
      <c r="A1662" s="925"/>
      <c r="B1662" s="926"/>
      <c r="C1662" s="926"/>
      <c r="D1662" s="926"/>
      <c r="E1662" s="926"/>
    </row>
    <row r="1663" spans="1:5" x14ac:dyDescent="0.25">
      <c r="A1663" s="925"/>
      <c r="B1663" s="926"/>
      <c r="C1663" s="926"/>
      <c r="D1663" s="926"/>
      <c r="E1663" s="926"/>
    </row>
    <row r="1664" spans="1:5" x14ac:dyDescent="0.25">
      <c r="A1664" s="925"/>
      <c r="B1664" s="926"/>
      <c r="C1664" s="926"/>
      <c r="D1664" s="926"/>
      <c r="E1664" s="926"/>
    </row>
    <row r="1665" spans="1:5" x14ac:dyDescent="0.25">
      <c r="A1665" s="925"/>
      <c r="B1665" s="926"/>
      <c r="C1665" s="926"/>
      <c r="D1665" s="926"/>
      <c r="E1665" s="926"/>
    </row>
    <row r="1666" spans="1:5" x14ac:dyDescent="0.25">
      <c r="A1666" s="925"/>
      <c r="B1666" s="926"/>
      <c r="C1666" s="926"/>
      <c r="D1666" s="926"/>
      <c r="E1666" s="926"/>
    </row>
    <row r="1667" spans="1:5" x14ac:dyDescent="0.25">
      <c r="A1667" s="925"/>
      <c r="B1667" s="926"/>
      <c r="C1667" s="926"/>
      <c r="D1667" s="926"/>
      <c r="E1667" s="926"/>
    </row>
    <row r="1668" spans="1:5" x14ac:dyDescent="0.25">
      <c r="A1668" s="925"/>
      <c r="B1668" s="926"/>
      <c r="C1668" s="926"/>
      <c r="D1668" s="926"/>
      <c r="E1668" s="926"/>
    </row>
    <row r="1669" spans="1:5" x14ac:dyDescent="0.25">
      <c r="A1669" s="925"/>
      <c r="B1669" s="926"/>
      <c r="C1669" s="926"/>
      <c r="D1669" s="926"/>
      <c r="E1669" s="926"/>
    </row>
    <row r="1670" spans="1:5" x14ac:dyDescent="0.25">
      <c r="A1670" s="925"/>
      <c r="B1670" s="926"/>
      <c r="C1670" s="926"/>
      <c r="D1670" s="926"/>
      <c r="E1670" s="926"/>
    </row>
    <row r="1671" spans="1:5" x14ac:dyDescent="0.25">
      <c r="A1671" s="925"/>
      <c r="B1671" s="926"/>
      <c r="C1671" s="926"/>
      <c r="D1671" s="926"/>
      <c r="E1671" s="926"/>
    </row>
    <row r="1672" spans="1:5" x14ac:dyDescent="0.25">
      <c r="A1672" s="925"/>
      <c r="B1672" s="926"/>
      <c r="C1672" s="926"/>
      <c r="D1672" s="926"/>
      <c r="E1672" s="926"/>
    </row>
    <row r="1673" spans="1:5" x14ac:dyDescent="0.25">
      <c r="A1673" s="925"/>
      <c r="B1673" s="926"/>
      <c r="C1673" s="926"/>
      <c r="D1673" s="926"/>
      <c r="E1673" s="926"/>
    </row>
    <row r="1674" spans="1:5" x14ac:dyDescent="0.25">
      <c r="A1674" s="925"/>
      <c r="B1674" s="926"/>
      <c r="C1674" s="926"/>
      <c r="D1674" s="926"/>
      <c r="E1674" s="926"/>
    </row>
    <row r="1675" spans="1:5" x14ac:dyDescent="0.25">
      <c r="A1675" s="925"/>
      <c r="B1675" s="926"/>
      <c r="C1675" s="926"/>
      <c r="D1675" s="926"/>
      <c r="E1675" s="926"/>
    </row>
    <row r="1676" spans="1:5" x14ac:dyDescent="0.25">
      <c r="A1676" s="925"/>
      <c r="B1676" s="926"/>
      <c r="C1676" s="926"/>
      <c r="D1676" s="926"/>
      <c r="E1676" s="926"/>
    </row>
    <row r="1677" spans="1:5" x14ac:dyDescent="0.25">
      <c r="A1677" s="925"/>
      <c r="B1677" s="926"/>
      <c r="C1677" s="926"/>
      <c r="D1677" s="926"/>
      <c r="E1677" s="926"/>
    </row>
    <row r="1678" spans="1:5" x14ac:dyDescent="0.25">
      <c r="A1678" s="925"/>
      <c r="B1678" s="926"/>
      <c r="C1678" s="926"/>
      <c r="D1678" s="926"/>
      <c r="E1678" s="926"/>
    </row>
    <row r="1679" spans="1:5" x14ac:dyDescent="0.25">
      <c r="A1679" s="925"/>
      <c r="B1679" s="926"/>
      <c r="C1679" s="926"/>
      <c r="D1679" s="926"/>
      <c r="E1679" s="926"/>
    </row>
    <row r="1680" spans="1:5" x14ac:dyDescent="0.25">
      <c r="A1680" s="925"/>
      <c r="B1680" s="926"/>
      <c r="C1680" s="926"/>
      <c r="D1680" s="926"/>
      <c r="E1680" s="926"/>
    </row>
    <row r="1681" spans="1:5" x14ac:dyDescent="0.25">
      <c r="A1681" s="925"/>
      <c r="B1681" s="926"/>
      <c r="C1681" s="926"/>
      <c r="D1681" s="926"/>
      <c r="E1681" s="926"/>
    </row>
    <row r="1682" spans="1:5" x14ac:dyDescent="0.25">
      <c r="A1682" s="925"/>
      <c r="B1682" s="926"/>
      <c r="C1682" s="926"/>
      <c r="D1682" s="926"/>
      <c r="E1682" s="926"/>
    </row>
    <row r="1683" spans="1:5" x14ac:dyDescent="0.25">
      <c r="A1683" s="925"/>
      <c r="B1683" s="926"/>
      <c r="C1683" s="926"/>
      <c r="D1683" s="926"/>
      <c r="E1683" s="926"/>
    </row>
    <row r="1684" spans="1:5" x14ac:dyDescent="0.25">
      <c r="A1684" s="925"/>
      <c r="B1684" s="926"/>
      <c r="C1684" s="926"/>
      <c r="D1684" s="926"/>
      <c r="E1684" s="926"/>
    </row>
    <row r="1685" spans="1:5" x14ac:dyDescent="0.25">
      <c r="A1685" s="925"/>
      <c r="B1685" s="926"/>
      <c r="C1685" s="926"/>
      <c r="D1685" s="926"/>
      <c r="E1685" s="926"/>
    </row>
    <row r="1686" spans="1:5" x14ac:dyDescent="0.25">
      <c r="A1686" s="925"/>
      <c r="B1686" s="926"/>
      <c r="C1686" s="926"/>
      <c r="D1686" s="926"/>
      <c r="E1686" s="926"/>
    </row>
    <row r="1687" spans="1:5" x14ac:dyDescent="0.25">
      <c r="A1687" s="925"/>
      <c r="B1687" s="926"/>
      <c r="C1687" s="926"/>
      <c r="D1687" s="926"/>
      <c r="E1687" s="926"/>
    </row>
    <row r="1688" spans="1:5" x14ac:dyDescent="0.25">
      <c r="A1688" s="925"/>
      <c r="B1688" s="926"/>
      <c r="C1688" s="926"/>
      <c r="D1688" s="926"/>
      <c r="E1688" s="926"/>
    </row>
    <row r="1689" spans="1:5" x14ac:dyDescent="0.25">
      <c r="A1689" s="925"/>
      <c r="B1689" s="926"/>
      <c r="C1689" s="926"/>
      <c r="D1689" s="926"/>
      <c r="E1689" s="926"/>
    </row>
    <row r="1690" spans="1:5" x14ac:dyDescent="0.25">
      <c r="A1690" s="925"/>
      <c r="B1690" s="926"/>
      <c r="C1690" s="926"/>
      <c r="D1690" s="926"/>
      <c r="E1690" s="926"/>
    </row>
    <row r="1691" spans="1:5" x14ac:dyDescent="0.25">
      <c r="A1691" s="925"/>
      <c r="B1691" s="926"/>
      <c r="C1691" s="926"/>
      <c r="D1691" s="926"/>
      <c r="E1691" s="926"/>
    </row>
    <row r="1692" spans="1:5" x14ac:dyDescent="0.25">
      <c r="A1692" s="925"/>
      <c r="B1692" s="926"/>
      <c r="C1692" s="926"/>
      <c r="D1692" s="926"/>
      <c r="E1692" s="926"/>
    </row>
    <row r="1693" spans="1:5" x14ac:dyDescent="0.25">
      <c r="A1693" s="925"/>
      <c r="B1693" s="926"/>
      <c r="C1693" s="926"/>
      <c r="D1693" s="926"/>
      <c r="E1693" s="926"/>
    </row>
    <row r="1694" spans="1:5" x14ac:dyDescent="0.25">
      <c r="A1694" s="925"/>
      <c r="B1694" s="926"/>
      <c r="C1694" s="926"/>
      <c r="D1694" s="926"/>
      <c r="E1694" s="926"/>
    </row>
    <row r="1695" spans="1:5" x14ac:dyDescent="0.25">
      <c r="A1695" s="925"/>
      <c r="B1695" s="926"/>
      <c r="C1695" s="926"/>
      <c r="D1695" s="926"/>
      <c r="E1695" s="926"/>
    </row>
    <row r="1696" spans="1:5" x14ac:dyDescent="0.25">
      <c r="A1696" s="925"/>
      <c r="B1696" s="926"/>
      <c r="C1696" s="926"/>
      <c r="D1696" s="926"/>
      <c r="E1696" s="926"/>
    </row>
    <row r="1697" spans="1:5" x14ac:dyDescent="0.25">
      <c r="A1697" s="925"/>
      <c r="B1697" s="926"/>
      <c r="C1697" s="926"/>
      <c r="D1697" s="926"/>
      <c r="E1697" s="926"/>
    </row>
    <row r="1698" spans="1:5" x14ac:dyDescent="0.25">
      <c r="A1698" s="925"/>
      <c r="B1698" s="926"/>
      <c r="C1698" s="926"/>
      <c r="D1698" s="926"/>
      <c r="E1698" s="926"/>
    </row>
    <row r="1699" spans="1:5" x14ac:dyDescent="0.25">
      <c r="A1699" s="925"/>
      <c r="B1699" s="926"/>
      <c r="C1699" s="926"/>
      <c r="D1699" s="926"/>
      <c r="E1699" s="926"/>
    </row>
    <row r="1700" spans="1:5" x14ac:dyDescent="0.25">
      <c r="A1700" s="925"/>
      <c r="B1700" s="926"/>
      <c r="C1700" s="926"/>
      <c r="D1700" s="926"/>
      <c r="E1700" s="926"/>
    </row>
    <row r="1701" spans="1:5" x14ac:dyDescent="0.25">
      <c r="A1701" s="925"/>
      <c r="B1701" s="926"/>
      <c r="C1701" s="926"/>
      <c r="D1701" s="926"/>
      <c r="E1701" s="926"/>
    </row>
    <row r="1702" spans="1:5" x14ac:dyDescent="0.25">
      <c r="A1702" s="925"/>
      <c r="B1702" s="926"/>
      <c r="C1702" s="926"/>
      <c r="D1702" s="926"/>
      <c r="E1702" s="926"/>
    </row>
    <row r="1703" spans="1:5" x14ac:dyDescent="0.25">
      <c r="A1703" s="925"/>
      <c r="B1703" s="926"/>
      <c r="C1703" s="926"/>
      <c r="D1703" s="926"/>
      <c r="E1703" s="926"/>
    </row>
    <row r="1704" spans="1:5" x14ac:dyDescent="0.25">
      <c r="A1704" s="925"/>
      <c r="B1704" s="926"/>
      <c r="C1704" s="926"/>
      <c r="D1704" s="926"/>
      <c r="E1704" s="926"/>
    </row>
    <row r="1705" spans="1:5" x14ac:dyDescent="0.25">
      <c r="A1705" s="925"/>
      <c r="B1705" s="926"/>
      <c r="C1705" s="926"/>
      <c r="D1705" s="926"/>
      <c r="E1705" s="926"/>
    </row>
    <row r="1706" spans="1:5" x14ac:dyDescent="0.25">
      <c r="A1706" s="925"/>
      <c r="B1706" s="926"/>
      <c r="C1706" s="926"/>
      <c r="D1706" s="926"/>
      <c r="E1706" s="926"/>
    </row>
    <row r="1707" spans="1:5" x14ac:dyDescent="0.25">
      <c r="A1707" s="925"/>
      <c r="B1707" s="926"/>
      <c r="C1707" s="926"/>
      <c r="D1707" s="926"/>
      <c r="E1707" s="926"/>
    </row>
    <row r="1708" spans="1:5" x14ac:dyDescent="0.25">
      <c r="A1708" s="925"/>
      <c r="B1708" s="926"/>
      <c r="C1708" s="926"/>
      <c r="D1708" s="926"/>
      <c r="E1708" s="926"/>
    </row>
    <row r="1709" spans="1:5" x14ac:dyDescent="0.25">
      <c r="A1709" s="925"/>
      <c r="B1709" s="926"/>
      <c r="C1709" s="926"/>
      <c r="D1709" s="926"/>
      <c r="E1709" s="926"/>
    </row>
    <row r="1710" spans="1:5" x14ac:dyDescent="0.25">
      <c r="A1710" s="925"/>
      <c r="B1710" s="926"/>
      <c r="C1710" s="926"/>
      <c r="D1710" s="926"/>
      <c r="E1710" s="926"/>
    </row>
    <row r="1711" spans="1:5" x14ac:dyDescent="0.25">
      <c r="A1711" s="925"/>
      <c r="B1711" s="926"/>
      <c r="C1711" s="926"/>
      <c r="D1711" s="926"/>
      <c r="E1711" s="926"/>
    </row>
    <row r="1712" spans="1:5" x14ac:dyDescent="0.25">
      <c r="A1712" s="925"/>
      <c r="B1712" s="926"/>
      <c r="C1712" s="926"/>
      <c r="D1712" s="926"/>
      <c r="E1712" s="926"/>
    </row>
    <row r="1713" spans="1:5" x14ac:dyDescent="0.25">
      <c r="A1713" s="925"/>
      <c r="B1713" s="926"/>
      <c r="C1713" s="926"/>
      <c r="D1713" s="926"/>
      <c r="E1713" s="926"/>
    </row>
    <row r="1714" spans="1:5" x14ac:dyDescent="0.25">
      <c r="A1714" s="925"/>
      <c r="B1714" s="926"/>
      <c r="C1714" s="926"/>
      <c r="D1714" s="926"/>
      <c r="E1714" s="926"/>
    </row>
    <row r="1715" spans="1:5" x14ac:dyDescent="0.25">
      <c r="A1715" s="925"/>
      <c r="B1715" s="926"/>
      <c r="C1715" s="926"/>
      <c r="D1715" s="926"/>
      <c r="E1715" s="926"/>
    </row>
    <row r="1716" spans="1:5" x14ac:dyDescent="0.25">
      <c r="A1716" s="925"/>
      <c r="B1716" s="926"/>
      <c r="C1716" s="926"/>
      <c r="D1716" s="926"/>
      <c r="E1716" s="926"/>
    </row>
    <row r="1717" spans="1:5" x14ac:dyDescent="0.25">
      <c r="A1717" s="925"/>
      <c r="B1717" s="926"/>
      <c r="C1717" s="926"/>
      <c r="D1717" s="926"/>
      <c r="E1717" s="926"/>
    </row>
    <row r="1718" spans="1:5" x14ac:dyDescent="0.25">
      <c r="A1718" s="925"/>
      <c r="B1718" s="926"/>
      <c r="C1718" s="926"/>
      <c r="D1718" s="926"/>
      <c r="E1718" s="926"/>
    </row>
    <row r="1719" spans="1:5" x14ac:dyDescent="0.25">
      <c r="A1719" s="925"/>
      <c r="B1719" s="926"/>
      <c r="C1719" s="926"/>
      <c r="D1719" s="926"/>
      <c r="E1719" s="926"/>
    </row>
    <row r="1720" spans="1:5" x14ac:dyDescent="0.25">
      <c r="A1720" s="925"/>
      <c r="B1720" s="926"/>
      <c r="C1720" s="926"/>
      <c r="D1720" s="926"/>
      <c r="E1720" s="926"/>
    </row>
    <row r="1721" spans="1:5" x14ac:dyDescent="0.25">
      <c r="A1721" s="925"/>
      <c r="B1721" s="926"/>
      <c r="C1721" s="926"/>
      <c r="D1721" s="926"/>
      <c r="E1721" s="926"/>
    </row>
    <row r="1722" spans="1:5" x14ac:dyDescent="0.25">
      <c r="A1722" s="925"/>
      <c r="B1722" s="926"/>
      <c r="C1722" s="926"/>
      <c r="D1722" s="926"/>
      <c r="E1722" s="926"/>
    </row>
    <row r="1723" spans="1:5" x14ac:dyDescent="0.25">
      <c r="A1723" s="925"/>
      <c r="B1723" s="926"/>
      <c r="C1723" s="926"/>
      <c r="D1723" s="926"/>
      <c r="E1723" s="926"/>
    </row>
    <row r="1724" spans="1:5" x14ac:dyDescent="0.25">
      <c r="A1724" s="925"/>
      <c r="B1724" s="926"/>
      <c r="C1724" s="926"/>
      <c r="D1724" s="926"/>
      <c r="E1724" s="926"/>
    </row>
    <row r="1725" spans="1:5" x14ac:dyDescent="0.25">
      <c r="A1725" s="925"/>
      <c r="B1725" s="926"/>
      <c r="C1725" s="926"/>
      <c r="D1725" s="926"/>
      <c r="E1725" s="926"/>
    </row>
    <row r="1726" spans="1:5" x14ac:dyDescent="0.25">
      <c r="A1726" s="925"/>
      <c r="B1726" s="926"/>
      <c r="C1726" s="926"/>
      <c r="D1726" s="926"/>
      <c r="E1726" s="926"/>
    </row>
    <row r="1727" spans="1:5" x14ac:dyDescent="0.25">
      <c r="A1727" s="925"/>
      <c r="B1727" s="926"/>
      <c r="C1727" s="926"/>
      <c r="D1727" s="926"/>
      <c r="E1727" s="926"/>
    </row>
    <row r="1728" spans="1:5" x14ac:dyDescent="0.25">
      <c r="A1728" s="925"/>
      <c r="B1728" s="926"/>
      <c r="C1728" s="926"/>
      <c r="D1728" s="926"/>
      <c r="E1728" s="926"/>
    </row>
    <row r="1729" spans="1:5" x14ac:dyDescent="0.25">
      <c r="A1729" s="925"/>
      <c r="B1729" s="926"/>
      <c r="C1729" s="926"/>
      <c r="D1729" s="926"/>
      <c r="E1729" s="926"/>
    </row>
    <row r="1730" spans="1:5" x14ac:dyDescent="0.25">
      <c r="A1730" s="925"/>
      <c r="B1730" s="926"/>
      <c r="C1730" s="926"/>
      <c r="D1730" s="926"/>
      <c r="E1730" s="926"/>
    </row>
    <row r="1731" spans="1:5" x14ac:dyDescent="0.25">
      <c r="A1731" s="925"/>
      <c r="B1731" s="926"/>
      <c r="C1731" s="926"/>
      <c r="D1731" s="926"/>
      <c r="E1731" s="926"/>
    </row>
    <row r="1732" spans="1:5" x14ac:dyDescent="0.25">
      <c r="A1732" s="925"/>
      <c r="B1732" s="926"/>
      <c r="C1732" s="926"/>
      <c r="D1732" s="926"/>
      <c r="E1732" s="926"/>
    </row>
    <row r="1733" spans="1:5" x14ac:dyDescent="0.25">
      <c r="A1733" s="925"/>
      <c r="B1733" s="926"/>
      <c r="C1733" s="926"/>
      <c r="D1733" s="926"/>
      <c r="E1733" s="926"/>
    </row>
    <row r="1734" spans="1:5" x14ac:dyDescent="0.25">
      <c r="A1734" s="925"/>
      <c r="B1734" s="926"/>
      <c r="C1734" s="926"/>
      <c r="D1734" s="926"/>
      <c r="E1734" s="926"/>
    </row>
    <row r="1735" spans="1:5" x14ac:dyDescent="0.25">
      <c r="A1735" s="925"/>
      <c r="B1735" s="926"/>
      <c r="C1735" s="926"/>
      <c r="D1735" s="926"/>
      <c r="E1735" s="926"/>
    </row>
    <row r="1736" spans="1:5" x14ac:dyDescent="0.25">
      <c r="A1736" s="925"/>
      <c r="B1736" s="926"/>
      <c r="C1736" s="926"/>
      <c r="D1736" s="926"/>
      <c r="E1736" s="926"/>
    </row>
    <row r="1737" spans="1:5" x14ac:dyDescent="0.25">
      <c r="A1737" s="925"/>
      <c r="B1737" s="926"/>
      <c r="C1737" s="926"/>
      <c r="D1737" s="926"/>
      <c r="E1737" s="926"/>
    </row>
    <row r="1738" spans="1:5" x14ac:dyDescent="0.25">
      <c r="A1738" s="925"/>
      <c r="B1738" s="926"/>
      <c r="C1738" s="926"/>
      <c r="D1738" s="926"/>
      <c r="E1738" s="926"/>
    </row>
    <row r="1739" spans="1:5" x14ac:dyDescent="0.25">
      <c r="A1739" s="925"/>
      <c r="B1739" s="926"/>
      <c r="C1739" s="926"/>
      <c r="D1739" s="926"/>
      <c r="E1739" s="926"/>
    </row>
    <row r="1740" spans="1:5" x14ac:dyDescent="0.25">
      <c r="A1740" s="925"/>
      <c r="B1740" s="926"/>
      <c r="C1740" s="926"/>
      <c r="D1740" s="926"/>
      <c r="E1740" s="926"/>
    </row>
    <row r="1741" spans="1:5" x14ac:dyDescent="0.25">
      <c r="A1741" s="925"/>
      <c r="B1741" s="926"/>
      <c r="C1741" s="926"/>
      <c r="D1741" s="926"/>
      <c r="E1741" s="926"/>
    </row>
    <row r="1742" spans="1:5" x14ac:dyDescent="0.25">
      <c r="A1742" s="925"/>
      <c r="B1742" s="926"/>
      <c r="C1742" s="926"/>
      <c r="D1742" s="926"/>
      <c r="E1742" s="926"/>
    </row>
    <row r="1743" spans="1:5" x14ac:dyDescent="0.25">
      <c r="A1743" s="925"/>
      <c r="B1743" s="926"/>
      <c r="C1743" s="926"/>
      <c r="D1743" s="926"/>
      <c r="E1743" s="926"/>
    </row>
    <row r="1744" spans="1:5" x14ac:dyDescent="0.25">
      <c r="A1744" s="925"/>
      <c r="B1744" s="926"/>
      <c r="C1744" s="926"/>
      <c r="D1744" s="926"/>
      <c r="E1744" s="926"/>
    </row>
    <row r="1745" spans="1:5" x14ac:dyDescent="0.25">
      <c r="A1745" s="925"/>
      <c r="B1745" s="926"/>
      <c r="C1745" s="926"/>
      <c r="D1745" s="926"/>
      <c r="E1745" s="926"/>
    </row>
    <row r="1746" spans="1:5" x14ac:dyDescent="0.25">
      <c r="A1746" s="925"/>
      <c r="B1746" s="926"/>
      <c r="C1746" s="926"/>
      <c r="D1746" s="926"/>
      <c r="E1746" s="926"/>
    </row>
    <row r="1747" spans="1:5" x14ac:dyDescent="0.25">
      <c r="A1747" s="925"/>
      <c r="B1747" s="926"/>
      <c r="C1747" s="926"/>
      <c r="D1747" s="926"/>
      <c r="E1747" s="926"/>
    </row>
    <row r="1748" spans="1:5" x14ac:dyDescent="0.25">
      <c r="A1748" s="925"/>
      <c r="B1748" s="926"/>
      <c r="C1748" s="926"/>
      <c r="D1748" s="926"/>
      <c r="E1748" s="926"/>
    </row>
    <row r="1749" spans="1:5" x14ac:dyDescent="0.25">
      <c r="A1749" s="925"/>
      <c r="B1749" s="926"/>
      <c r="C1749" s="926"/>
      <c r="D1749" s="926"/>
      <c r="E1749" s="926"/>
    </row>
    <row r="1750" spans="1:5" x14ac:dyDescent="0.25">
      <c r="A1750" s="925"/>
      <c r="B1750" s="926"/>
      <c r="C1750" s="926"/>
      <c r="D1750" s="926"/>
      <c r="E1750" s="926"/>
    </row>
    <row r="1751" spans="1:5" x14ac:dyDescent="0.25">
      <c r="A1751" s="925"/>
      <c r="B1751" s="926"/>
      <c r="C1751" s="926"/>
      <c r="D1751" s="926"/>
      <c r="E1751" s="926"/>
    </row>
    <row r="1752" spans="1:5" x14ac:dyDescent="0.25">
      <c r="A1752" s="925"/>
      <c r="B1752" s="926"/>
      <c r="C1752" s="926"/>
      <c r="D1752" s="926"/>
      <c r="E1752" s="926"/>
    </row>
    <row r="1753" spans="1:5" x14ac:dyDescent="0.25">
      <c r="A1753" s="925"/>
      <c r="B1753" s="926"/>
      <c r="C1753" s="926"/>
      <c r="D1753" s="926"/>
      <c r="E1753" s="926"/>
    </row>
    <row r="1754" spans="1:5" x14ac:dyDescent="0.25">
      <c r="A1754" s="925"/>
      <c r="B1754" s="926"/>
      <c r="C1754" s="926"/>
      <c r="D1754" s="926"/>
      <c r="E1754" s="926"/>
    </row>
    <row r="1755" spans="1:5" x14ac:dyDescent="0.25">
      <c r="A1755" s="925"/>
      <c r="B1755" s="926"/>
      <c r="C1755" s="926"/>
      <c r="D1755" s="926"/>
      <c r="E1755" s="926"/>
    </row>
    <row r="1756" spans="1:5" x14ac:dyDescent="0.25">
      <c r="A1756" s="925"/>
      <c r="B1756" s="926"/>
      <c r="C1756" s="926"/>
      <c r="D1756" s="926"/>
      <c r="E1756" s="926"/>
    </row>
    <row r="1757" spans="1:5" x14ac:dyDescent="0.25">
      <c r="A1757" s="925"/>
      <c r="B1757" s="926"/>
      <c r="C1757" s="926"/>
      <c r="D1757" s="926"/>
      <c r="E1757" s="926"/>
    </row>
    <row r="1758" spans="1:5" x14ac:dyDescent="0.25">
      <c r="A1758" s="925"/>
      <c r="B1758" s="926"/>
      <c r="C1758" s="926"/>
      <c r="D1758" s="926"/>
      <c r="E1758" s="926"/>
    </row>
    <row r="1759" spans="1:5" x14ac:dyDescent="0.25">
      <c r="A1759" s="925"/>
      <c r="B1759" s="926"/>
      <c r="C1759" s="926"/>
      <c r="D1759" s="926"/>
      <c r="E1759" s="926"/>
    </row>
    <row r="1760" spans="1:5" x14ac:dyDescent="0.25">
      <c r="A1760" s="925"/>
      <c r="B1760" s="926"/>
      <c r="C1760" s="926"/>
      <c r="D1760" s="926"/>
      <c r="E1760" s="926"/>
    </row>
    <row r="1761" spans="1:5" x14ac:dyDescent="0.25">
      <c r="A1761" s="925"/>
      <c r="B1761" s="926"/>
      <c r="C1761" s="926"/>
      <c r="D1761" s="926"/>
      <c r="E1761" s="926"/>
    </row>
    <row r="1762" spans="1:5" x14ac:dyDescent="0.25">
      <c r="A1762" s="925"/>
      <c r="B1762" s="926"/>
      <c r="C1762" s="926"/>
      <c r="D1762" s="926"/>
      <c r="E1762" s="926"/>
    </row>
    <row r="1763" spans="1:5" x14ac:dyDescent="0.25">
      <c r="A1763" s="925"/>
      <c r="B1763" s="926"/>
      <c r="C1763" s="926"/>
      <c r="D1763" s="926"/>
      <c r="E1763" s="926"/>
    </row>
    <row r="1764" spans="1:5" x14ac:dyDescent="0.25">
      <c r="A1764" s="925"/>
      <c r="B1764" s="926"/>
      <c r="C1764" s="926"/>
      <c r="D1764" s="926"/>
      <c r="E1764" s="926"/>
    </row>
    <row r="1765" spans="1:5" x14ac:dyDescent="0.25">
      <c r="A1765" s="925"/>
      <c r="B1765" s="926"/>
      <c r="C1765" s="926"/>
      <c r="D1765" s="926"/>
      <c r="E1765" s="926"/>
    </row>
    <row r="1766" spans="1:5" x14ac:dyDescent="0.25">
      <c r="A1766" s="925"/>
      <c r="B1766" s="926"/>
      <c r="C1766" s="926"/>
      <c r="D1766" s="926"/>
      <c r="E1766" s="926"/>
    </row>
    <row r="1767" spans="1:5" x14ac:dyDescent="0.25">
      <c r="A1767" s="925"/>
      <c r="B1767" s="926"/>
      <c r="C1767" s="926"/>
      <c r="D1767" s="926"/>
      <c r="E1767" s="926"/>
    </row>
    <row r="1768" spans="1:5" x14ac:dyDescent="0.25">
      <c r="A1768" s="925"/>
      <c r="B1768" s="926"/>
      <c r="C1768" s="926"/>
      <c r="D1768" s="926"/>
      <c r="E1768" s="926"/>
    </row>
    <row r="1769" spans="1:5" x14ac:dyDescent="0.25">
      <c r="A1769" s="925"/>
      <c r="B1769" s="926"/>
      <c r="C1769" s="926"/>
      <c r="D1769" s="926"/>
      <c r="E1769" s="926"/>
    </row>
    <row r="1770" spans="1:5" x14ac:dyDescent="0.25">
      <c r="A1770" s="925"/>
      <c r="B1770" s="926"/>
      <c r="C1770" s="926"/>
      <c r="D1770" s="926"/>
      <c r="E1770" s="926"/>
    </row>
    <row r="1771" spans="1:5" x14ac:dyDescent="0.25">
      <c r="A1771" s="925"/>
      <c r="B1771" s="926"/>
      <c r="C1771" s="926"/>
      <c r="D1771" s="926"/>
      <c r="E1771" s="926"/>
    </row>
    <row r="1772" spans="1:5" x14ac:dyDescent="0.25">
      <c r="A1772" s="925"/>
      <c r="B1772" s="926"/>
      <c r="C1772" s="926"/>
      <c r="D1772" s="926"/>
      <c r="E1772" s="926"/>
    </row>
    <row r="1773" spans="1:5" x14ac:dyDescent="0.25">
      <c r="A1773" s="925"/>
      <c r="B1773" s="926"/>
      <c r="C1773" s="926"/>
      <c r="D1773" s="926"/>
      <c r="E1773" s="926"/>
    </row>
    <row r="1774" spans="1:5" x14ac:dyDescent="0.25">
      <c r="A1774" s="925"/>
      <c r="B1774" s="926"/>
      <c r="C1774" s="926"/>
      <c r="D1774" s="926"/>
      <c r="E1774" s="926"/>
    </row>
    <row r="1775" spans="1:5" x14ac:dyDescent="0.25">
      <c r="A1775" s="925"/>
      <c r="B1775" s="926"/>
      <c r="C1775" s="926"/>
      <c r="D1775" s="926"/>
      <c r="E1775" s="926"/>
    </row>
    <row r="1776" spans="1:5" x14ac:dyDescent="0.25">
      <c r="A1776" s="925"/>
      <c r="B1776" s="926"/>
      <c r="C1776" s="926"/>
      <c r="D1776" s="926"/>
      <c r="E1776" s="926"/>
    </row>
    <row r="1777" spans="1:5" x14ac:dyDescent="0.25">
      <c r="A1777" s="925"/>
      <c r="B1777" s="926"/>
      <c r="C1777" s="926"/>
      <c r="D1777" s="926"/>
      <c r="E1777" s="926"/>
    </row>
    <row r="1778" spans="1:5" x14ac:dyDescent="0.25">
      <c r="A1778" s="925"/>
      <c r="B1778" s="926"/>
      <c r="C1778" s="926"/>
      <c r="D1778" s="926"/>
      <c r="E1778" s="926"/>
    </row>
    <row r="1779" spans="1:5" x14ac:dyDescent="0.25">
      <c r="A1779" s="925"/>
      <c r="B1779" s="926"/>
      <c r="C1779" s="926"/>
      <c r="D1779" s="926"/>
      <c r="E1779" s="926"/>
    </row>
    <row r="1780" spans="1:5" x14ac:dyDescent="0.25">
      <c r="A1780" s="925"/>
      <c r="B1780" s="926"/>
      <c r="C1780" s="926"/>
      <c r="D1780" s="926"/>
      <c r="E1780" s="926"/>
    </row>
    <row r="1781" spans="1:5" x14ac:dyDescent="0.25">
      <c r="A1781" s="925"/>
      <c r="B1781" s="926"/>
      <c r="C1781" s="926"/>
      <c r="D1781" s="926"/>
      <c r="E1781" s="926"/>
    </row>
    <row r="1782" spans="1:5" x14ac:dyDescent="0.25">
      <c r="A1782" s="925"/>
      <c r="B1782" s="926"/>
      <c r="C1782" s="926"/>
      <c r="D1782" s="926"/>
      <c r="E1782" s="926"/>
    </row>
    <row r="1783" spans="1:5" x14ac:dyDescent="0.25">
      <c r="A1783" s="925"/>
      <c r="B1783" s="926"/>
      <c r="C1783" s="926"/>
      <c r="D1783" s="926"/>
      <c r="E1783" s="926"/>
    </row>
    <row r="1784" spans="1:5" x14ac:dyDescent="0.25">
      <c r="A1784" s="925"/>
      <c r="B1784" s="926"/>
      <c r="C1784" s="926"/>
      <c r="D1784" s="926"/>
      <c r="E1784" s="926"/>
    </row>
    <row r="1785" spans="1:5" x14ac:dyDescent="0.25">
      <c r="A1785" s="925"/>
      <c r="B1785" s="926"/>
      <c r="C1785" s="926"/>
      <c r="D1785" s="926"/>
      <c r="E1785" s="926"/>
    </row>
    <row r="1786" spans="1:5" x14ac:dyDescent="0.25">
      <c r="A1786" s="925"/>
      <c r="B1786" s="926"/>
      <c r="C1786" s="926"/>
      <c r="D1786" s="926"/>
      <c r="E1786" s="926"/>
    </row>
    <row r="1787" spans="1:5" x14ac:dyDescent="0.25">
      <c r="A1787" s="925"/>
      <c r="B1787" s="926"/>
      <c r="C1787" s="926"/>
      <c r="D1787" s="926"/>
      <c r="E1787" s="926"/>
    </row>
    <row r="1788" spans="1:5" x14ac:dyDescent="0.25">
      <c r="A1788" s="925"/>
      <c r="B1788" s="926"/>
      <c r="C1788" s="926"/>
      <c r="D1788" s="926"/>
      <c r="E1788" s="926"/>
    </row>
    <row r="1789" spans="1:5" x14ac:dyDescent="0.25">
      <c r="A1789" s="925"/>
      <c r="B1789" s="926"/>
      <c r="C1789" s="926"/>
      <c r="D1789" s="926"/>
      <c r="E1789" s="926"/>
    </row>
    <row r="1790" spans="1:5" x14ac:dyDescent="0.25">
      <c r="A1790" s="925"/>
      <c r="B1790" s="926"/>
      <c r="C1790" s="926"/>
      <c r="D1790" s="926"/>
      <c r="E1790" s="926"/>
    </row>
    <row r="1791" spans="1:5" x14ac:dyDescent="0.25">
      <c r="A1791" s="925"/>
      <c r="B1791" s="926"/>
      <c r="C1791" s="926"/>
      <c r="D1791" s="926"/>
      <c r="E1791" s="926"/>
    </row>
    <row r="1792" spans="1:5" x14ac:dyDescent="0.25">
      <c r="A1792" s="925"/>
      <c r="B1792" s="926"/>
      <c r="C1792" s="926"/>
      <c r="D1792" s="926"/>
      <c r="E1792" s="926"/>
    </row>
    <row r="1793" spans="1:5" x14ac:dyDescent="0.25">
      <c r="A1793" s="925"/>
      <c r="B1793" s="926"/>
      <c r="C1793" s="926"/>
      <c r="D1793" s="926"/>
      <c r="E1793" s="926"/>
    </row>
    <row r="1794" spans="1:5" x14ac:dyDescent="0.25">
      <c r="A1794" s="925"/>
      <c r="B1794" s="926"/>
      <c r="C1794" s="926"/>
      <c r="D1794" s="926"/>
      <c r="E1794" s="926"/>
    </row>
    <row r="1795" spans="1:5" x14ac:dyDescent="0.25">
      <c r="A1795" s="925"/>
      <c r="B1795" s="926"/>
      <c r="C1795" s="926"/>
      <c r="D1795" s="926"/>
      <c r="E1795" s="926"/>
    </row>
    <row r="1796" spans="1:5" x14ac:dyDescent="0.25">
      <c r="A1796" s="925"/>
      <c r="B1796" s="926"/>
      <c r="C1796" s="926"/>
      <c r="D1796" s="926"/>
      <c r="E1796" s="926"/>
    </row>
    <row r="1797" spans="1:5" x14ac:dyDescent="0.25">
      <c r="A1797" s="925"/>
      <c r="B1797" s="926"/>
      <c r="C1797" s="926"/>
      <c r="D1797" s="926"/>
      <c r="E1797" s="926"/>
    </row>
    <row r="1798" spans="1:5" x14ac:dyDescent="0.25">
      <c r="A1798" s="925"/>
      <c r="B1798" s="926"/>
      <c r="C1798" s="926"/>
      <c r="D1798" s="926"/>
      <c r="E1798" s="926"/>
    </row>
    <row r="1799" spans="1:5" x14ac:dyDescent="0.25">
      <c r="A1799" s="925"/>
      <c r="B1799" s="926"/>
      <c r="C1799" s="926"/>
      <c r="D1799" s="926"/>
      <c r="E1799" s="926"/>
    </row>
    <row r="1800" spans="1:5" x14ac:dyDescent="0.25">
      <c r="A1800" s="925"/>
      <c r="B1800" s="926"/>
      <c r="C1800" s="926"/>
      <c r="D1800" s="926"/>
      <c r="E1800" s="926"/>
    </row>
    <row r="1801" spans="1:5" x14ac:dyDescent="0.25">
      <c r="A1801" s="925"/>
      <c r="B1801" s="926"/>
      <c r="C1801" s="926"/>
      <c r="D1801" s="926"/>
      <c r="E1801" s="926"/>
    </row>
    <row r="1802" spans="1:5" x14ac:dyDescent="0.25">
      <c r="A1802" s="925"/>
      <c r="B1802" s="926"/>
      <c r="C1802" s="926"/>
      <c r="D1802" s="926"/>
      <c r="E1802" s="926"/>
    </row>
    <row r="1803" spans="1:5" x14ac:dyDescent="0.25">
      <c r="A1803" s="925"/>
      <c r="B1803" s="926"/>
      <c r="C1803" s="926"/>
      <c r="D1803" s="926"/>
      <c r="E1803" s="926"/>
    </row>
    <row r="1804" spans="1:5" x14ac:dyDescent="0.25">
      <c r="A1804" s="925"/>
      <c r="B1804" s="926"/>
      <c r="C1804" s="926"/>
      <c r="D1804" s="926"/>
      <c r="E1804" s="926"/>
    </row>
    <row r="1805" spans="1:5" x14ac:dyDescent="0.25">
      <c r="A1805" s="925"/>
      <c r="B1805" s="926"/>
      <c r="C1805" s="926"/>
      <c r="D1805" s="926"/>
      <c r="E1805" s="926"/>
    </row>
    <row r="1806" spans="1:5" x14ac:dyDescent="0.25">
      <c r="A1806" s="925"/>
      <c r="B1806" s="926"/>
      <c r="C1806" s="926"/>
      <c r="D1806" s="926"/>
      <c r="E1806" s="926"/>
    </row>
    <row r="1807" spans="1:5" x14ac:dyDescent="0.25">
      <c r="A1807" s="925"/>
      <c r="B1807" s="926"/>
      <c r="C1807" s="926"/>
      <c r="D1807" s="926"/>
      <c r="E1807" s="926"/>
    </row>
    <row r="1808" spans="1:5" x14ac:dyDescent="0.25">
      <c r="A1808" s="925"/>
      <c r="B1808" s="926"/>
      <c r="C1808" s="926"/>
      <c r="D1808" s="926"/>
      <c r="E1808" s="926"/>
    </row>
    <row r="1809" spans="1:5" x14ac:dyDescent="0.25">
      <c r="A1809" s="925"/>
      <c r="B1809" s="926"/>
      <c r="C1809" s="926"/>
      <c r="D1809" s="926"/>
      <c r="E1809" s="926"/>
    </row>
    <row r="1810" spans="1:5" x14ac:dyDescent="0.25">
      <c r="A1810" s="925"/>
      <c r="B1810" s="926"/>
      <c r="C1810" s="926"/>
      <c r="D1810" s="926"/>
      <c r="E1810" s="926"/>
    </row>
    <row r="1811" spans="1:5" x14ac:dyDescent="0.25">
      <c r="A1811" s="925"/>
      <c r="B1811" s="926"/>
      <c r="C1811" s="926"/>
      <c r="D1811" s="926"/>
      <c r="E1811" s="926"/>
    </row>
    <row r="1812" spans="1:5" x14ac:dyDescent="0.25">
      <c r="A1812" s="925"/>
      <c r="B1812" s="926"/>
      <c r="C1812" s="926"/>
      <c r="D1812" s="926"/>
      <c r="E1812" s="926"/>
    </row>
    <row r="1813" spans="1:5" x14ac:dyDescent="0.25">
      <c r="A1813" s="925"/>
      <c r="B1813" s="926"/>
      <c r="C1813" s="926"/>
      <c r="D1813" s="926"/>
      <c r="E1813" s="926"/>
    </row>
    <row r="1814" spans="1:5" x14ac:dyDescent="0.25">
      <c r="A1814" s="925"/>
      <c r="B1814" s="926"/>
      <c r="C1814" s="926"/>
      <c r="D1814" s="926"/>
      <c r="E1814" s="926"/>
    </row>
    <row r="1815" spans="1:5" x14ac:dyDescent="0.25">
      <c r="A1815" s="925"/>
      <c r="B1815" s="926"/>
      <c r="C1815" s="926"/>
      <c r="D1815" s="926"/>
      <c r="E1815" s="926"/>
    </row>
    <row r="1816" spans="1:5" x14ac:dyDescent="0.25">
      <c r="A1816" s="925"/>
      <c r="B1816" s="926"/>
      <c r="C1816" s="926"/>
      <c r="D1816" s="926"/>
      <c r="E1816" s="926"/>
    </row>
    <row r="1817" spans="1:5" x14ac:dyDescent="0.25">
      <c r="A1817" s="925"/>
      <c r="B1817" s="926"/>
      <c r="C1817" s="926"/>
      <c r="D1817" s="926"/>
      <c r="E1817" s="926"/>
    </row>
    <row r="1818" spans="1:5" x14ac:dyDescent="0.25">
      <c r="A1818" s="925"/>
      <c r="B1818" s="926"/>
      <c r="C1818" s="926"/>
      <c r="D1818" s="926"/>
      <c r="E1818" s="926"/>
    </row>
    <row r="1819" spans="1:5" x14ac:dyDescent="0.25">
      <c r="A1819" s="925"/>
      <c r="B1819" s="926"/>
      <c r="C1819" s="926"/>
      <c r="D1819" s="926"/>
      <c r="E1819" s="926"/>
    </row>
    <row r="1820" spans="1:5" x14ac:dyDescent="0.25">
      <c r="A1820" s="925"/>
      <c r="B1820" s="926"/>
      <c r="C1820" s="926"/>
      <c r="D1820" s="926"/>
      <c r="E1820" s="926"/>
    </row>
    <row r="1821" spans="1:5" x14ac:dyDescent="0.25">
      <c r="A1821" s="925"/>
      <c r="B1821" s="926"/>
      <c r="C1821" s="926"/>
      <c r="D1821" s="926"/>
      <c r="E1821" s="926"/>
    </row>
    <row r="1822" spans="1:5" x14ac:dyDescent="0.25">
      <c r="A1822" s="925"/>
      <c r="B1822" s="926"/>
      <c r="C1822" s="926"/>
      <c r="D1822" s="926"/>
      <c r="E1822" s="926"/>
    </row>
    <row r="1823" spans="1:5" x14ac:dyDescent="0.25">
      <c r="A1823" s="925"/>
      <c r="B1823" s="926"/>
      <c r="C1823" s="926"/>
      <c r="D1823" s="926"/>
      <c r="E1823" s="926"/>
    </row>
    <row r="1824" spans="1:5" x14ac:dyDescent="0.25">
      <c r="A1824" s="925"/>
      <c r="B1824" s="926"/>
      <c r="C1824" s="926"/>
      <c r="D1824" s="926"/>
      <c r="E1824" s="926"/>
    </row>
    <row r="1825" spans="1:5" x14ac:dyDescent="0.25">
      <c r="A1825" s="925"/>
      <c r="B1825" s="926"/>
      <c r="C1825" s="926"/>
      <c r="D1825" s="926"/>
      <c r="E1825" s="926"/>
    </row>
    <row r="1826" spans="1:5" x14ac:dyDescent="0.25">
      <c r="A1826" s="925"/>
      <c r="B1826" s="926"/>
      <c r="C1826" s="926"/>
      <c r="D1826" s="926"/>
      <c r="E1826" s="926"/>
    </row>
    <row r="1827" spans="1:5" x14ac:dyDescent="0.25">
      <c r="A1827" s="925"/>
      <c r="B1827" s="926"/>
      <c r="C1827" s="926"/>
      <c r="D1827" s="926"/>
      <c r="E1827" s="926"/>
    </row>
    <row r="1828" spans="1:5" x14ac:dyDescent="0.25">
      <c r="A1828" s="925"/>
      <c r="B1828" s="926"/>
      <c r="C1828" s="926"/>
      <c r="D1828" s="926"/>
      <c r="E1828" s="926"/>
    </row>
    <row r="1829" spans="1:5" x14ac:dyDescent="0.25">
      <c r="A1829" s="925"/>
      <c r="B1829" s="926"/>
      <c r="C1829" s="926"/>
      <c r="D1829" s="926"/>
      <c r="E1829" s="926"/>
    </row>
    <row r="1830" spans="1:5" x14ac:dyDescent="0.25">
      <c r="A1830" s="925"/>
      <c r="B1830" s="926"/>
      <c r="C1830" s="926"/>
      <c r="D1830" s="926"/>
      <c r="E1830" s="926"/>
    </row>
    <row r="1831" spans="1:5" x14ac:dyDescent="0.25">
      <c r="A1831" s="925"/>
      <c r="B1831" s="926"/>
      <c r="C1831" s="926"/>
      <c r="D1831" s="926"/>
      <c r="E1831" s="926"/>
    </row>
    <row r="1832" spans="1:5" x14ac:dyDescent="0.25">
      <c r="A1832" s="925"/>
      <c r="B1832" s="926"/>
      <c r="C1832" s="926"/>
      <c r="D1832" s="926"/>
      <c r="E1832" s="926"/>
    </row>
    <row r="1833" spans="1:5" x14ac:dyDescent="0.25">
      <c r="A1833" s="925"/>
      <c r="B1833" s="926"/>
      <c r="C1833" s="926"/>
      <c r="D1833" s="926"/>
      <c r="E1833" s="926"/>
    </row>
    <row r="1834" spans="1:5" x14ac:dyDescent="0.25">
      <c r="A1834" s="925"/>
      <c r="B1834" s="926"/>
      <c r="C1834" s="926"/>
      <c r="D1834" s="926"/>
      <c r="E1834" s="926"/>
    </row>
    <row r="1835" spans="1:5" x14ac:dyDescent="0.25">
      <c r="A1835" s="925"/>
      <c r="B1835" s="926"/>
      <c r="C1835" s="926"/>
      <c r="D1835" s="926"/>
      <c r="E1835" s="926"/>
    </row>
    <row r="1836" spans="1:5" x14ac:dyDescent="0.25">
      <c r="A1836" s="925"/>
      <c r="B1836" s="926"/>
      <c r="C1836" s="926"/>
      <c r="D1836" s="926"/>
      <c r="E1836" s="926"/>
    </row>
    <row r="1837" spans="1:5" x14ac:dyDescent="0.25">
      <c r="A1837" s="925"/>
      <c r="B1837" s="926"/>
      <c r="C1837" s="926"/>
      <c r="D1837" s="926"/>
      <c r="E1837" s="926"/>
    </row>
    <row r="1838" spans="1:5" x14ac:dyDescent="0.25">
      <c r="A1838" s="925"/>
      <c r="B1838" s="926"/>
      <c r="C1838" s="926"/>
      <c r="D1838" s="926"/>
      <c r="E1838" s="926"/>
    </row>
    <row r="1839" spans="1:5" x14ac:dyDescent="0.25">
      <c r="A1839" s="925"/>
      <c r="B1839" s="926"/>
      <c r="C1839" s="926"/>
      <c r="D1839" s="926"/>
      <c r="E1839" s="926"/>
    </row>
    <row r="1840" spans="1:5" x14ac:dyDescent="0.25">
      <c r="A1840" s="925"/>
      <c r="B1840" s="926"/>
      <c r="C1840" s="926"/>
      <c r="D1840" s="926"/>
      <c r="E1840" s="926"/>
    </row>
    <row r="1841" spans="1:5" x14ac:dyDescent="0.25">
      <c r="A1841" s="925"/>
      <c r="B1841" s="926"/>
      <c r="C1841" s="926"/>
      <c r="D1841" s="926"/>
      <c r="E1841" s="926"/>
    </row>
    <row r="1842" spans="1:5" x14ac:dyDescent="0.25">
      <c r="A1842" s="925"/>
      <c r="B1842" s="926"/>
      <c r="C1842" s="926"/>
      <c r="D1842" s="926"/>
      <c r="E1842" s="926"/>
    </row>
    <row r="1843" spans="1:5" x14ac:dyDescent="0.25">
      <c r="A1843" s="925"/>
      <c r="B1843" s="926"/>
      <c r="C1843" s="926"/>
      <c r="D1843" s="926"/>
      <c r="E1843" s="926"/>
    </row>
    <row r="1844" spans="1:5" x14ac:dyDescent="0.25">
      <c r="A1844" s="925"/>
      <c r="B1844" s="926"/>
      <c r="C1844" s="926"/>
      <c r="D1844" s="926"/>
      <c r="E1844" s="926"/>
    </row>
    <row r="1845" spans="1:5" x14ac:dyDescent="0.25">
      <c r="A1845" s="925"/>
      <c r="B1845" s="926"/>
      <c r="C1845" s="926"/>
      <c r="D1845" s="926"/>
      <c r="E1845" s="926"/>
    </row>
    <row r="1846" spans="1:5" x14ac:dyDescent="0.25">
      <c r="A1846" s="925"/>
      <c r="B1846" s="926"/>
      <c r="C1846" s="926"/>
      <c r="D1846" s="926"/>
      <c r="E1846" s="926"/>
    </row>
    <row r="1847" spans="1:5" x14ac:dyDescent="0.25">
      <c r="A1847" s="925"/>
      <c r="B1847" s="926"/>
      <c r="C1847" s="926"/>
      <c r="D1847" s="926"/>
      <c r="E1847" s="926"/>
    </row>
    <row r="1848" spans="1:5" x14ac:dyDescent="0.25">
      <c r="A1848" s="925"/>
      <c r="B1848" s="926"/>
      <c r="C1848" s="926"/>
      <c r="D1848" s="926"/>
      <c r="E1848" s="926"/>
    </row>
    <row r="1849" spans="1:5" x14ac:dyDescent="0.25">
      <c r="A1849" s="925"/>
      <c r="B1849" s="926"/>
      <c r="C1849" s="926"/>
      <c r="D1849" s="926"/>
      <c r="E1849" s="926"/>
    </row>
    <row r="1850" spans="1:5" x14ac:dyDescent="0.25">
      <c r="A1850" s="925"/>
      <c r="B1850" s="926"/>
      <c r="C1850" s="926"/>
      <c r="D1850" s="926"/>
      <c r="E1850" s="926"/>
    </row>
    <row r="1851" spans="1:5" x14ac:dyDescent="0.25">
      <c r="A1851" s="925"/>
      <c r="B1851" s="926"/>
      <c r="C1851" s="926"/>
      <c r="D1851" s="926"/>
      <c r="E1851" s="926"/>
    </row>
    <row r="1852" spans="1:5" x14ac:dyDescent="0.25">
      <c r="A1852" s="925"/>
      <c r="B1852" s="926"/>
      <c r="C1852" s="926"/>
      <c r="D1852" s="926"/>
      <c r="E1852" s="926"/>
    </row>
    <row r="1853" spans="1:5" x14ac:dyDescent="0.25">
      <c r="A1853" s="925"/>
      <c r="B1853" s="926"/>
      <c r="C1853" s="926"/>
      <c r="D1853" s="926"/>
      <c r="E1853" s="926"/>
    </row>
    <row r="1854" spans="1:5" x14ac:dyDescent="0.25">
      <c r="A1854" s="925"/>
      <c r="B1854" s="926"/>
      <c r="C1854" s="926"/>
      <c r="D1854" s="926"/>
      <c r="E1854" s="926"/>
    </row>
    <row r="1855" spans="1:5" x14ac:dyDescent="0.25">
      <c r="A1855" s="925"/>
      <c r="B1855" s="926"/>
      <c r="C1855" s="926"/>
      <c r="D1855" s="926"/>
      <c r="E1855" s="926"/>
    </row>
    <row r="1856" spans="1:5" x14ac:dyDescent="0.25">
      <c r="A1856" s="925"/>
      <c r="B1856" s="926"/>
      <c r="C1856" s="926"/>
      <c r="D1856" s="926"/>
      <c r="E1856" s="926"/>
    </row>
    <row r="1857" spans="1:5" x14ac:dyDescent="0.25">
      <c r="A1857" s="925"/>
      <c r="B1857" s="926"/>
      <c r="C1857" s="926"/>
      <c r="D1857" s="926"/>
      <c r="E1857" s="926"/>
    </row>
    <row r="1858" spans="1:5" x14ac:dyDescent="0.25">
      <c r="A1858" s="925"/>
      <c r="B1858" s="926"/>
      <c r="C1858" s="926"/>
      <c r="D1858" s="926"/>
      <c r="E1858" s="926"/>
    </row>
    <row r="1859" spans="1:5" x14ac:dyDescent="0.25">
      <c r="A1859" s="925"/>
      <c r="B1859" s="926"/>
      <c r="C1859" s="926"/>
      <c r="D1859" s="926"/>
      <c r="E1859" s="926"/>
    </row>
    <row r="1860" spans="1:5" x14ac:dyDescent="0.25">
      <c r="A1860" s="925"/>
      <c r="B1860" s="926"/>
      <c r="C1860" s="926"/>
      <c r="D1860" s="926"/>
      <c r="E1860" s="926"/>
    </row>
    <row r="1861" spans="1:5" x14ac:dyDescent="0.25">
      <c r="A1861" s="925"/>
      <c r="B1861" s="926"/>
      <c r="C1861" s="926"/>
      <c r="D1861" s="926"/>
      <c r="E1861" s="926"/>
    </row>
    <row r="1862" spans="1:5" x14ac:dyDescent="0.25">
      <c r="A1862" s="925"/>
      <c r="B1862" s="926"/>
      <c r="C1862" s="926"/>
      <c r="D1862" s="926"/>
      <c r="E1862" s="926"/>
    </row>
    <row r="1863" spans="1:5" x14ac:dyDescent="0.25">
      <c r="A1863" s="925"/>
      <c r="B1863" s="926"/>
      <c r="C1863" s="926"/>
      <c r="D1863" s="926"/>
      <c r="E1863" s="926"/>
    </row>
    <row r="1864" spans="1:5" x14ac:dyDescent="0.25">
      <c r="A1864" s="925"/>
      <c r="B1864" s="926"/>
      <c r="C1864" s="926"/>
      <c r="D1864" s="926"/>
      <c r="E1864" s="926"/>
    </row>
    <row r="1865" spans="1:5" x14ac:dyDescent="0.25">
      <c r="A1865" s="925"/>
      <c r="B1865" s="926"/>
      <c r="C1865" s="926"/>
      <c r="D1865" s="926"/>
      <c r="E1865" s="926"/>
    </row>
    <row r="1866" spans="1:5" x14ac:dyDescent="0.25">
      <c r="A1866" s="925"/>
      <c r="B1866" s="926"/>
      <c r="C1866" s="926"/>
      <c r="D1866" s="926"/>
      <c r="E1866" s="926"/>
    </row>
    <row r="1867" spans="1:5" x14ac:dyDescent="0.25">
      <c r="A1867" s="925"/>
      <c r="B1867" s="926"/>
      <c r="C1867" s="926"/>
      <c r="D1867" s="926"/>
      <c r="E1867" s="926"/>
    </row>
    <row r="1868" spans="1:5" x14ac:dyDescent="0.25">
      <c r="A1868" s="925"/>
      <c r="B1868" s="926"/>
      <c r="C1868" s="926"/>
      <c r="D1868" s="926"/>
      <c r="E1868" s="926"/>
    </row>
    <row r="1869" spans="1:5" x14ac:dyDescent="0.25">
      <c r="A1869" s="925"/>
      <c r="B1869" s="926"/>
      <c r="C1869" s="926"/>
      <c r="D1869" s="926"/>
      <c r="E1869" s="926"/>
    </row>
    <row r="1870" spans="1:5" x14ac:dyDescent="0.25">
      <c r="A1870" s="925"/>
      <c r="B1870" s="926"/>
      <c r="C1870" s="926"/>
      <c r="D1870" s="926"/>
      <c r="E1870" s="926"/>
    </row>
    <row r="1871" spans="1:5" x14ac:dyDescent="0.25">
      <c r="A1871" s="925"/>
      <c r="B1871" s="926"/>
      <c r="C1871" s="926"/>
      <c r="D1871" s="926"/>
      <c r="E1871" s="926"/>
    </row>
    <row r="1872" spans="1:5" x14ac:dyDescent="0.25">
      <c r="A1872" s="925"/>
      <c r="B1872" s="926"/>
      <c r="C1872" s="926"/>
      <c r="D1872" s="926"/>
      <c r="E1872" s="926"/>
    </row>
    <row r="1873" spans="1:5" x14ac:dyDescent="0.25">
      <c r="A1873" s="925"/>
      <c r="B1873" s="926"/>
      <c r="C1873" s="926"/>
      <c r="D1873" s="926"/>
      <c r="E1873" s="926"/>
    </row>
    <row r="1874" spans="1:5" x14ac:dyDescent="0.25">
      <c r="A1874" s="925"/>
      <c r="B1874" s="926"/>
      <c r="C1874" s="926"/>
      <c r="D1874" s="926"/>
      <c r="E1874" s="926"/>
    </row>
    <row r="1875" spans="1:5" x14ac:dyDescent="0.25">
      <c r="A1875" s="925"/>
      <c r="B1875" s="926"/>
      <c r="C1875" s="926"/>
      <c r="D1875" s="926"/>
      <c r="E1875" s="926"/>
    </row>
    <row r="1876" spans="1:5" x14ac:dyDescent="0.25">
      <c r="A1876" s="925"/>
      <c r="B1876" s="926"/>
      <c r="C1876" s="926"/>
      <c r="D1876" s="926"/>
      <c r="E1876" s="926"/>
    </row>
    <row r="1877" spans="1:5" x14ac:dyDescent="0.25">
      <c r="A1877" s="925"/>
      <c r="B1877" s="926"/>
      <c r="C1877" s="926"/>
      <c r="D1877" s="926"/>
      <c r="E1877" s="926"/>
    </row>
    <row r="1878" spans="1:5" x14ac:dyDescent="0.25">
      <c r="A1878" s="925"/>
      <c r="B1878" s="926"/>
      <c r="C1878" s="926"/>
      <c r="D1878" s="926"/>
      <c r="E1878" s="926"/>
    </row>
    <row r="1879" spans="1:5" x14ac:dyDescent="0.25">
      <c r="A1879" s="925"/>
      <c r="B1879" s="926"/>
      <c r="C1879" s="926"/>
      <c r="D1879" s="926"/>
      <c r="E1879" s="926"/>
    </row>
    <row r="1880" spans="1:5" x14ac:dyDescent="0.25">
      <c r="A1880" s="925"/>
      <c r="B1880" s="926"/>
      <c r="C1880" s="926"/>
      <c r="D1880" s="926"/>
      <c r="E1880" s="926"/>
    </row>
    <row r="1881" spans="1:5" x14ac:dyDescent="0.25">
      <c r="A1881" s="925"/>
      <c r="B1881" s="926"/>
      <c r="C1881" s="926"/>
      <c r="D1881" s="926"/>
      <c r="E1881" s="926"/>
    </row>
    <row r="1882" spans="1:5" x14ac:dyDescent="0.25">
      <c r="A1882" s="925"/>
      <c r="B1882" s="926"/>
      <c r="C1882" s="926"/>
      <c r="D1882" s="926"/>
      <c r="E1882" s="926"/>
    </row>
    <row r="1883" spans="1:5" x14ac:dyDescent="0.25">
      <c r="A1883" s="925"/>
      <c r="B1883" s="926"/>
      <c r="C1883" s="926"/>
      <c r="D1883" s="926"/>
      <c r="E1883" s="926"/>
    </row>
    <row r="1884" spans="1:5" x14ac:dyDescent="0.25">
      <c r="A1884" s="925"/>
      <c r="B1884" s="926"/>
      <c r="C1884" s="926"/>
      <c r="D1884" s="926"/>
      <c r="E1884" s="926"/>
    </row>
    <row r="1885" spans="1:5" x14ac:dyDescent="0.25">
      <c r="A1885" s="925"/>
      <c r="B1885" s="926"/>
      <c r="C1885" s="926"/>
      <c r="D1885" s="926"/>
      <c r="E1885" s="926"/>
    </row>
    <row r="1886" spans="1:5" x14ac:dyDescent="0.25">
      <c r="A1886" s="925"/>
      <c r="B1886" s="926"/>
      <c r="C1886" s="926"/>
      <c r="D1886" s="926"/>
      <c r="E1886" s="926"/>
    </row>
    <row r="1887" spans="1:5" x14ac:dyDescent="0.25">
      <c r="A1887" s="925"/>
      <c r="B1887" s="926"/>
      <c r="C1887" s="926"/>
      <c r="D1887" s="926"/>
      <c r="E1887" s="926"/>
    </row>
    <row r="1888" spans="1:5" x14ac:dyDescent="0.25">
      <c r="A1888" s="925"/>
      <c r="B1888" s="926"/>
      <c r="C1888" s="926"/>
      <c r="D1888" s="926"/>
      <c r="E1888" s="926"/>
    </row>
    <row r="1889" spans="1:5" x14ac:dyDescent="0.25">
      <c r="A1889" s="925"/>
      <c r="B1889" s="926"/>
      <c r="C1889" s="926"/>
      <c r="D1889" s="926"/>
      <c r="E1889" s="926"/>
    </row>
    <row r="1890" spans="1:5" x14ac:dyDescent="0.25">
      <c r="A1890" s="925"/>
      <c r="B1890" s="926"/>
      <c r="C1890" s="926"/>
      <c r="D1890" s="926"/>
      <c r="E1890" s="926"/>
    </row>
    <row r="1891" spans="1:5" x14ac:dyDescent="0.25">
      <c r="A1891" s="925"/>
      <c r="B1891" s="926"/>
      <c r="C1891" s="926"/>
      <c r="D1891" s="926"/>
      <c r="E1891" s="926"/>
    </row>
    <row r="1892" spans="1:5" x14ac:dyDescent="0.25">
      <c r="A1892" s="925"/>
      <c r="B1892" s="926"/>
      <c r="C1892" s="926"/>
      <c r="D1892" s="926"/>
      <c r="E1892" s="926"/>
    </row>
    <row r="1893" spans="1:5" x14ac:dyDescent="0.25">
      <c r="A1893" s="925"/>
      <c r="B1893" s="926"/>
      <c r="C1893" s="926"/>
      <c r="D1893" s="926"/>
      <c r="E1893" s="926"/>
    </row>
    <row r="1894" spans="1:5" x14ac:dyDescent="0.25">
      <c r="A1894" s="925"/>
      <c r="B1894" s="926"/>
      <c r="C1894" s="926"/>
      <c r="D1894" s="926"/>
      <c r="E1894" s="926"/>
    </row>
    <row r="1895" spans="1:5" x14ac:dyDescent="0.25">
      <c r="A1895" s="925"/>
      <c r="B1895" s="926"/>
      <c r="C1895" s="926"/>
      <c r="D1895" s="926"/>
      <c r="E1895" s="926"/>
    </row>
    <row r="1896" spans="1:5" x14ac:dyDescent="0.25">
      <c r="A1896" s="925"/>
      <c r="B1896" s="926"/>
      <c r="C1896" s="926"/>
      <c r="D1896" s="926"/>
      <c r="E1896" s="926"/>
    </row>
    <row r="1897" spans="1:5" x14ac:dyDescent="0.25">
      <c r="A1897" s="925"/>
      <c r="B1897" s="926"/>
      <c r="C1897" s="926"/>
      <c r="D1897" s="926"/>
      <c r="E1897" s="926"/>
    </row>
    <row r="1898" spans="1:5" x14ac:dyDescent="0.25">
      <c r="A1898" s="925"/>
      <c r="B1898" s="926"/>
      <c r="C1898" s="926"/>
      <c r="D1898" s="926"/>
      <c r="E1898" s="926"/>
    </row>
    <row r="1899" spans="1:5" x14ac:dyDescent="0.25">
      <c r="A1899" s="925"/>
      <c r="B1899" s="926"/>
      <c r="C1899" s="926"/>
      <c r="D1899" s="926"/>
      <c r="E1899" s="926"/>
    </row>
    <row r="1900" spans="1:5" x14ac:dyDescent="0.25">
      <c r="A1900" s="925"/>
      <c r="B1900" s="926"/>
      <c r="C1900" s="926"/>
      <c r="D1900" s="926"/>
      <c r="E1900" s="926"/>
    </row>
    <row r="1901" spans="1:5" x14ac:dyDescent="0.25">
      <c r="A1901" s="925"/>
      <c r="B1901" s="926"/>
      <c r="C1901" s="926"/>
      <c r="D1901" s="926"/>
      <c r="E1901" s="926"/>
    </row>
    <row r="1902" spans="1:5" x14ac:dyDescent="0.25">
      <c r="A1902" s="925"/>
      <c r="B1902" s="926"/>
      <c r="C1902" s="926"/>
      <c r="D1902" s="926"/>
      <c r="E1902" s="926"/>
    </row>
    <row r="1903" spans="1:5" x14ac:dyDescent="0.25">
      <c r="A1903" s="925"/>
      <c r="B1903" s="926"/>
      <c r="C1903" s="926"/>
      <c r="D1903" s="926"/>
      <c r="E1903" s="926"/>
    </row>
    <row r="1904" spans="1:5" x14ac:dyDescent="0.25">
      <c r="A1904" s="925"/>
      <c r="B1904" s="926"/>
      <c r="C1904" s="926"/>
      <c r="D1904" s="926"/>
      <c r="E1904" s="926"/>
    </row>
    <row r="1905" spans="1:5" x14ac:dyDescent="0.25">
      <c r="A1905" s="925"/>
      <c r="B1905" s="926"/>
      <c r="C1905" s="926"/>
      <c r="D1905" s="926"/>
      <c r="E1905" s="926"/>
    </row>
    <row r="1906" spans="1:5" x14ac:dyDescent="0.25">
      <c r="A1906" s="925"/>
      <c r="B1906" s="926"/>
      <c r="C1906" s="926"/>
      <c r="D1906" s="926"/>
      <c r="E1906" s="926"/>
    </row>
    <row r="1907" spans="1:5" x14ac:dyDescent="0.25">
      <c r="A1907" s="925"/>
      <c r="B1907" s="926"/>
      <c r="C1907" s="926"/>
      <c r="D1907" s="926"/>
      <c r="E1907" s="926"/>
    </row>
    <row r="1908" spans="1:5" x14ac:dyDescent="0.25">
      <c r="A1908" s="925"/>
      <c r="B1908" s="926"/>
      <c r="C1908" s="926"/>
      <c r="D1908" s="926"/>
      <c r="E1908" s="926"/>
    </row>
    <row r="1909" spans="1:5" x14ac:dyDescent="0.25">
      <c r="A1909" s="925"/>
      <c r="B1909" s="926"/>
      <c r="C1909" s="926"/>
      <c r="D1909" s="926"/>
      <c r="E1909" s="926"/>
    </row>
    <row r="1910" spans="1:5" x14ac:dyDescent="0.25">
      <c r="A1910" s="925"/>
      <c r="B1910" s="926"/>
      <c r="C1910" s="926"/>
      <c r="D1910" s="926"/>
      <c r="E1910" s="926"/>
    </row>
    <row r="1911" spans="1:5" x14ac:dyDescent="0.25">
      <c r="A1911" s="925"/>
      <c r="B1911" s="926"/>
      <c r="C1911" s="926"/>
      <c r="D1911" s="926"/>
      <c r="E1911" s="926"/>
    </row>
    <row r="1912" spans="1:5" x14ac:dyDescent="0.25">
      <c r="A1912" s="925"/>
      <c r="B1912" s="926"/>
      <c r="C1912" s="926"/>
      <c r="D1912" s="926"/>
      <c r="E1912" s="926"/>
    </row>
    <row r="1913" spans="1:5" x14ac:dyDescent="0.25">
      <c r="A1913" s="925"/>
      <c r="B1913" s="926"/>
      <c r="C1913" s="926"/>
      <c r="D1913" s="926"/>
      <c r="E1913" s="926"/>
    </row>
    <row r="1914" spans="1:5" x14ac:dyDescent="0.25">
      <c r="A1914" s="925"/>
      <c r="B1914" s="926"/>
      <c r="C1914" s="926"/>
      <c r="D1914" s="926"/>
      <c r="E1914" s="926"/>
    </row>
    <row r="1915" spans="1:5" x14ac:dyDescent="0.25">
      <c r="A1915" s="925"/>
      <c r="B1915" s="926"/>
      <c r="C1915" s="926"/>
      <c r="D1915" s="926"/>
      <c r="E1915" s="926"/>
    </row>
    <row r="1916" spans="1:5" x14ac:dyDescent="0.25">
      <c r="A1916" s="925"/>
      <c r="B1916" s="926"/>
      <c r="C1916" s="926"/>
      <c r="D1916" s="926"/>
      <c r="E1916" s="926"/>
    </row>
    <row r="1917" spans="1:5" x14ac:dyDescent="0.25">
      <c r="A1917" s="925"/>
      <c r="B1917" s="926"/>
      <c r="C1917" s="926"/>
      <c r="D1917" s="926"/>
      <c r="E1917" s="926"/>
    </row>
    <row r="1918" spans="1:5" x14ac:dyDescent="0.25">
      <c r="A1918" s="925"/>
      <c r="B1918" s="926"/>
      <c r="C1918" s="926"/>
      <c r="D1918" s="926"/>
      <c r="E1918" s="926"/>
    </row>
    <row r="1919" spans="1:5" x14ac:dyDescent="0.25">
      <c r="A1919" s="925"/>
      <c r="B1919" s="926"/>
      <c r="C1919" s="926"/>
      <c r="D1919" s="926"/>
      <c r="E1919" s="926"/>
    </row>
    <row r="1920" spans="1:5" x14ac:dyDescent="0.25">
      <c r="A1920" s="925"/>
      <c r="B1920" s="926"/>
      <c r="C1920" s="926"/>
      <c r="D1920" s="926"/>
      <c r="E1920" s="926"/>
    </row>
    <row r="1921" spans="1:5" x14ac:dyDescent="0.25">
      <c r="A1921" s="925"/>
      <c r="B1921" s="926"/>
      <c r="C1921" s="926"/>
      <c r="D1921" s="926"/>
      <c r="E1921" s="926"/>
    </row>
    <row r="1922" spans="1:5" x14ac:dyDescent="0.25">
      <c r="A1922" s="925"/>
      <c r="B1922" s="926"/>
      <c r="C1922" s="926"/>
      <c r="D1922" s="926"/>
      <c r="E1922" s="926"/>
    </row>
    <row r="1923" spans="1:5" x14ac:dyDescent="0.25">
      <c r="A1923" s="925"/>
      <c r="B1923" s="926"/>
      <c r="C1923" s="926"/>
      <c r="D1923" s="926"/>
      <c r="E1923" s="926"/>
    </row>
    <row r="1924" spans="1:5" x14ac:dyDescent="0.25">
      <c r="A1924" s="925"/>
      <c r="B1924" s="926"/>
      <c r="C1924" s="926"/>
      <c r="D1924" s="926"/>
      <c r="E1924" s="926"/>
    </row>
    <row r="1925" spans="1:5" x14ac:dyDescent="0.25">
      <c r="A1925" s="925"/>
      <c r="B1925" s="926"/>
      <c r="C1925" s="926"/>
      <c r="D1925" s="926"/>
      <c r="E1925" s="926"/>
    </row>
    <row r="1926" spans="1:5" x14ac:dyDescent="0.25">
      <c r="A1926" s="925"/>
      <c r="B1926" s="926"/>
      <c r="C1926" s="926"/>
      <c r="D1926" s="926"/>
      <c r="E1926" s="926"/>
    </row>
    <row r="1927" spans="1:5" x14ac:dyDescent="0.25">
      <c r="A1927" s="925"/>
      <c r="B1927" s="926"/>
      <c r="C1927" s="926"/>
      <c r="D1927" s="926"/>
      <c r="E1927" s="926"/>
    </row>
    <row r="1928" spans="1:5" x14ac:dyDescent="0.25">
      <c r="A1928" s="925"/>
      <c r="B1928" s="926"/>
      <c r="C1928" s="926"/>
      <c r="D1928" s="926"/>
      <c r="E1928" s="926"/>
    </row>
    <row r="1929" spans="1:5" x14ac:dyDescent="0.25">
      <c r="A1929" s="925"/>
      <c r="B1929" s="926"/>
      <c r="C1929" s="926"/>
      <c r="D1929" s="926"/>
      <c r="E1929" s="926"/>
    </row>
    <row r="1930" spans="1:5" x14ac:dyDescent="0.25">
      <c r="A1930" s="925"/>
      <c r="B1930" s="926"/>
      <c r="C1930" s="926"/>
      <c r="D1930" s="926"/>
      <c r="E1930" s="926"/>
    </row>
    <row r="1931" spans="1:5" x14ac:dyDescent="0.25">
      <c r="A1931" s="925"/>
      <c r="B1931" s="926"/>
      <c r="C1931" s="926"/>
      <c r="D1931" s="926"/>
      <c r="E1931" s="926"/>
    </row>
    <row r="1932" spans="1:5" x14ac:dyDescent="0.25">
      <c r="A1932" s="925"/>
      <c r="B1932" s="926"/>
      <c r="C1932" s="926"/>
      <c r="D1932" s="926"/>
      <c r="E1932" s="926"/>
    </row>
    <row r="1933" spans="1:5" x14ac:dyDescent="0.25">
      <c r="A1933" s="925"/>
      <c r="B1933" s="926"/>
      <c r="C1933" s="926"/>
      <c r="D1933" s="926"/>
      <c r="E1933" s="926"/>
    </row>
    <row r="1934" spans="1:5" x14ac:dyDescent="0.25">
      <c r="A1934" s="925"/>
      <c r="B1934" s="926"/>
      <c r="C1934" s="926"/>
      <c r="D1934" s="926"/>
      <c r="E1934" s="926"/>
    </row>
    <row r="1935" spans="1:5" x14ac:dyDescent="0.25">
      <c r="A1935" s="925"/>
      <c r="B1935" s="926"/>
      <c r="C1935" s="926"/>
      <c r="D1935" s="926"/>
      <c r="E1935" s="926"/>
    </row>
    <row r="1936" spans="1:5" x14ac:dyDescent="0.25">
      <c r="A1936" s="925"/>
      <c r="B1936" s="926"/>
      <c r="C1936" s="926"/>
      <c r="D1936" s="926"/>
      <c r="E1936" s="926"/>
    </row>
    <row r="1937" spans="1:5" x14ac:dyDescent="0.25">
      <c r="A1937" s="925"/>
      <c r="B1937" s="926"/>
      <c r="C1937" s="926"/>
      <c r="D1937" s="926"/>
      <c r="E1937" s="926"/>
    </row>
    <row r="1938" spans="1:5" x14ac:dyDescent="0.25">
      <c r="A1938" s="925"/>
      <c r="B1938" s="926"/>
      <c r="C1938" s="926"/>
      <c r="D1938" s="926"/>
      <c r="E1938" s="926"/>
    </row>
    <row r="1939" spans="1:5" x14ac:dyDescent="0.25">
      <c r="A1939" s="925"/>
      <c r="B1939" s="926"/>
      <c r="C1939" s="926"/>
      <c r="D1939" s="926"/>
      <c r="E1939" s="926"/>
    </row>
    <row r="1940" spans="1:5" x14ac:dyDescent="0.25">
      <c r="A1940" s="925"/>
      <c r="B1940" s="926"/>
      <c r="C1940" s="926"/>
      <c r="D1940" s="926"/>
      <c r="E1940" s="926"/>
    </row>
    <row r="1941" spans="1:5" x14ac:dyDescent="0.25">
      <c r="A1941" s="925"/>
      <c r="B1941" s="926"/>
      <c r="C1941" s="926"/>
      <c r="D1941" s="926"/>
      <c r="E1941" s="926"/>
    </row>
    <row r="1942" spans="1:5" x14ac:dyDescent="0.25">
      <c r="A1942" s="925"/>
      <c r="B1942" s="926"/>
      <c r="C1942" s="926"/>
      <c r="D1942" s="926"/>
      <c r="E1942" s="926"/>
    </row>
    <row r="1943" spans="1:5" x14ac:dyDescent="0.25">
      <c r="A1943" s="925"/>
      <c r="B1943" s="926"/>
      <c r="C1943" s="926"/>
      <c r="D1943" s="926"/>
      <c r="E1943" s="926"/>
    </row>
    <row r="1944" spans="1:5" x14ac:dyDescent="0.25">
      <c r="A1944" s="925"/>
      <c r="B1944" s="926"/>
      <c r="C1944" s="926"/>
      <c r="D1944" s="926"/>
      <c r="E1944" s="926"/>
    </row>
    <row r="1945" spans="1:5" x14ac:dyDescent="0.25">
      <c r="A1945" s="925"/>
      <c r="B1945" s="926"/>
      <c r="C1945" s="926"/>
      <c r="D1945" s="926"/>
      <c r="E1945" s="926"/>
    </row>
    <row r="1946" spans="1:5" x14ac:dyDescent="0.25">
      <c r="A1946" s="925"/>
      <c r="B1946" s="926"/>
      <c r="C1946" s="926"/>
      <c r="D1946" s="926"/>
      <c r="E1946" s="926"/>
    </row>
    <row r="1947" spans="1:5" x14ac:dyDescent="0.25">
      <c r="A1947" s="925"/>
      <c r="B1947" s="926"/>
      <c r="C1947" s="926"/>
      <c r="D1947" s="926"/>
      <c r="E1947" s="926"/>
    </row>
    <row r="1948" spans="1:5" x14ac:dyDescent="0.25">
      <c r="A1948" s="925"/>
      <c r="B1948" s="926"/>
      <c r="C1948" s="926"/>
      <c r="D1948" s="926"/>
      <c r="E1948" s="926"/>
    </row>
    <row r="1949" spans="1:5" x14ac:dyDescent="0.25">
      <c r="A1949" s="925"/>
      <c r="B1949" s="926"/>
      <c r="C1949" s="926"/>
      <c r="D1949" s="926"/>
      <c r="E1949" s="926"/>
    </row>
    <row r="1950" spans="1:5" x14ac:dyDescent="0.25">
      <c r="A1950" s="925"/>
      <c r="B1950" s="926"/>
      <c r="C1950" s="926"/>
      <c r="D1950" s="926"/>
      <c r="E1950" s="926"/>
    </row>
    <row r="1951" spans="1:5" x14ac:dyDescent="0.25">
      <c r="A1951" s="925"/>
      <c r="B1951" s="926"/>
      <c r="C1951" s="926"/>
      <c r="D1951" s="926"/>
      <c r="E1951" s="926"/>
    </row>
    <row r="1952" spans="1:5" x14ac:dyDescent="0.25">
      <c r="A1952" s="925"/>
      <c r="B1952" s="926"/>
      <c r="C1952" s="926"/>
      <c r="D1952" s="926"/>
      <c r="E1952" s="926"/>
    </row>
    <row r="1953" spans="1:5" x14ac:dyDescent="0.25">
      <c r="A1953" s="925"/>
      <c r="B1953" s="926"/>
      <c r="C1953" s="926"/>
      <c r="D1953" s="926"/>
      <c r="E1953" s="926"/>
    </row>
    <row r="1954" spans="1:5" x14ac:dyDescent="0.25">
      <c r="A1954" s="925"/>
      <c r="B1954" s="926"/>
      <c r="C1954" s="926"/>
      <c r="D1954" s="926"/>
      <c r="E1954" s="926"/>
    </row>
    <row r="1955" spans="1:5" x14ac:dyDescent="0.25">
      <c r="A1955" s="925"/>
      <c r="B1955" s="926"/>
      <c r="C1955" s="926"/>
      <c r="D1955" s="926"/>
      <c r="E1955" s="926"/>
    </row>
    <row r="1956" spans="1:5" x14ac:dyDescent="0.25">
      <c r="A1956" s="925"/>
      <c r="B1956" s="926"/>
      <c r="C1956" s="926"/>
      <c r="D1956" s="926"/>
      <c r="E1956" s="926"/>
    </row>
    <row r="1957" spans="1:5" x14ac:dyDescent="0.25">
      <c r="A1957" s="925"/>
      <c r="B1957" s="926"/>
      <c r="C1957" s="926"/>
      <c r="D1957" s="926"/>
      <c r="E1957" s="926"/>
    </row>
    <row r="1958" spans="1:5" x14ac:dyDescent="0.25">
      <c r="A1958" s="925"/>
      <c r="B1958" s="926"/>
      <c r="C1958" s="926"/>
      <c r="D1958" s="926"/>
      <c r="E1958" s="926"/>
    </row>
    <row r="1959" spans="1:5" x14ac:dyDescent="0.25">
      <c r="A1959" s="925"/>
      <c r="B1959" s="926"/>
      <c r="C1959" s="926"/>
      <c r="D1959" s="926"/>
      <c r="E1959" s="926"/>
    </row>
    <row r="1960" spans="1:5" x14ac:dyDescent="0.25">
      <c r="A1960" s="925"/>
      <c r="B1960" s="926"/>
      <c r="C1960" s="926"/>
      <c r="D1960" s="926"/>
      <c r="E1960" s="926"/>
    </row>
    <row r="1961" spans="1:5" x14ac:dyDescent="0.25">
      <c r="A1961" s="925"/>
      <c r="B1961" s="926"/>
      <c r="C1961" s="926"/>
      <c r="D1961" s="926"/>
      <c r="E1961" s="926"/>
    </row>
    <row r="1962" spans="1:5" x14ac:dyDescent="0.25">
      <c r="A1962" s="925"/>
      <c r="B1962" s="926"/>
      <c r="C1962" s="926"/>
      <c r="D1962" s="926"/>
      <c r="E1962" s="926"/>
    </row>
    <row r="1963" spans="1:5" x14ac:dyDescent="0.25">
      <c r="A1963" s="925"/>
      <c r="B1963" s="926"/>
      <c r="C1963" s="926"/>
      <c r="D1963" s="926"/>
      <c r="E1963" s="926"/>
    </row>
    <row r="1964" spans="1:5" x14ac:dyDescent="0.25">
      <c r="A1964" s="925"/>
      <c r="B1964" s="926"/>
      <c r="C1964" s="926"/>
      <c r="D1964" s="926"/>
      <c r="E1964" s="926"/>
    </row>
    <row r="1965" spans="1:5" x14ac:dyDescent="0.25">
      <c r="A1965" s="925"/>
      <c r="B1965" s="926"/>
      <c r="C1965" s="926"/>
      <c r="D1965" s="926"/>
      <c r="E1965" s="926"/>
    </row>
    <row r="1966" spans="1:5" x14ac:dyDescent="0.25">
      <c r="A1966" s="925"/>
      <c r="B1966" s="926"/>
      <c r="C1966" s="926"/>
      <c r="D1966" s="926"/>
      <c r="E1966" s="926"/>
    </row>
    <row r="1967" spans="1:5" x14ac:dyDescent="0.25">
      <c r="A1967" s="925"/>
      <c r="B1967" s="926"/>
      <c r="C1967" s="926"/>
      <c r="D1967" s="926"/>
      <c r="E1967" s="926"/>
    </row>
    <row r="1968" spans="1:5" x14ac:dyDescent="0.25">
      <c r="A1968" s="925"/>
      <c r="B1968" s="926"/>
      <c r="C1968" s="926"/>
      <c r="D1968" s="926"/>
      <c r="E1968" s="926"/>
    </row>
    <row r="1969" spans="1:5" x14ac:dyDescent="0.25">
      <c r="A1969" s="925"/>
      <c r="B1969" s="926"/>
      <c r="C1969" s="926"/>
      <c r="D1969" s="926"/>
      <c r="E1969" s="926"/>
    </row>
    <row r="1970" spans="1:5" x14ac:dyDescent="0.25">
      <c r="A1970" s="925"/>
      <c r="B1970" s="926"/>
      <c r="C1970" s="926"/>
      <c r="D1970" s="926"/>
      <c r="E1970" s="926"/>
    </row>
    <row r="1971" spans="1:5" x14ac:dyDescent="0.25">
      <c r="A1971" s="925"/>
      <c r="B1971" s="926"/>
      <c r="C1971" s="926"/>
      <c r="D1971" s="926"/>
      <c r="E1971" s="926"/>
    </row>
    <row r="1972" spans="1:5" x14ac:dyDescent="0.25">
      <c r="A1972" s="925"/>
      <c r="B1972" s="926"/>
      <c r="C1972" s="926"/>
      <c r="D1972" s="926"/>
      <c r="E1972" s="926"/>
    </row>
    <row r="1973" spans="1:5" x14ac:dyDescent="0.25">
      <c r="A1973" s="925"/>
      <c r="B1973" s="926"/>
      <c r="C1973" s="926"/>
      <c r="D1973" s="926"/>
      <c r="E1973" s="926"/>
    </row>
    <row r="1974" spans="1:5" x14ac:dyDescent="0.25">
      <c r="A1974" s="925"/>
      <c r="B1974" s="926"/>
      <c r="C1974" s="926"/>
      <c r="D1974" s="926"/>
      <c r="E1974" s="926"/>
    </row>
    <row r="1975" spans="1:5" x14ac:dyDescent="0.25">
      <c r="A1975" s="925"/>
      <c r="B1975" s="926"/>
      <c r="C1975" s="926"/>
      <c r="D1975" s="926"/>
      <c r="E1975" s="926"/>
    </row>
    <row r="1976" spans="1:5" x14ac:dyDescent="0.25">
      <c r="A1976" s="925"/>
      <c r="B1976" s="926"/>
      <c r="C1976" s="926"/>
      <c r="D1976" s="926"/>
      <c r="E1976" s="926"/>
    </row>
    <row r="1977" spans="1:5" x14ac:dyDescent="0.25">
      <c r="A1977" s="925"/>
      <c r="B1977" s="926"/>
      <c r="C1977" s="926"/>
      <c r="D1977" s="926"/>
      <c r="E1977" s="926"/>
    </row>
    <row r="1978" spans="1:5" x14ac:dyDescent="0.25">
      <c r="A1978" s="925"/>
      <c r="B1978" s="926"/>
      <c r="C1978" s="926"/>
      <c r="D1978" s="926"/>
      <c r="E1978" s="926"/>
    </row>
    <row r="1979" spans="1:5" x14ac:dyDescent="0.25">
      <c r="A1979" s="925"/>
      <c r="B1979" s="926"/>
      <c r="C1979" s="926"/>
      <c r="D1979" s="926"/>
      <c r="E1979" s="926"/>
    </row>
    <row r="1980" spans="1:5" x14ac:dyDescent="0.25">
      <c r="A1980" s="925"/>
      <c r="B1980" s="926"/>
      <c r="C1980" s="926"/>
      <c r="D1980" s="926"/>
      <c r="E1980" s="926"/>
    </row>
    <row r="1981" spans="1:5" x14ac:dyDescent="0.25">
      <c r="A1981" s="925"/>
      <c r="B1981" s="926"/>
      <c r="C1981" s="926"/>
      <c r="D1981" s="926"/>
      <c r="E1981" s="926"/>
    </row>
    <row r="1982" spans="1:5" x14ac:dyDescent="0.25">
      <c r="A1982" s="925"/>
      <c r="B1982" s="926"/>
      <c r="C1982" s="926"/>
      <c r="D1982" s="926"/>
      <c r="E1982" s="926"/>
    </row>
    <row r="1983" spans="1:5" x14ac:dyDescent="0.25">
      <c r="A1983" s="925"/>
      <c r="B1983" s="926"/>
      <c r="C1983" s="926"/>
      <c r="D1983" s="926"/>
      <c r="E1983" s="926"/>
    </row>
    <row r="1984" spans="1:5" x14ac:dyDescent="0.25">
      <c r="A1984" s="925"/>
      <c r="B1984" s="926"/>
      <c r="C1984" s="926"/>
      <c r="D1984" s="926"/>
      <c r="E1984" s="926"/>
    </row>
    <row r="1985" spans="1:5" x14ac:dyDescent="0.25">
      <c r="A1985" s="925"/>
      <c r="B1985" s="926"/>
      <c r="C1985" s="926"/>
      <c r="D1985" s="926"/>
      <c r="E1985" s="926"/>
    </row>
    <row r="1986" spans="1:5" x14ac:dyDescent="0.25">
      <c r="A1986" s="925"/>
      <c r="B1986" s="926"/>
      <c r="C1986" s="926"/>
      <c r="D1986" s="926"/>
      <c r="E1986" s="926"/>
    </row>
    <row r="1987" spans="1:5" x14ac:dyDescent="0.25">
      <c r="A1987" s="925"/>
      <c r="B1987" s="926"/>
      <c r="C1987" s="926"/>
      <c r="D1987" s="926"/>
      <c r="E1987" s="926"/>
    </row>
    <row r="1988" spans="1:5" x14ac:dyDescent="0.25">
      <c r="A1988" s="925"/>
      <c r="B1988" s="926"/>
      <c r="C1988" s="926"/>
      <c r="D1988" s="926"/>
      <c r="E1988" s="926"/>
    </row>
    <row r="1989" spans="1:5" x14ac:dyDescent="0.25">
      <c r="A1989" s="925"/>
      <c r="B1989" s="926"/>
      <c r="C1989" s="926"/>
      <c r="D1989" s="926"/>
      <c r="E1989" s="926"/>
    </row>
    <row r="1990" spans="1:5" x14ac:dyDescent="0.25">
      <c r="A1990" s="925"/>
      <c r="B1990" s="926"/>
      <c r="C1990" s="926"/>
      <c r="D1990" s="926"/>
      <c r="E1990" s="926"/>
    </row>
    <row r="1991" spans="1:5" x14ac:dyDescent="0.25">
      <c r="A1991" s="925"/>
      <c r="B1991" s="926"/>
      <c r="C1991" s="926"/>
      <c r="D1991" s="926"/>
      <c r="E1991" s="926"/>
    </row>
    <row r="1992" spans="1:5" x14ac:dyDescent="0.25">
      <c r="A1992" s="925"/>
      <c r="B1992" s="926"/>
      <c r="C1992" s="926"/>
      <c r="D1992" s="926"/>
      <c r="E1992" s="926"/>
    </row>
    <row r="1993" spans="1:5" x14ac:dyDescent="0.25">
      <c r="A1993" s="925"/>
      <c r="B1993" s="926"/>
      <c r="C1993" s="926"/>
      <c r="D1993" s="926"/>
      <c r="E1993" s="926"/>
    </row>
    <row r="1994" spans="1:5" x14ac:dyDescent="0.25">
      <c r="A1994" s="925"/>
      <c r="B1994" s="926"/>
      <c r="C1994" s="926"/>
      <c r="D1994" s="926"/>
      <c r="E1994" s="926"/>
    </row>
    <row r="1995" spans="1:5" x14ac:dyDescent="0.25">
      <c r="A1995" s="925"/>
      <c r="B1995" s="926"/>
      <c r="C1995" s="926"/>
      <c r="D1995" s="926"/>
      <c r="E1995" s="926"/>
    </row>
    <row r="1996" spans="1:5" x14ac:dyDescent="0.25">
      <c r="A1996" s="925"/>
      <c r="B1996" s="926"/>
      <c r="C1996" s="926"/>
      <c r="D1996" s="926"/>
      <c r="E1996" s="926"/>
    </row>
    <row r="1997" spans="1:5" x14ac:dyDescent="0.25">
      <c r="A1997" s="925"/>
      <c r="B1997" s="926"/>
      <c r="C1997" s="926"/>
      <c r="D1997" s="926"/>
      <c r="E1997" s="926"/>
    </row>
    <row r="1998" spans="1:5" x14ac:dyDescent="0.25">
      <c r="A1998" s="925"/>
      <c r="B1998" s="926"/>
      <c r="C1998" s="926"/>
      <c r="D1998" s="926"/>
      <c r="E1998" s="926"/>
    </row>
    <row r="1999" spans="1:5" x14ac:dyDescent="0.25">
      <c r="A1999" s="925"/>
      <c r="B1999" s="926"/>
      <c r="C1999" s="926"/>
      <c r="D1999" s="926"/>
      <c r="E1999" s="926"/>
    </row>
    <row r="2000" spans="1:5" x14ac:dyDescent="0.25">
      <c r="A2000" s="925"/>
      <c r="B2000" s="926"/>
      <c r="C2000" s="926"/>
      <c r="D2000" s="926"/>
      <c r="E2000" s="926"/>
    </row>
    <row r="2001" spans="1:5" x14ac:dyDescent="0.25">
      <c r="A2001" s="925"/>
      <c r="B2001" s="926"/>
      <c r="C2001" s="926"/>
      <c r="D2001" s="926"/>
      <c r="E2001" s="926"/>
    </row>
    <row r="2002" spans="1:5" x14ac:dyDescent="0.25">
      <c r="A2002" s="925"/>
      <c r="B2002" s="926"/>
      <c r="C2002" s="926"/>
      <c r="D2002" s="926"/>
      <c r="E2002" s="926"/>
    </row>
    <row r="2003" spans="1:5" x14ac:dyDescent="0.25">
      <c r="A2003" s="925"/>
      <c r="B2003" s="926"/>
      <c r="C2003" s="926"/>
      <c r="D2003" s="926"/>
      <c r="E2003" s="926"/>
    </row>
    <row r="2004" spans="1:5" x14ac:dyDescent="0.25">
      <c r="A2004" s="925"/>
      <c r="B2004" s="926"/>
      <c r="C2004" s="926"/>
      <c r="D2004" s="926"/>
      <c r="E2004" s="926"/>
    </row>
    <row r="2005" spans="1:5" x14ac:dyDescent="0.25">
      <c r="A2005" s="925"/>
      <c r="B2005" s="926"/>
      <c r="C2005" s="926"/>
      <c r="D2005" s="926"/>
      <c r="E2005" s="926"/>
    </row>
    <row r="2006" spans="1:5" x14ac:dyDescent="0.25">
      <c r="A2006" s="925"/>
      <c r="B2006" s="926"/>
      <c r="C2006" s="926"/>
      <c r="D2006" s="926"/>
      <c r="E2006" s="926"/>
    </row>
    <row r="2007" spans="1:5" x14ac:dyDescent="0.25">
      <c r="A2007" s="925"/>
      <c r="B2007" s="926"/>
      <c r="C2007" s="926"/>
      <c r="D2007" s="926"/>
      <c r="E2007" s="926"/>
    </row>
    <row r="2008" spans="1:5" x14ac:dyDescent="0.25">
      <c r="A2008" s="925"/>
      <c r="B2008" s="926"/>
      <c r="C2008" s="926"/>
      <c r="D2008" s="926"/>
      <c r="E2008" s="926"/>
    </row>
    <row r="2009" spans="1:5" x14ac:dyDescent="0.25">
      <c r="A2009" s="925"/>
      <c r="B2009" s="926"/>
      <c r="C2009" s="926"/>
      <c r="D2009" s="926"/>
      <c r="E2009" s="926"/>
    </row>
    <row r="2010" spans="1:5" x14ac:dyDescent="0.25">
      <c r="A2010" s="925"/>
      <c r="B2010" s="926"/>
      <c r="C2010" s="926"/>
      <c r="D2010" s="926"/>
      <c r="E2010" s="926"/>
    </row>
    <row r="2011" spans="1:5" x14ac:dyDescent="0.25">
      <c r="A2011" s="925"/>
      <c r="B2011" s="926"/>
      <c r="C2011" s="926"/>
      <c r="D2011" s="926"/>
      <c r="E2011" s="926"/>
    </row>
    <row r="2012" spans="1:5" x14ac:dyDescent="0.25">
      <c r="A2012" s="925"/>
      <c r="B2012" s="926"/>
      <c r="C2012" s="926"/>
      <c r="D2012" s="926"/>
      <c r="E2012" s="926"/>
    </row>
    <row r="2013" spans="1:5" x14ac:dyDescent="0.25">
      <c r="A2013" s="925"/>
      <c r="B2013" s="926"/>
      <c r="C2013" s="926"/>
      <c r="D2013" s="926"/>
      <c r="E2013" s="926"/>
    </row>
    <row r="2014" spans="1:5" x14ac:dyDescent="0.25">
      <c r="A2014" s="925"/>
      <c r="B2014" s="926"/>
      <c r="C2014" s="926"/>
      <c r="D2014" s="926"/>
      <c r="E2014" s="926"/>
    </row>
    <row r="2015" spans="1:5" x14ac:dyDescent="0.25">
      <c r="A2015" s="925"/>
      <c r="B2015" s="926"/>
      <c r="C2015" s="926"/>
      <c r="D2015" s="926"/>
      <c r="E2015" s="926"/>
    </row>
    <row r="2016" spans="1:5" x14ac:dyDescent="0.25">
      <c r="A2016" s="925"/>
      <c r="B2016" s="926"/>
      <c r="C2016" s="926"/>
      <c r="D2016" s="926"/>
      <c r="E2016" s="926"/>
    </row>
    <row r="2017" spans="1:5" x14ac:dyDescent="0.25">
      <c r="A2017" s="925"/>
      <c r="B2017" s="926"/>
      <c r="C2017" s="926"/>
      <c r="D2017" s="926"/>
      <c r="E2017" s="926"/>
    </row>
    <row r="2018" spans="1:5" x14ac:dyDescent="0.25">
      <c r="A2018" s="925"/>
      <c r="B2018" s="926"/>
      <c r="C2018" s="926"/>
      <c r="D2018" s="926"/>
      <c r="E2018" s="926"/>
    </row>
    <row r="2019" spans="1:5" x14ac:dyDescent="0.25">
      <c r="A2019" s="925"/>
      <c r="B2019" s="926"/>
      <c r="C2019" s="926"/>
      <c r="D2019" s="926"/>
      <c r="E2019" s="926"/>
    </row>
    <row r="2020" spans="1:5" x14ac:dyDescent="0.25">
      <c r="A2020" s="925"/>
      <c r="B2020" s="926"/>
      <c r="C2020" s="926"/>
      <c r="D2020" s="926"/>
      <c r="E2020" s="926"/>
    </row>
    <row r="2021" spans="1:5" x14ac:dyDescent="0.25">
      <c r="A2021" s="925"/>
      <c r="B2021" s="926"/>
      <c r="C2021" s="926"/>
      <c r="D2021" s="926"/>
      <c r="E2021" s="926"/>
    </row>
    <row r="2022" spans="1:5" x14ac:dyDescent="0.25">
      <c r="A2022" s="925"/>
      <c r="B2022" s="926"/>
      <c r="C2022" s="926"/>
      <c r="D2022" s="926"/>
      <c r="E2022" s="926"/>
    </row>
    <row r="2023" spans="1:5" x14ac:dyDescent="0.25">
      <c r="A2023" s="925"/>
      <c r="B2023" s="926"/>
      <c r="C2023" s="926"/>
      <c r="D2023" s="926"/>
      <c r="E2023" s="926"/>
    </row>
    <row r="2024" spans="1:5" x14ac:dyDescent="0.25">
      <c r="A2024" s="925"/>
      <c r="B2024" s="926"/>
      <c r="C2024" s="926"/>
      <c r="D2024" s="926"/>
      <c r="E2024" s="926"/>
    </row>
    <row r="2025" spans="1:5" x14ac:dyDescent="0.25">
      <c r="A2025" s="925"/>
      <c r="B2025" s="926"/>
      <c r="C2025" s="926"/>
      <c r="D2025" s="926"/>
      <c r="E2025" s="926"/>
    </row>
    <row r="2026" spans="1:5" x14ac:dyDescent="0.25">
      <c r="A2026" s="925"/>
      <c r="B2026" s="926"/>
      <c r="C2026" s="926"/>
      <c r="D2026" s="926"/>
      <c r="E2026" s="926"/>
    </row>
    <row r="2027" spans="1:5" x14ac:dyDescent="0.25">
      <c r="A2027" s="925"/>
      <c r="B2027" s="926"/>
      <c r="C2027" s="926"/>
      <c r="D2027" s="926"/>
      <c r="E2027" s="926"/>
    </row>
    <row r="2028" spans="1:5" x14ac:dyDescent="0.25">
      <c r="A2028" s="925"/>
      <c r="B2028" s="926"/>
      <c r="C2028" s="926"/>
      <c r="D2028" s="926"/>
      <c r="E2028" s="926"/>
    </row>
    <row r="2029" spans="1:5" x14ac:dyDescent="0.25">
      <c r="A2029" s="925"/>
      <c r="B2029" s="926"/>
      <c r="C2029" s="926"/>
      <c r="D2029" s="926"/>
      <c r="E2029" s="926"/>
    </row>
    <row r="2030" spans="1:5" x14ac:dyDescent="0.25">
      <c r="A2030" s="925"/>
      <c r="B2030" s="926"/>
      <c r="C2030" s="926"/>
      <c r="D2030" s="926"/>
      <c r="E2030" s="926"/>
    </row>
    <row r="2031" spans="1:5" x14ac:dyDescent="0.25">
      <c r="A2031" s="925"/>
      <c r="B2031" s="926"/>
      <c r="C2031" s="926"/>
      <c r="D2031" s="926"/>
      <c r="E2031" s="926"/>
    </row>
    <row r="2032" spans="1:5" x14ac:dyDescent="0.25">
      <c r="A2032" s="925"/>
      <c r="B2032" s="926"/>
      <c r="C2032" s="926"/>
      <c r="D2032" s="926"/>
      <c r="E2032" s="926"/>
    </row>
    <row r="2033" spans="1:5" x14ac:dyDescent="0.25">
      <c r="A2033" s="925"/>
      <c r="B2033" s="926"/>
      <c r="C2033" s="926"/>
      <c r="D2033" s="926"/>
      <c r="E2033" s="926"/>
    </row>
    <row r="2034" spans="1:5" x14ac:dyDescent="0.25">
      <c r="A2034" s="925"/>
      <c r="B2034" s="926"/>
      <c r="C2034" s="926"/>
      <c r="D2034" s="926"/>
      <c r="E2034" s="926"/>
    </row>
    <row r="2035" spans="1:5" x14ac:dyDescent="0.25">
      <c r="A2035" s="925"/>
      <c r="B2035" s="926"/>
      <c r="C2035" s="926"/>
      <c r="D2035" s="926"/>
      <c r="E2035" s="926"/>
    </row>
    <row r="2036" spans="1:5" x14ac:dyDescent="0.25">
      <c r="A2036" s="925"/>
      <c r="B2036" s="926"/>
      <c r="C2036" s="926"/>
      <c r="D2036" s="926"/>
      <c r="E2036" s="926"/>
    </row>
    <row r="2037" spans="1:5" x14ac:dyDescent="0.25">
      <c r="A2037" s="925"/>
      <c r="B2037" s="926"/>
      <c r="C2037" s="926"/>
      <c r="D2037" s="926"/>
      <c r="E2037" s="926"/>
    </row>
    <row r="2038" spans="1:5" x14ac:dyDescent="0.25">
      <c r="A2038" s="925"/>
      <c r="B2038" s="926"/>
      <c r="C2038" s="926"/>
      <c r="D2038" s="926"/>
      <c r="E2038" s="926"/>
    </row>
    <row r="2039" spans="1:5" x14ac:dyDescent="0.25">
      <c r="A2039" s="925"/>
      <c r="B2039" s="926"/>
      <c r="C2039" s="926"/>
      <c r="D2039" s="926"/>
      <c r="E2039" s="926"/>
    </row>
    <row r="2040" spans="1:5" x14ac:dyDescent="0.25">
      <c r="A2040" s="925"/>
      <c r="B2040" s="926"/>
      <c r="C2040" s="926"/>
      <c r="D2040" s="926"/>
      <c r="E2040" s="926"/>
    </row>
    <row r="2041" spans="1:5" x14ac:dyDescent="0.25">
      <c r="A2041" s="925"/>
      <c r="B2041" s="926"/>
      <c r="C2041" s="926"/>
      <c r="D2041" s="926"/>
      <c r="E2041" s="926"/>
    </row>
    <row r="2042" spans="1:5" x14ac:dyDescent="0.25">
      <c r="A2042" s="925"/>
      <c r="B2042" s="926"/>
      <c r="C2042" s="926"/>
      <c r="D2042" s="926"/>
      <c r="E2042" s="926"/>
    </row>
    <row r="2043" spans="1:5" x14ac:dyDescent="0.25">
      <c r="A2043" s="925"/>
      <c r="B2043" s="926"/>
      <c r="C2043" s="926"/>
      <c r="D2043" s="926"/>
      <c r="E2043" s="926"/>
    </row>
    <row r="2044" spans="1:5" x14ac:dyDescent="0.25">
      <c r="A2044" s="925"/>
      <c r="B2044" s="926"/>
      <c r="C2044" s="926"/>
      <c r="D2044" s="926"/>
      <c r="E2044" s="926"/>
    </row>
    <row r="2045" spans="1:5" x14ac:dyDescent="0.25">
      <c r="A2045" s="925"/>
      <c r="B2045" s="926"/>
      <c r="C2045" s="926"/>
      <c r="D2045" s="926"/>
      <c r="E2045" s="926"/>
    </row>
    <row r="2046" spans="1:5" x14ac:dyDescent="0.25">
      <c r="A2046" s="925"/>
      <c r="B2046" s="926"/>
      <c r="C2046" s="926"/>
      <c r="D2046" s="926"/>
      <c r="E2046" s="926"/>
    </row>
    <row r="2047" spans="1:5" x14ac:dyDescent="0.25">
      <c r="A2047" s="925"/>
      <c r="B2047" s="926"/>
      <c r="C2047" s="926"/>
      <c r="D2047" s="926"/>
      <c r="E2047" s="926"/>
    </row>
    <row r="2048" spans="1:5" x14ac:dyDescent="0.25">
      <c r="A2048" s="925"/>
      <c r="B2048" s="926"/>
      <c r="C2048" s="926"/>
      <c r="D2048" s="926"/>
      <c r="E2048" s="926"/>
    </row>
    <row r="2049" spans="1:5" x14ac:dyDescent="0.25">
      <c r="A2049" s="925"/>
      <c r="B2049" s="926"/>
      <c r="C2049" s="926"/>
      <c r="D2049" s="926"/>
      <c r="E2049" s="926"/>
    </row>
    <row r="2050" spans="1:5" x14ac:dyDescent="0.25">
      <c r="A2050" s="925"/>
      <c r="B2050" s="926"/>
      <c r="C2050" s="926"/>
      <c r="D2050" s="926"/>
      <c r="E2050" s="926"/>
    </row>
    <row r="2051" spans="1:5" x14ac:dyDescent="0.25">
      <c r="A2051" s="925"/>
      <c r="B2051" s="926"/>
      <c r="C2051" s="926"/>
      <c r="D2051" s="926"/>
      <c r="E2051" s="926"/>
    </row>
    <row r="2052" spans="1:5" x14ac:dyDescent="0.25">
      <c r="A2052" s="925"/>
      <c r="B2052" s="926"/>
      <c r="C2052" s="926"/>
      <c r="D2052" s="926"/>
      <c r="E2052" s="926"/>
    </row>
    <row r="2053" spans="1:5" x14ac:dyDescent="0.25">
      <c r="A2053" s="925"/>
      <c r="B2053" s="926"/>
      <c r="C2053" s="926"/>
      <c r="D2053" s="926"/>
      <c r="E2053" s="926"/>
    </row>
    <row r="2054" spans="1:5" x14ac:dyDescent="0.25">
      <c r="A2054" s="925"/>
      <c r="B2054" s="926"/>
      <c r="C2054" s="926"/>
      <c r="D2054" s="926"/>
      <c r="E2054" s="926"/>
    </row>
    <row r="2055" spans="1:5" x14ac:dyDescent="0.25">
      <c r="A2055" s="925"/>
      <c r="B2055" s="926"/>
      <c r="C2055" s="926"/>
      <c r="D2055" s="926"/>
      <c r="E2055" s="926"/>
    </row>
    <row r="2056" spans="1:5" x14ac:dyDescent="0.25">
      <c r="A2056" s="925"/>
      <c r="B2056" s="926"/>
      <c r="C2056" s="926"/>
      <c r="D2056" s="926"/>
      <c r="E2056" s="926"/>
    </row>
    <row r="2057" spans="1:5" x14ac:dyDescent="0.25">
      <c r="A2057" s="925"/>
      <c r="B2057" s="926"/>
      <c r="C2057" s="926"/>
      <c r="D2057" s="926"/>
      <c r="E2057" s="926"/>
    </row>
    <row r="2058" spans="1:5" x14ac:dyDescent="0.25">
      <c r="A2058" s="925"/>
      <c r="B2058" s="926"/>
      <c r="C2058" s="926"/>
      <c r="D2058" s="926"/>
      <c r="E2058" s="926"/>
    </row>
    <row r="2059" spans="1:5" x14ac:dyDescent="0.25">
      <c r="A2059" s="925"/>
      <c r="B2059" s="926"/>
      <c r="C2059" s="926"/>
      <c r="D2059" s="926"/>
      <c r="E2059" s="926"/>
    </row>
    <row r="2060" spans="1:5" x14ac:dyDescent="0.25">
      <c r="A2060" s="925"/>
      <c r="B2060" s="926"/>
      <c r="C2060" s="926"/>
      <c r="D2060" s="926"/>
      <c r="E2060" s="926"/>
    </row>
    <row r="2061" spans="1:5" x14ac:dyDescent="0.25">
      <c r="A2061" s="925"/>
      <c r="B2061" s="926"/>
      <c r="C2061" s="926"/>
      <c r="D2061" s="926"/>
      <c r="E2061" s="926"/>
    </row>
    <row r="2062" spans="1:5" x14ac:dyDescent="0.25">
      <c r="A2062" s="925"/>
      <c r="B2062" s="926"/>
      <c r="C2062" s="926"/>
      <c r="D2062" s="926"/>
      <c r="E2062" s="926"/>
    </row>
    <row r="2063" spans="1:5" x14ac:dyDescent="0.25">
      <c r="A2063" s="925"/>
      <c r="B2063" s="926"/>
      <c r="C2063" s="926"/>
      <c r="D2063" s="926"/>
      <c r="E2063" s="926"/>
    </row>
    <row r="2064" spans="1:5" x14ac:dyDescent="0.25">
      <c r="A2064" s="925"/>
      <c r="B2064" s="926"/>
      <c r="C2064" s="926"/>
      <c r="D2064" s="926"/>
      <c r="E2064" s="926"/>
    </row>
    <row r="2065" spans="1:5" x14ac:dyDescent="0.25">
      <c r="A2065" s="925"/>
      <c r="B2065" s="926"/>
      <c r="C2065" s="926"/>
      <c r="D2065" s="926"/>
      <c r="E2065" s="926"/>
    </row>
    <row r="2066" spans="1:5" x14ac:dyDescent="0.25">
      <c r="A2066" s="925"/>
      <c r="B2066" s="926"/>
      <c r="C2066" s="926"/>
      <c r="D2066" s="926"/>
      <c r="E2066" s="926"/>
    </row>
    <row r="2067" spans="1:5" x14ac:dyDescent="0.25">
      <c r="A2067" s="925"/>
      <c r="B2067" s="926"/>
      <c r="C2067" s="926"/>
      <c r="D2067" s="926"/>
      <c r="E2067" s="926"/>
    </row>
    <row r="2068" spans="1:5" x14ac:dyDescent="0.25">
      <c r="A2068" s="925"/>
      <c r="B2068" s="926"/>
      <c r="C2068" s="926"/>
      <c r="D2068" s="926"/>
      <c r="E2068" s="926"/>
    </row>
    <row r="2069" spans="1:5" x14ac:dyDescent="0.25">
      <c r="A2069" s="925"/>
      <c r="B2069" s="926"/>
      <c r="C2069" s="926"/>
      <c r="D2069" s="926"/>
      <c r="E2069" s="926"/>
    </row>
    <row r="2070" spans="1:5" x14ac:dyDescent="0.25">
      <c r="A2070" s="925"/>
      <c r="B2070" s="926"/>
      <c r="C2070" s="926"/>
      <c r="D2070" s="926"/>
      <c r="E2070" s="926"/>
    </row>
    <row r="2071" spans="1:5" x14ac:dyDescent="0.25">
      <c r="A2071" s="925"/>
      <c r="B2071" s="926"/>
      <c r="C2071" s="926"/>
      <c r="D2071" s="926"/>
      <c r="E2071" s="926"/>
    </row>
    <row r="2072" spans="1:5" x14ac:dyDescent="0.25">
      <c r="A2072" s="925"/>
      <c r="B2072" s="926"/>
      <c r="C2072" s="926"/>
      <c r="D2072" s="926"/>
      <c r="E2072" s="926"/>
    </row>
    <row r="2073" spans="1:5" x14ac:dyDescent="0.25">
      <c r="A2073" s="925"/>
      <c r="B2073" s="926"/>
      <c r="C2073" s="926"/>
      <c r="D2073" s="926"/>
      <c r="E2073" s="926"/>
    </row>
    <row r="2074" spans="1:5" x14ac:dyDescent="0.25">
      <c r="A2074" s="925"/>
      <c r="B2074" s="926"/>
      <c r="C2074" s="926"/>
      <c r="D2074" s="926"/>
      <c r="E2074" s="926"/>
    </row>
    <row r="2075" spans="1:5" x14ac:dyDescent="0.25">
      <c r="A2075" s="925"/>
      <c r="B2075" s="926"/>
      <c r="C2075" s="926"/>
      <c r="D2075" s="926"/>
      <c r="E2075" s="926"/>
    </row>
    <row r="2076" spans="1:5" x14ac:dyDescent="0.25">
      <c r="A2076" s="925"/>
      <c r="B2076" s="926"/>
      <c r="C2076" s="926"/>
      <c r="D2076" s="926"/>
      <c r="E2076" s="926"/>
    </row>
    <row r="2077" spans="1:5" x14ac:dyDescent="0.25">
      <c r="A2077" s="925"/>
      <c r="B2077" s="926"/>
      <c r="C2077" s="926"/>
      <c r="D2077" s="926"/>
      <c r="E2077" s="926"/>
    </row>
    <row r="2078" spans="1:5" x14ac:dyDescent="0.25">
      <c r="A2078" s="925"/>
      <c r="B2078" s="926"/>
      <c r="C2078" s="926"/>
      <c r="D2078" s="926"/>
      <c r="E2078" s="926"/>
    </row>
    <row r="2079" spans="1:5" x14ac:dyDescent="0.25">
      <c r="A2079" s="925"/>
      <c r="B2079" s="926"/>
      <c r="C2079" s="926"/>
      <c r="D2079" s="926"/>
      <c r="E2079" s="926"/>
    </row>
    <row r="2080" spans="1:5" x14ac:dyDescent="0.25">
      <c r="A2080" s="925"/>
      <c r="B2080" s="926"/>
      <c r="C2080" s="926"/>
      <c r="D2080" s="926"/>
      <c r="E2080" s="926"/>
    </row>
    <row r="2081" spans="1:5" x14ac:dyDescent="0.25">
      <c r="A2081" s="925"/>
      <c r="B2081" s="926"/>
      <c r="C2081" s="926"/>
      <c r="D2081" s="926"/>
      <c r="E2081" s="926"/>
    </row>
    <row r="2082" spans="1:5" x14ac:dyDescent="0.25">
      <c r="A2082" s="925"/>
      <c r="B2082" s="926"/>
      <c r="C2082" s="926"/>
      <c r="D2082" s="926"/>
      <c r="E2082" s="926"/>
    </row>
    <row r="2083" spans="1:5" x14ac:dyDescent="0.25">
      <c r="A2083" s="925"/>
      <c r="B2083" s="926"/>
      <c r="C2083" s="926"/>
      <c r="D2083" s="926"/>
      <c r="E2083" s="926"/>
    </row>
    <row r="2084" spans="1:5" x14ac:dyDescent="0.25">
      <c r="A2084" s="925"/>
      <c r="B2084" s="926"/>
      <c r="C2084" s="926"/>
      <c r="D2084" s="926"/>
      <c r="E2084" s="926"/>
    </row>
    <row r="2085" spans="1:5" x14ac:dyDescent="0.25">
      <c r="A2085" s="925"/>
      <c r="B2085" s="926"/>
      <c r="C2085" s="926"/>
      <c r="D2085" s="926"/>
      <c r="E2085" s="926"/>
    </row>
    <row r="2086" spans="1:5" x14ac:dyDescent="0.25">
      <c r="A2086" s="925"/>
      <c r="B2086" s="926"/>
      <c r="C2086" s="926"/>
      <c r="D2086" s="926"/>
      <c r="E2086" s="926"/>
    </row>
    <row r="2087" spans="1:5" x14ac:dyDescent="0.25">
      <c r="A2087" s="925"/>
      <c r="B2087" s="926"/>
      <c r="C2087" s="926"/>
      <c r="D2087" s="926"/>
      <c r="E2087" s="926"/>
    </row>
    <row r="2088" spans="1:5" x14ac:dyDescent="0.25">
      <c r="A2088" s="925"/>
      <c r="B2088" s="926"/>
      <c r="C2088" s="926"/>
      <c r="D2088" s="926"/>
      <c r="E2088" s="926"/>
    </row>
    <row r="2089" spans="1:5" x14ac:dyDescent="0.25">
      <c r="A2089" s="925"/>
      <c r="B2089" s="926"/>
      <c r="C2089" s="926"/>
      <c r="D2089" s="926"/>
      <c r="E2089" s="926"/>
    </row>
    <row r="2090" spans="1:5" x14ac:dyDescent="0.25">
      <c r="A2090" s="925"/>
      <c r="B2090" s="926"/>
      <c r="C2090" s="926"/>
      <c r="D2090" s="926"/>
      <c r="E2090" s="926"/>
    </row>
    <row r="2091" spans="1:5" x14ac:dyDescent="0.25">
      <c r="A2091" s="925"/>
      <c r="B2091" s="926"/>
      <c r="C2091" s="926"/>
      <c r="D2091" s="926"/>
      <c r="E2091" s="926"/>
    </row>
    <row r="2092" spans="1:5" x14ac:dyDescent="0.25">
      <c r="A2092" s="925"/>
      <c r="B2092" s="926"/>
      <c r="C2092" s="926"/>
      <c r="D2092" s="926"/>
      <c r="E2092" s="926"/>
    </row>
    <row r="2093" spans="1:5" x14ac:dyDescent="0.25">
      <c r="A2093" s="925"/>
      <c r="B2093" s="926"/>
      <c r="C2093" s="926"/>
      <c r="D2093" s="926"/>
      <c r="E2093" s="926"/>
    </row>
    <row r="2094" spans="1:5" x14ac:dyDescent="0.25">
      <c r="A2094" s="925"/>
      <c r="B2094" s="926"/>
      <c r="C2094" s="926"/>
      <c r="D2094" s="926"/>
      <c r="E2094" s="926"/>
    </row>
    <row r="2095" spans="1:5" x14ac:dyDescent="0.25">
      <c r="A2095" s="925"/>
      <c r="B2095" s="926"/>
      <c r="C2095" s="926"/>
      <c r="D2095" s="926"/>
      <c r="E2095" s="926"/>
    </row>
    <row r="2096" spans="1:5" x14ac:dyDescent="0.25">
      <c r="A2096" s="925"/>
      <c r="B2096" s="926"/>
      <c r="C2096" s="926"/>
      <c r="D2096" s="926"/>
      <c r="E2096" s="926"/>
    </row>
    <row r="2097" spans="1:5" x14ac:dyDescent="0.25">
      <c r="A2097" s="925"/>
      <c r="B2097" s="926"/>
      <c r="C2097" s="926"/>
      <c r="D2097" s="926"/>
      <c r="E2097" s="926"/>
    </row>
    <row r="2098" spans="1:5" x14ac:dyDescent="0.25">
      <c r="A2098" s="925"/>
      <c r="B2098" s="926"/>
      <c r="C2098" s="926"/>
      <c r="D2098" s="926"/>
      <c r="E2098" s="926"/>
    </row>
    <row r="2099" spans="1:5" x14ac:dyDescent="0.25">
      <c r="A2099" s="925"/>
      <c r="B2099" s="926"/>
      <c r="C2099" s="926"/>
      <c r="D2099" s="926"/>
      <c r="E2099" s="926"/>
    </row>
    <row r="2100" spans="1:5" x14ac:dyDescent="0.25">
      <c r="A2100" s="925"/>
      <c r="B2100" s="926"/>
      <c r="C2100" s="926"/>
      <c r="D2100" s="926"/>
      <c r="E2100" s="926"/>
    </row>
    <row r="2101" spans="1:5" x14ac:dyDescent="0.25">
      <c r="A2101" s="925"/>
      <c r="B2101" s="926"/>
      <c r="C2101" s="926"/>
      <c r="D2101" s="926"/>
      <c r="E2101" s="926"/>
    </row>
    <row r="2102" spans="1:5" x14ac:dyDescent="0.25">
      <c r="A2102" s="925"/>
      <c r="B2102" s="926"/>
      <c r="C2102" s="926"/>
      <c r="D2102" s="926"/>
      <c r="E2102" s="926"/>
    </row>
    <row r="2103" spans="1:5" x14ac:dyDescent="0.25">
      <c r="A2103" s="925"/>
      <c r="B2103" s="926"/>
      <c r="C2103" s="926"/>
      <c r="D2103" s="926"/>
      <c r="E2103" s="926"/>
    </row>
    <row r="2104" spans="1:5" x14ac:dyDescent="0.25">
      <c r="A2104" s="925"/>
      <c r="B2104" s="926"/>
      <c r="C2104" s="926"/>
      <c r="D2104" s="926"/>
      <c r="E2104" s="926"/>
    </row>
    <row r="2105" spans="1:5" x14ac:dyDescent="0.25">
      <c r="A2105" s="925"/>
      <c r="B2105" s="926"/>
      <c r="C2105" s="926"/>
      <c r="D2105" s="926"/>
      <c r="E2105" s="926"/>
    </row>
    <row r="2106" spans="1:5" x14ac:dyDescent="0.25">
      <c r="A2106" s="925"/>
      <c r="B2106" s="926"/>
      <c r="C2106" s="926"/>
      <c r="D2106" s="926"/>
      <c r="E2106" s="926"/>
    </row>
    <row r="2107" spans="1:5" x14ac:dyDescent="0.25">
      <c r="A2107" s="925"/>
      <c r="B2107" s="926"/>
      <c r="C2107" s="926"/>
      <c r="D2107" s="926"/>
      <c r="E2107" s="926"/>
    </row>
    <row r="2108" spans="1:5" x14ac:dyDescent="0.25">
      <c r="A2108" s="925"/>
      <c r="B2108" s="926"/>
      <c r="C2108" s="926"/>
      <c r="D2108" s="926"/>
      <c r="E2108" s="926"/>
    </row>
    <row r="2109" spans="1:5" x14ac:dyDescent="0.25">
      <c r="A2109" s="925"/>
      <c r="B2109" s="926"/>
      <c r="C2109" s="926"/>
      <c r="D2109" s="926"/>
      <c r="E2109" s="926"/>
    </row>
  </sheetData>
  <mergeCells count="2">
    <mergeCell ref="A1:E1"/>
    <mergeCell ref="A2:E2"/>
  </mergeCells>
  <pageMargins left="0.70866141732283472" right="0.70866141732283472" top="1.1023622047244095" bottom="0.74803149606299213" header="0.31496062992125984" footer="0.31496062992125984"/>
  <pageSetup paperSize="9" scale="90" orientation="portrait" r:id="rId1"/>
  <headerFooter>
    <oddHeader>&amp;R&amp;"Times New Roman CE,Félkövér"17. melléklet a 40/2020 (XI.30.) önkormányzati rendelethez&amp;"Times New Roman CE,Normál"
21. melléklet 
az 5/2020. (II.17.) önkormányzati rendelethez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H10"/>
  <sheetViews>
    <sheetView zoomScaleNormal="100" workbookViewId="0">
      <selection activeCell="D13" sqref="D13"/>
    </sheetView>
  </sheetViews>
  <sheetFormatPr defaultRowHeight="15" x14ac:dyDescent="0.25"/>
  <cols>
    <col min="1" max="1" width="4.5" style="417" customWidth="1"/>
    <col min="2" max="2" width="27.875" style="417" customWidth="1"/>
    <col min="3" max="3" width="38" style="417" customWidth="1"/>
    <col min="4" max="4" width="22" style="417" customWidth="1"/>
    <col min="5" max="5" width="39.625" style="417" customWidth="1"/>
    <col min="6" max="7" width="9.75" style="606" hidden="1" customWidth="1"/>
    <col min="8" max="8" width="18.125" style="417" customWidth="1"/>
    <col min="9" max="259" width="9" style="417"/>
    <col min="260" max="260" width="4.5" style="417" customWidth="1"/>
    <col min="261" max="261" width="27.125" style="417" customWidth="1"/>
    <col min="262" max="262" width="53.625" style="417" customWidth="1"/>
    <col min="263" max="263" width="17.875" style="417" customWidth="1"/>
    <col min="264" max="515" width="9" style="417"/>
    <col min="516" max="516" width="4.5" style="417" customWidth="1"/>
    <col min="517" max="517" width="27.125" style="417" customWidth="1"/>
    <col min="518" max="518" width="53.625" style="417" customWidth="1"/>
    <col min="519" max="519" width="17.875" style="417" customWidth="1"/>
    <col min="520" max="771" width="9" style="417"/>
    <col min="772" max="772" width="4.5" style="417" customWidth="1"/>
    <col min="773" max="773" width="27.125" style="417" customWidth="1"/>
    <col min="774" max="774" width="53.625" style="417" customWidth="1"/>
    <col min="775" max="775" width="17.875" style="417" customWidth="1"/>
    <col min="776" max="1027" width="9" style="417"/>
    <col min="1028" max="1028" width="4.5" style="417" customWidth="1"/>
    <col min="1029" max="1029" width="27.125" style="417" customWidth="1"/>
    <col min="1030" max="1030" width="53.625" style="417" customWidth="1"/>
    <col min="1031" max="1031" width="17.875" style="417" customWidth="1"/>
    <col min="1032" max="1283" width="9" style="417"/>
    <col min="1284" max="1284" width="4.5" style="417" customWidth="1"/>
    <col min="1285" max="1285" width="27.125" style="417" customWidth="1"/>
    <col min="1286" max="1286" width="53.625" style="417" customWidth="1"/>
    <col min="1287" max="1287" width="17.875" style="417" customWidth="1"/>
    <col min="1288" max="1539" width="9" style="417"/>
    <col min="1540" max="1540" width="4.5" style="417" customWidth="1"/>
    <col min="1541" max="1541" width="27.125" style="417" customWidth="1"/>
    <col min="1542" max="1542" width="53.625" style="417" customWidth="1"/>
    <col min="1543" max="1543" width="17.875" style="417" customWidth="1"/>
    <col min="1544" max="1795" width="9" style="417"/>
    <col min="1796" max="1796" width="4.5" style="417" customWidth="1"/>
    <col min="1797" max="1797" width="27.125" style="417" customWidth="1"/>
    <col min="1798" max="1798" width="53.625" style="417" customWidth="1"/>
    <col min="1799" max="1799" width="17.875" style="417" customWidth="1"/>
    <col min="1800" max="2051" width="9" style="417"/>
    <col min="2052" max="2052" width="4.5" style="417" customWidth="1"/>
    <col min="2053" max="2053" width="27.125" style="417" customWidth="1"/>
    <col min="2054" max="2054" width="53.625" style="417" customWidth="1"/>
    <col min="2055" max="2055" width="17.875" style="417" customWidth="1"/>
    <col min="2056" max="2307" width="9" style="417"/>
    <col min="2308" max="2308" width="4.5" style="417" customWidth="1"/>
    <col min="2309" max="2309" width="27.125" style="417" customWidth="1"/>
    <col min="2310" max="2310" width="53.625" style="417" customWidth="1"/>
    <col min="2311" max="2311" width="17.875" style="417" customWidth="1"/>
    <col min="2312" max="2563" width="9" style="417"/>
    <col min="2564" max="2564" width="4.5" style="417" customWidth="1"/>
    <col min="2565" max="2565" width="27.125" style="417" customWidth="1"/>
    <col min="2566" max="2566" width="53.625" style="417" customWidth="1"/>
    <col min="2567" max="2567" width="17.875" style="417" customWidth="1"/>
    <col min="2568" max="2819" width="9" style="417"/>
    <col min="2820" max="2820" width="4.5" style="417" customWidth="1"/>
    <col min="2821" max="2821" width="27.125" style="417" customWidth="1"/>
    <col min="2822" max="2822" width="53.625" style="417" customWidth="1"/>
    <col min="2823" max="2823" width="17.875" style="417" customWidth="1"/>
    <col min="2824" max="3075" width="9" style="417"/>
    <col min="3076" max="3076" width="4.5" style="417" customWidth="1"/>
    <col min="3077" max="3077" width="27.125" style="417" customWidth="1"/>
    <col min="3078" max="3078" width="53.625" style="417" customWidth="1"/>
    <col min="3079" max="3079" width="17.875" style="417" customWidth="1"/>
    <col min="3080" max="3331" width="9" style="417"/>
    <col min="3332" max="3332" width="4.5" style="417" customWidth="1"/>
    <col min="3333" max="3333" width="27.125" style="417" customWidth="1"/>
    <col min="3334" max="3334" width="53.625" style="417" customWidth="1"/>
    <col min="3335" max="3335" width="17.875" style="417" customWidth="1"/>
    <col min="3336" max="3587" width="9" style="417"/>
    <col min="3588" max="3588" width="4.5" style="417" customWidth="1"/>
    <col min="3589" max="3589" width="27.125" style="417" customWidth="1"/>
    <col min="3590" max="3590" width="53.625" style="417" customWidth="1"/>
    <col min="3591" max="3591" width="17.875" style="417" customWidth="1"/>
    <col min="3592" max="3843" width="9" style="417"/>
    <col min="3844" max="3844" width="4.5" style="417" customWidth="1"/>
    <col min="3845" max="3845" width="27.125" style="417" customWidth="1"/>
    <col min="3846" max="3846" width="53.625" style="417" customWidth="1"/>
    <col min="3847" max="3847" width="17.875" style="417" customWidth="1"/>
    <col min="3848" max="4099" width="9" style="417"/>
    <col min="4100" max="4100" width="4.5" style="417" customWidth="1"/>
    <col min="4101" max="4101" width="27.125" style="417" customWidth="1"/>
    <col min="4102" max="4102" width="53.625" style="417" customWidth="1"/>
    <col min="4103" max="4103" width="17.875" style="417" customWidth="1"/>
    <col min="4104" max="4355" width="9" style="417"/>
    <col min="4356" max="4356" width="4.5" style="417" customWidth="1"/>
    <col min="4357" max="4357" width="27.125" style="417" customWidth="1"/>
    <col min="4358" max="4358" width="53.625" style="417" customWidth="1"/>
    <col min="4359" max="4359" width="17.875" style="417" customWidth="1"/>
    <col min="4360" max="4611" width="9" style="417"/>
    <col min="4612" max="4612" width="4.5" style="417" customWidth="1"/>
    <col min="4613" max="4613" width="27.125" style="417" customWidth="1"/>
    <col min="4614" max="4614" width="53.625" style="417" customWidth="1"/>
    <col min="4615" max="4615" width="17.875" style="417" customWidth="1"/>
    <col min="4616" max="4867" width="9" style="417"/>
    <col min="4868" max="4868" width="4.5" style="417" customWidth="1"/>
    <col min="4869" max="4869" width="27.125" style="417" customWidth="1"/>
    <col min="4870" max="4870" width="53.625" style="417" customWidth="1"/>
    <col min="4871" max="4871" width="17.875" style="417" customWidth="1"/>
    <col min="4872" max="5123" width="9" style="417"/>
    <col min="5124" max="5124" width="4.5" style="417" customWidth="1"/>
    <col min="5125" max="5125" width="27.125" style="417" customWidth="1"/>
    <col min="5126" max="5126" width="53.625" style="417" customWidth="1"/>
    <col min="5127" max="5127" width="17.875" style="417" customWidth="1"/>
    <col min="5128" max="5379" width="9" style="417"/>
    <col min="5380" max="5380" width="4.5" style="417" customWidth="1"/>
    <col min="5381" max="5381" width="27.125" style="417" customWidth="1"/>
    <col min="5382" max="5382" width="53.625" style="417" customWidth="1"/>
    <col min="5383" max="5383" width="17.875" style="417" customWidth="1"/>
    <col min="5384" max="5635" width="9" style="417"/>
    <col min="5636" max="5636" width="4.5" style="417" customWidth="1"/>
    <col min="5637" max="5637" width="27.125" style="417" customWidth="1"/>
    <col min="5638" max="5638" width="53.625" style="417" customWidth="1"/>
    <col min="5639" max="5639" width="17.875" style="417" customWidth="1"/>
    <col min="5640" max="5891" width="9" style="417"/>
    <col min="5892" max="5892" width="4.5" style="417" customWidth="1"/>
    <col min="5893" max="5893" width="27.125" style="417" customWidth="1"/>
    <col min="5894" max="5894" width="53.625" style="417" customWidth="1"/>
    <col min="5895" max="5895" width="17.875" style="417" customWidth="1"/>
    <col min="5896" max="6147" width="9" style="417"/>
    <col min="6148" max="6148" width="4.5" style="417" customWidth="1"/>
    <col min="6149" max="6149" width="27.125" style="417" customWidth="1"/>
    <col min="6150" max="6150" width="53.625" style="417" customWidth="1"/>
    <col min="6151" max="6151" width="17.875" style="417" customWidth="1"/>
    <col min="6152" max="6403" width="9" style="417"/>
    <col min="6404" max="6404" width="4.5" style="417" customWidth="1"/>
    <col min="6405" max="6405" width="27.125" style="417" customWidth="1"/>
    <col min="6406" max="6406" width="53.625" style="417" customWidth="1"/>
    <col min="6407" max="6407" width="17.875" style="417" customWidth="1"/>
    <col min="6408" max="6659" width="9" style="417"/>
    <col min="6660" max="6660" width="4.5" style="417" customWidth="1"/>
    <col min="6661" max="6661" width="27.125" style="417" customWidth="1"/>
    <col min="6662" max="6662" width="53.625" style="417" customWidth="1"/>
    <col min="6663" max="6663" width="17.875" style="417" customWidth="1"/>
    <col min="6664" max="6915" width="9" style="417"/>
    <col min="6916" max="6916" width="4.5" style="417" customWidth="1"/>
    <col min="6917" max="6917" width="27.125" style="417" customWidth="1"/>
    <col min="6918" max="6918" width="53.625" style="417" customWidth="1"/>
    <col min="6919" max="6919" width="17.875" style="417" customWidth="1"/>
    <col min="6920" max="7171" width="9" style="417"/>
    <col min="7172" max="7172" width="4.5" style="417" customWidth="1"/>
    <col min="7173" max="7173" width="27.125" style="417" customWidth="1"/>
    <col min="7174" max="7174" width="53.625" style="417" customWidth="1"/>
    <col min="7175" max="7175" width="17.875" style="417" customWidth="1"/>
    <col min="7176" max="7427" width="9" style="417"/>
    <col min="7428" max="7428" width="4.5" style="417" customWidth="1"/>
    <col min="7429" max="7429" width="27.125" style="417" customWidth="1"/>
    <col min="7430" max="7430" width="53.625" style="417" customWidth="1"/>
    <col min="7431" max="7431" width="17.875" style="417" customWidth="1"/>
    <col min="7432" max="7683" width="9" style="417"/>
    <col min="7684" max="7684" width="4.5" style="417" customWidth="1"/>
    <col min="7685" max="7685" width="27.125" style="417" customWidth="1"/>
    <col min="7686" max="7686" width="53.625" style="417" customWidth="1"/>
    <col min="7687" max="7687" width="17.875" style="417" customWidth="1"/>
    <col min="7688" max="7939" width="9" style="417"/>
    <col min="7940" max="7940" width="4.5" style="417" customWidth="1"/>
    <col min="7941" max="7941" width="27.125" style="417" customWidth="1"/>
    <col min="7942" max="7942" width="53.625" style="417" customWidth="1"/>
    <col min="7943" max="7943" width="17.875" style="417" customWidth="1"/>
    <col min="7944" max="8195" width="9" style="417"/>
    <col min="8196" max="8196" width="4.5" style="417" customWidth="1"/>
    <col min="8197" max="8197" width="27.125" style="417" customWidth="1"/>
    <col min="8198" max="8198" width="53.625" style="417" customWidth="1"/>
    <col min="8199" max="8199" width="17.875" style="417" customWidth="1"/>
    <col min="8200" max="8451" width="9" style="417"/>
    <col min="8452" max="8452" width="4.5" style="417" customWidth="1"/>
    <col min="8453" max="8453" width="27.125" style="417" customWidth="1"/>
    <col min="8454" max="8454" width="53.625" style="417" customWidth="1"/>
    <col min="8455" max="8455" width="17.875" style="417" customWidth="1"/>
    <col min="8456" max="8707" width="9" style="417"/>
    <col min="8708" max="8708" width="4.5" style="417" customWidth="1"/>
    <col min="8709" max="8709" width="27.125" style="417" customWidth="1"/>
    <col min="8710" max="8710" width="53.625" style="417" customWidth="1"/>
    <col min="8711" max="8711" width="17.875" style="417" customWidth="1"/>
    <col min="8712" max="8963" width="9" style="417"/>
    <col min="8964" max="8964" width="4.5" style="417" customWidth="1"/>
    <col min="8965" max="8965" width="27.125" style="417" customWidth="1"/>
    <col min="8966" max="8966" width="53.625" style="417" customWidth="1"/>
    <col min="8967" max="8967" width="17.875" style="417" customWidth="1"/>
    <col min="8968" max="9219" width="9" style="417"/>
    <col min="9220" max="9220" width="4.5" style="417" customWidth="1"/>
    <col min="9221" max="9221" width="27.125" style="417" customWidth="1"/>
    <col min="9222" max="9222" width="53.625" style="417" customWidth="1"/>
    <col min="9223" max="9223" width="17.875" style="417" customWidth="1"/>
    <col min="9224" max="9475" width="9" style="417"/>
    <col min="9476" max="9476" width="4.5" style="417" customWidth="1"/>
    <col min="9477" max="9477" width="27.125" style="417" customWidth="1"/>
    <col min="9478" max="9478" width="53.625" style="417" customWidth="1"/>
    <col min="9479" max="9479" width="17.875" style="417" customWidth="1"/>
    <col min="9480" max="9731" width="9" style="417"/>
    <col min="9732" max="9732" width="4.5" style="417" customWidth="1"/>
    <col min="9733" max="9733" width="27.125" style="417" customWidth="1"/>
    <col min="9734" max="9734" width="53.625" style="417" customWidth="1"/>
    <col min="9735" max="9735" width="17.875" style="417" customWidth="1"/>
    <col min="9736" max="9987" width="9" style="417"/>
    <col min="9988" max="9988" width="4.5" style="417" customWidth="1"/>
    <col min="9989" max="9989" width="27.125" style="417" customWidth="1"/>
    <col min="9990" max="9990" width="53.625" style="417" customWidth="1"/>
    <col min="9991" max="9991" width="17.875" style="417" customWidth="1"/>
    <col min="9992" max="10243" width="9" style="417"/>
    <col min="10244" max="10244" width="4.5" style="417" customWidth="1"/>
    <col min="10245" max="10245" width="27.125" style="417" customWidth="1"/>
    <col min="10246" max="10246" width="53.625" style="417" customWidth="1"/>
    <col min="10247" max="10247" width="17.875" style="417" customWidth="1"/>
    <col min="10248" max="10499" width="9" style="417"/>
    <col min="10500" max="10500" width="4.5" style="417" customWidth="1"/>
    <col min="10501" max="10501" width="27.125" style="417" customWidth="1"/>
    <col min="10502" max="10502" width="53.625" style="417" customWidth="1"/>
    <col min="10503" max="10503" width="17.875" style="417" customWidth="1"/>
    <col min="10504" max="10755" width="9" style="417"/>
    <col min="10756" max="10756" width="4.5" style="417" customWidth="1"/>
    <col min="10757" max="10757" width="27.125" style="417" customWidth="1"/>
    <col min="10758" max="10758" width="53.625" style="417" customWidth="1"/>
    <col min="10759" max="10759" width="17.875" style="417" customWidth="1"/>
    <col min="10760" max="11011" width="9" style="417"/>
    <col min="11012" max="11012" width="4.5" style="417" customWidth="1"/>
    <col min="11013" max="11013" width="27.125" style="417" customWidth="1"/>
    <col min="11014" max="11014" width="53.625" style="417" customWidth="1"/>
    <col min="11015" max="11015" width="17.875" style="417" customWidth="1"/>
    <col min="11016" max="11267" width="9" style="417"/>
    <col min="11268" max="11268" width="4.5" style="417" customWidth="1"/>
    <col min="11269" max="11269" width="27.125" style="417" customWidth="1"/>
    <col min="11270" max="11270" width="53.625" style="417" customWidth="1"/>
    <col min="11271" max="11271" width="17.875" style="417" customWidth="1"/>
    <col min="11272" max="11523" width="9" style="417"/>
    <col min="11524" max="11524" width="4.5" style="417" customWidth="1"/>
    <col min="11525" max="11525" width="27.125" style="417" customWidth="1"/>
    <col min="11526" max="11526" width="53.625" style="417" customWidth="1"/>
    <col min="11527" max="11527" width="17.875" style="417" customWidth="1"/>
    <col min="11528" max="11779" width="9" style="417"/>
    <col min="11780" max="11780" width="4.5" style="417" customWidth="1"/>
    <col min="11781" max="11781" width="27.125" style="417" customWidth="1"/>
    <col min="11782" max="11782" width="53.625" style="417" customWidth="1"/>
    <col min="11783" max="11783" width="17.875" style="417" customWidth="1"/>
    <col min="11784" max="12035" width="9" style="417"/>
    <col min="12036" max="12036" width="4.5" style="417" customWidth="1"/>
    <col min="12037" max="12037" width="27.125" style="417" customWidth="1"/>
    <col min="12038" max="12038" width="53.625" style="417" customWidth="1"/>
    <col min="12039" max="12039" width="17.875" style="417" customWidth="1"/>
    <col min="12040" max="12291" width="9" style="417"/>
    <col min="12292" max="12292" width="4.5" style="417" customWidth="1"/>
    <col min="12293" max="12293" width="27.125" style="417" customWidth="1"/>
    <col min="12294" max="12294" width="53.625" style="417" customWidth="1"/>
    <col min="12295" max="12295" width="17.875" style="417" customWidth="1"/>
    <col min="12296" max="12547" width="9" style="417"/>
    <col min="12548" max="12548" width="4.5" style="417" customWidth="1"/>
    <col min="12549" max="12549" width="27.125" style="417" customWidth="1"/>
    <col min="12550" max="12550" width="53.625" style="417" customWidth="1"/>
    <col min="12551" max="12551" width="17.875" style="417" customWidth="1"/>
    <col min="12552" max="12803" width="9" style="417"/>
    <col min="12804" max="12804" width="4.5" style="417" customWidth="1"/>
    <col min="12805" max="12805" width="27.125" style="417" customWidth="1"/>
    <col min="12806" max="12806" width="53.625" style="417" customWidth="1"/>
    <col min="12807" max="12807" width="17.875" style="417" customWidth="1"/>
    <col min="12808" max="13059" width="9" style="417"/>
    <col min="13060" max="13060" width="4.5" style="417" customWidth="1"/>
    <col min="13061" max="13061" width="27.125" style="417" customWidth="1"/>
    <col min="13062" max="13062" width="53.625" style="417" customWidth="1"/>
    <col min="13063" max="13063" width="17.875" style="417" customWidth="1"/>
    <col min="13064" max="13315" width="9" style="417"/>
    <col min="13316" max="13316" width="4.5" style="417" customWidth="1"/>
    <col min="13317" max="13317" width="27.125" style="417" customWidth="1"/>
    <col min="13318" max="13318" width="53.625" style="417" customWidth="1"/>
    <col min="13319" max="13319" width="17.875" style="417" customWidth="1"/>
    <col min="13320" max="13571" width="9" style="417"/>
    <col min="13572" max="13572" width="4.5" style="417" customWidth="1"/>
    <col min="13573" max="13573" width="27.125" style="417" customWidth="1"/>
    <col min="13574" max="13574" width="53.625" style="417" customWidth="1"/>
    <col min="13575" max="13575" width="17.875" style="417" customWidth="1"/>
    <col min="13576" max="13827" width="9" style="417"/>
    <col min="13828" max="13828" width="4.5" style="417" customWidth="1"/>
    <col min="13829" max="13829" width="27.125" style="417" customWidth="1"/>
    <col min="13830" max="13830" width="53.625" style="417" customWidth="1"/>
    <col min="13831" max="13831" width="17.875" style="417" customWidth="1"/>
    <col min="13832" max="14083" width="9" style="417"/>
    <col min="14084" max="14084" width="4.5" style="417" customWidth="1"/>
    <col min="14085" max="14085" width="27.125" style="417" customWidth="1"/>
    <col min="14086" max="14086" width="53.625" style="417" customWidth="1"/>
    <col min="14087" max="14087" width="17.875" style="417" customWidth="1"/>
    <col min="14088" max="14339" width="9" style="417"/>
    <col min="14340" max="14340" width="4.5" style="417" customWidth="1"/>
    <col min="14341" max="14341" width="27.125" style="417" customWidth="1"/>
    <col min="14342" max="14342" width="53.625" style="417" customWidth="1"/>
    <col min="14343" max="14343" width="17.875" style="417" customWidth="1"/>
    <col min="14344" max="14595" width="9" style="417"/>
    <col min="14596" max="14596" width="4.5" style="417" customWidth="1"/>
    <col min="14597" max="14597" width="27.125" style="417" customWidth="1"/>
    <col min="14598" max="14598" width="53.625" style="417" customWidth="1"/>
    <col min="14599" max="14599" width="17.875" style="417" customWidth="1"/>
    <col min="14600" max="14851" width="9" style="417"/>
    <col min="14852" max="14852" width="4.5" style="417" customWidth="1"/>
    <col min="14853" max="14853" width="27.125" style="417" customWidth="1"/>
    <col min="14854" max="14854" width="53.625" style="417" customWidth="1"/>
    <col min="14855" max="14855" width="17.875" style="417" customWidth="1"/>
    <col min="14856" max="15107" width="9" style="417"/>
    <col min="15108" max="15108" width="4.5" style="417" customWidth="1"/>
    <col min="15109" max="15109" width="27.125" style="417" customWidth="1"/>
    <col min="15110" max="15110" width="53.625" style="417" customWidth="1"/>
    <col min="15111" max="15111" width="17.875" style="417" customWidth="1"/>
    <col min="15112" max="15363" width="9" style="417"/>
    <col min="15364" max="15364" width="4.5" style="417" customWidth="1"/>
    <col min="15365" max="15365" width="27.125" style="417" customWidth="1"/>
    <col min="15366" max="15366" width="53.625" style="417" customWidth="1"/>
    <col min="15367" max="15367" width="17.875" style="417" customWidth="1"/>
    <col min="15368" max="15619" width="9" style="417"/>
    <col min="15620" max="15620" width="4.5" style="417" customWidth="1"/>
    <col min="15621" max="15621" width="27.125" style="417" customWidth="1"/>
    <col min="15622" max="15622" width="53.625" style="417" customWidth="1"/>
    <col min="15623" max="15623" width="17.875" style="417" customWidth="1"/>
    <col min="15624" max="15875" width="9" style="417"/>
    <col min="15876" max="15876" width="4.5" style="417" customWidth="1"/>
    <col min="15877" max="15877" width="27.125" style="417" customWidth="1"/>
    <col min="15878" max="15878" width="53.625" style="417" customWidth="1"/>
    <col min="15879" max="15879" width="17.875" style="417" customWidth="1"/>
    <col min="15880" max="16131" width="9" style="417"/>
    <col min="16132" max="16132" width="4.5" style="417" customWidth="1"/>
    <col min="16133" max="16133" width="27.125" style="417" customWidth="1"/>
    <col min="16134" max="16134" width="53.625" style="417" customWidth="1"/>
    <col min="16135" max="16135" width="17.875" style="417" customWidth="1"/>
    <col min="16136" max="16384" width="9" style="417"/>
  </cols>
  <sheetData>
    <row r="2" spans="1:8" ht="15" customHeight="1" x14ac:dyDescent="0.25">
      <c r="A2" s="1040" t="s">
        <v>881</v>
      </c>
      <c r="B2" s="1040"/>
      <c r="C2" s="1040"/>
      <c r="D2" s="1040"/>
      <c r="E2" s="1040"/>
      <c r="F2" s="605"/>
      <c r="G2" s="605"/>
    </row>
    <row r="3" spans="1:8" x14ac:dyDescent="0.25">
      <c r="B3" s="418"/>
      <c r="C3" s="418"/>
      <c r="D3" s="418"/>
      <c r="E3" s="418"/>
      <c r="F3" s="605"/>
      <c r="G3" s="605"/>
    </row>
    <row r="4" spans="1:8" ht="15.75" thickBot="1" x14ac:dyDescent="0.3"/>
    <row r="5" spans="1:8" x14ac:dyDescent="0.25">
      <c r="A5" s="1041" t="s">
        <v>840</v>
      </c>
      <c r="B5" s="1041" t="s">
        <v>1252</v>
      </c>
      <c r="C5" s="1041" t="s">
        <v>877</v>
      </c>
      <c r="D5" s="1041" t="s">
        <v>1253</v>
      </c>
      <c r="E5" s="1041" t="s">
        <v>1261</v>
      </c>
    </row>
    <row r="6" spans="1:8" ht="42" customHeight="1" thickBot="1" x14ac:dyDescent="0.3">
      <c r="A6" s="1042"/>
      <c r="B6" s="1042"/>
      <c r="C6" s="1042"/>
      <c r="D6" s="1042"/>
      <c r="E6" s="1042"/>
      <c r="G6" s="607"/>
    </row>
    <row r="7" spans="1:8" ht="42" customHeight="1" thickBot="1" x14ac:dyDescent="0.3">
      <c r="A7" s="621" t="s">
        <v>144</v>
      </c>
      <c r="B7" s="617" t="s">
        <v>1254</v>
      </c>
      <c r="C7" s="618" t="s">
        <v>878</v>
      </c>
      <c r="D7" s="619" t="s">
        <v>1255</v>
      </c>
      <c r="E7" s="619" t="s">
        <v>1256</v>
      </c>
      <c r="G7" s="608"/>
    </row>
    <row r="8" spans="1:8" ht="42" customHeight="1" thickBot="1" x14ac:dyDescent="0.3">
      <c r="A8" s="622" t="s">
        <v>145</v>
      </c>
      <c r="B8" s="617" t="s">
        <v>1254</v>
      </c>
      <c r="C8" s="618" t="s">
        <v>879</v>
      </c>
      <c r="D8" s="674" t="s">
        <v>1262</v>
      </c>
      <c r="E8" s="619" t="s">
        <v>1257</v>
      </c>
      <c r="F8" s="623">
        <v>4775500</v>
      </c>
      <c r="G8" s="607" t="s">
        <v>1263</v>
      </c>
      <c r="H8" s="609"/>
    </row>
    <row r="9" spans="1:8" ht="42" customHeight="1" thickBot="1" x14ac:dyDescent="0.3">
      <c r="A9" s="620" t="s">
        <v>146</v>
      </c>
      <c r="B9" s="617" t="s">
        <v>1258</v>
      </c>
      <c r="C9" s="618" t="s">
        <v>880</v>
      </c>
      <c r="D9" s="619" t="s">
        <v>1259</v>
      </c>
      <c r="E9" s="619" t="s">
        <v>1260</v>
      </c>
    </row>
    <row r="10" spans="1:8" x14ac:dyDescent="0.25">
      <c r="G10" s="607"/>
    </row>
  </sheetData>
  <mergeCells count="6">
    <mergeCell ref="A2:E2"/>
    <mergeCell ref="B5:B6"/>
    <mergeCell ref="C5:C6"/>
    <mergeCell ref="D5:D6"/>
    <mergeCell ref="E5:E6"/>
    <mergeCell ref="A5:A6"/>
  </mergeCells>
  <printOptions horizontalCentered="1"/>
  <pageMargins left="0.70866141732283472" right="0.70866141732283472" top="1.2204724409448819" bottom="0.74803149606299213" header="0.47244094488188981" footer="0.31496062992125984"/>
  <pageSetup paperSize="9" scale="93" orientation="landscape" r:id="rId1"/>
  <headerFooter>
    <oddHeader>&amp;R&amp;"Times New Roman CE,Félkövér"18.melléklet a 40/2020.(XI.30.) önkormányzati rendelethez&amp;"Times New Roman CE,Dőlt"
22. melléklet
&amp;11az 5/2020.(II.17.) önkormányzati rendelethez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26"/>
  <sheetViews>
    <sheetView topLeftCell="A7" zoomScale="70" zoomScaleNormal="70" workbookViewId="0">
      <selection activeCell="B11" sqref="B11"/>
    </sheetView>
  </sheetViews>
  <sheetFormatPr defaultRowHeight="15.75" x14ac:dyDescent="0.25"/>
  <cols>
    <col min="1" max="1" width="8.75" style="540"/>
    <col min="2" max="2" width="59.125" style="541" customWidth="1"/>
    <col min="3" max="3" width="15.5" style="542" customWidth="1"/>
    <col min="4" max="4" width="19.875" style="564" hidden="1" customWidth="1"/>
    <col min="5" max="5" width="9" style="540" hidden="1" customWidth="1"/>
    <col min="6" max="6" width="55.5" style="541" hidden="1" customWidth="1"/>
    <col min="7" max="9" width="15.5" style="542" hidden="1" customWidth="1"/>
    <col min="10" max="10" width="16.75" style="540" hidden="1" customWidth="1"/>
    <col min="11" max="11" width="9" style="540" hidden="1" customWidth="1"/>
    <col min="12" max="251" width="8.75" style="540"/>
    <col min="252" max="252" width="42.125" style="540" customWidth="1"/>
    <col min="253" max="253" width="13.375" style="540" customWidth="1"/>
    <col min="254" max="507" width="8.75" style="540"/>
    <col min="508" max="508" width="42.125" style="540" customWidth="1"/>
    <col min="509" max="509" width="13.375" style="540" customWidth="1"/>
    <col min="510" max="763" width="8.75" style="540"/>
    <col min="764" max="764" width="42.125" style="540" customWidth="1"/>
    <col min="765" max="765" width="13.375" style="540" customWidth="1"/>
    <col min="766" max="1019" width="8.75" style="540"/>
    <col min="1020" max="1020" width="42.125" style="540" customWidth="1"/>
    <col min="1021" max="1021" width="13.375" style="540" customWidth="1"/>
    <col min="1022" max="1275" width="8.75" style="540"/>
    <col min="1276" max="1276" width="42.125" style="540" customWidth="1"/>
    <col min="1277" max="1277" width="13.375" style="540" customWidth="1"/>
    <col min="1278" max="1531" width="8.75" style="540"/>
    <col min="1532" max="1532" width="42.125" style="540" customWidth="1"/>
    <col min="1533" max="1533" width="13.375" style="540" customWidth="1"/>
    <col min="1534" max="1787" width="8.75" style="540"/>
    <col min="1788" max="1788" width="42.125" style="540" customWidth="1"/>
    <col min="1789" max="1789" width="13.375" style="540" customWidth="1"/>
    <col min="1790" max="2043" width="8.75" style="540"/>
    <col min="2044" max="2044" width="42.125" style="540" customWidth="1"/>
    <col min="2045" max="2045" width="13.375" style="540" customWidth="1"/>
    <col min="2046" max="2299" width="8.75" style="540"/>
    <col min="2300" max="2300" width="42.125" style="540" customWidth="1"/>
    <col min="2301" max="2301" width="13.375" style="540" customWidth="1"/>
    <col min="2302" max="2555" width="8.75" style="540"/>
    <col min="2556" max="2556" width="42.125" style="540" customWidth="1"/>
    <col min="2557" max="2557" width="13.375" style="540" customWidth="1"/>
    <col min="2558" max="2811" width="8.75" style="540"/>
    <col min="2812" max="2812" width="42.125" style="540" customWidth="1"/>
    <col min="2813" max="2813" width="13.375" style="540" customWidth="1"/>
    <col min="2814" max="3067" width="8.75" style="540"/>
    <col min="3068" max="3068" width="42.125" style="540" customWidth="1"/>
    <col min="3069" max="3069" width="13.375" style="540" customWidth="1"/>
    <col min="3070" max="3323" width="8.75" style="540"/>
    <col min="3324" max="3324" width="42.125" style="540" customWidth="1"/>
    <col min="3325" max="3325" width="13.375" style="540" customWidth="1"/>
    <col min="3326" max="3579" width="8.75" style="540"/>
    <col min="3580" max="3580" width="42.125" style="540" customWidth="1"/>
    <col min="3581" max="3581" width="13.375" style="540" customWidth="1"/>
    <col min="3582" max="3835" width="8.75" style="540"/>
    <col min="3836" max="3836" width="42.125" style="540" customWidth="1"/>
    <col min="3837" max="3837" width="13.375" style="540" customWidth="1"/>
    <col min="3838" max="4091" width="8.75" style="540"/>
    <col min="4092" max="4092" width="42.125" style="540" customWidth="1"/>
    <col min="4093" max="4093" width="13.375" style="540" customWidth="1"/>
    <col min="4094" max="4347" width="8.75" style="540"/>
    <col min="4348" max="4348" width="42.125" style="540" customWidth="1"/>
    <col min="4349" max="4349" width="13.375" style="540" customWidth="1"/>
    <col min="4350" max="4603" width="8.75" style="540"/>
    <col min="4604" max="4604" width="42.125" style="540" customWidth="1"/>
    <col min="4605" max="4605" width="13.375" style="540" customWidth="1"/>
    <col min="4606" max="4859" width="8.75" style="540"/>
    <col min="4860" max="4860" width="42.125" style="540" customWidth="1"/>
    <col min="4861" max="4861" width="13.375" style="540" customWidth="1"/>
    <col min="4862" max="5115" width="8.75" style="540"/>
    <col min="5116" max="5116" width="42.125" style="540" customWidth="1"/>
    <col min="5117" max="5117" width="13.375" style="540" customWidth="1"/>
    <col min="5118" max="5371" width="8.75" style="540"/>
    <col min="5372" max="5372" width="42.125" style="540" customWidth="1"/>
    <col min="5373" max="5373" width="13.375" style="540" customWidth="1"/>
    <col min="5374" max="5627" width="8.75" style="540"/>
    <col min="5628" max="5628" width="42.125" style="540" customWidth="1"/>
    <col min="5629" max="5629" width="13.375" style="540" customWidth="1"/>
    <col min="5630" max="5883" width="8.75" style="540"/>
    <col min="5884" max="5884" width="42.125" style="540" customWidth="1"/>
    <col min="5885" max="5885" width="13.375" style="540" customWidth="1"/>
    <col min="5886" max="6139" width="8.75" style="540"/>
    <col min="6140" max="6140" width="42.125" style="540" customWidth="1"/>
    <col min="6141" max="6141" width="13.375" style="540" customWidth="1"/>
    <col min="6142" max="6395" width="8.75" style="540"/>
    <col min="6396" max="6396" width="42.125" style="540" customWidth="1"/>
    <col min="6397" max="6397" width="13.375" style="540" customWidth="1"/>
    <col min="6398" max="6651" width="8.75" style="540"/>
    <col min="6652" max="6652" width="42.125" style="540" customWidth="1"/>
    <col min="6653" max="6653" width="13.375" style="540" customWidth="1"/>
    <col min="6654" max="6907" width="8.75" style="540"/>
    <col min="6908" max="6908" width="42.125" style="540" customWidth="1"/>
    <col min="6909" max="6909" width="13.375" style="540" customWidth="1"/>
    <col min="6910" max="7163" width="8.75" style="540"/>
    <col min="7164" max="7164" width="42.125" style="540" customWidth="1"/>
    <col min="7165" max="7165" width="13.375" style="540" customWidth="1"/>
    <col min="7166" max="7419" width="8.75" style="540"/>
    <col min="7420" max="7420" width="42.125" style="540" customWidth="1"/>
    <col min="7421" max="7421" width="13.375" style="540" customWidth="1"/>
    <col min="7422" max="7675" width="8.75" style="540"/>
    <col min="7676" max="7676" width="42.125" style="540" customWidth="1"/>
    <col min="7677" max="7677" width="13.375" style="540" customWidth="1"/>
    <col min="7678" max="7931" width="8.75" style="540"/>
    <col min="7932" max="7932" width="42.125" style="540" customWidth="1"/>
    <col min="7933" max="7933" width="13.375" style="540" customWidth="1"/>
    <col min="7934" max="8187" width="8.75" style="540"/>
    <col min="8188" max="8188" width="42.125" style="540" customWidth="1"/>
    <col min="8189" max="8189" width="13.375" style="540" customWidth="1"/>
    <col min="8190" max="8443" width="8.75" style="540"/>
    <col min="8444" max="8444" width="42.125" style="540" customWidth="1"/>
    <col min="8445" max="8445" width="13.375" style="540" customWidth="1"/>
    <col min="8446" max="8699" width="8.75" style="540"/>
    <col min="8700" max="8700" width="42.125" style="540" customWidth="1"/>
    <col min="8701" max="8701" width="13.375" style="540" customWidth="1"/>
    <col min="8702" max="8955" width="8.75" style="540"/>
    <col min="8956" max="8956" width="42.125" style="540" customWidth="1"/>
    <col min="8957" max="8957" width="13.375" style="540" customWidth="1"/>
    <col min="8958" max="9211" width="8.75" style="540"/>
    <col min="9212" max="9212" width="42.125" style="540" customWidth="1"/>
    <col min="9213" max="9213" width="13.375" style="540" customWidth="1"/>
    <col min="9214" max="9467" width="8.75" style="540"/>
    <col min="9468" max="9468" width="42.125" style="540" customWidth="1"/>
    <col min="9469" max="9469" width="13.375" style="540" customWidth="1"/>
    <col min="9470" max="9723" width="8.75" style="540"/>
    <col min="9724" max="9724" width="42.125" style="540" customWidth="1"/>
    <col min="9725" max="9725" width="13.375" style="540" customWidth="1"/>
    <col min="9726" max="9979" width="8.75" style="540"/>
    <col min="9980" max="9980" width="42.125" style="540" customWidth="1"/>
    <col min="9981" max="9981" width="13.375" style="540" customWidth="1"/>
    <col min="9982" max="10235" width="8.75" style="540"/>
    <col min="10236" max="10236" width="42.125" style="540" customWidth="1"/>
    <col min="10237" max="10237" width="13.375" style="540" customWidth="1"/>
    <col min="10238" max="10491" width="8.75" style="540"/>
    <col min="10492" max="10492" width="42.125" style="540" customWidth="1"/>
    <col min="10493" max="10493" width="13.375" style="540" customWidth="1"/>
    <col min="10494" max="10747" width="8.75" style="540"/>
    <col min="10748" max="10748" width="42.125" style="540" customWidth="1"/>
    <col min="10749" max="10749" width="13.375" style="540" customWidth="1"/>
    <col min="10750" max="11003" width="8.75" style="540"/>
    <col min="11004" max="11004" width="42.125" style="540" customWidth="1"/>
    <col min="11005" max="11005" width="13.375" style="540" customWidth="1"/>
    <col min="11006" max="11259" width="8.75" style="540"/>
    <col min="11260" max="11260" width="42.125" style="540" customWidth="1"/>
    <col min="11261" max="11261" width="13.375" style="540" customWidth="1"/>
    <col min="11262" max="11515" width="8.75" style="540"/>
    <col min="11516" max="11516" width="42.125" style="540" customWidth="1"/>
    <col min="11517" max="11517" width="13.375" style="540" customWidth="1"/>
    <col min="11518" max="11771" width="8.75" style="540"/>
    <col min="11772" max="11772" width="42.125" style="540" customWidth="1"/>
    <col min="11773" max="11773" width="13.375" style="540" customWidth="1"/>
    <col min="11774" max="12027" width="8.75" style="540"/>
    <col min="12028" max="12028" width="42.125" style="540" customWidth="1"/>
    <col min="12029" max="12029" width="13.375" style="540" customWidth="1"/>
    <col min="12030" max="12283" width="8.75" style="540"/>
    <col min="12284" max="12284" width="42.125" style="540" customWidth="1"/>
    <col min="12285" max="12285" width="13.375" style="540" customWidth="1"/>
    <col min="12286" max="12539" width="8.75" style="540"/>
    <col min="12540" max="12540" width="42.125" style="540" customWidth="1"/>
    <col min="12541" max="12541" width="13.375" style="540" customWidth="1"/>
    <col min="12542" max="12795" width="8.75" style="540"/>
    <col min="12796" max="12796" width="42.125" style="540" customWidth="1"/>
    <col min="12797" max="12797" width="13.375" style="540" customWidth="1"/>
    <col min="12798" max="13051" width="8.75" style="540"/>
    <col min="13052" max="13052" width="42.125" style="540" customWidth="1"/>
    <col min="13053" max="13053" width="13.375" style="540" customWidth="1"/>
    <col min="13054" max="13307" width="8.75" style="540"/>
    <col min="13308" max="13308" width="42.125" style="540" customWidth="1"/>
    <col min="13309" max="13309" width="13.375" style="540" customWidth="1"/>
    <col min="13310" max="13563" width="8.75" style="540"/>
    <col min="13564" max="13564" width="42.125" style="540" customWidth="1"/>
    <col min="13565" max="13565" width="13.375" style="540" customWidth="1"/>
    <col min="13566" max="13819" width="8.75" style="540"/>
    <col min="13820" max="13820" width="42.125" style="540" customWidth="1"/>
    <col min="13821" max="13821" width="13.375" style="540" customWidth="1"/>
    <col min="13822" max="14075" width="8.75" style="540"/>
    <col min="14076" max="14076" width="42.125" style="540" customWidth="1"/>
    <col min="14077" max="14077" width="13.375" style="540" customWidth="1"/>
    <col min="14078" max="14331" width="8.75" style="540"/>
    <col min="14332" max="14332" width="42.125" style="540" customWidth="1"/>
    <col min="14333" max="14333" width="13.375" style="540" customWidth="1"/>
    <col min="14334" max="14587" width="8.75" style="540"/>
    <col min="14588" max="14588" width="42.125" style="540" customWidth="1"/>
    <col min="14589" max="14589" width="13.375" style="540" customWidth="1"/>
    <col min="14590" max="14843" width="8.75" style="540"/>
    <col min="14844" max="14844" width="42.125" style="540" customWidth="1"/>
    <col min="14845" max="14845" width="13.375" style="540" customWidth="1"/>
    <col min="14846" max="15099" width="8.75" style="540"/>
    <col min="15100" max="15100" width="42.125" style="540" customWidth="1"/>
    <col min="15101" max="15101" width="13.375" style="540" customWidth="1"/>
    <col min="15102" max="15355" width="8.75" style="540"/>
    <col min="15356" max="15356" width="42.125" style="540" customWidth="1"/>
    <col min="15357" max="15357" width="13.375" style="540" customWidth="1"/>
    <col min="15358" max="15611" width="8.75" style="540"/>
    <col min="15612" max="15612" width="42.125" style="540" customWidth="1"/>
    <col min="15613" max="15613" width="13.375" style="540" customWidth="1"/>
    <col min="15614" max="15867" width="8.75" style="540"/>
    <col min="15868" max="15868" width="42.125" style="540" customWidth="1"/>
    <col min="15869" max="15869" width="13.375" style="540" customWidth="1"/>
    <col min="15870" max="16123" width="8.75" style="540"/>
    <col min="16124" max="16124" width="42.125" style="540" customWidth="1"/>
    <col min="16125" max="16125" width="13.375" style="540" customWidth="1"/>
    <col min="16126" max="16378" width="8.75" style="540"/>
    <col min="16379" max="16384" width="8.75" style="540" customWidth="1"/>
  </cols>
  <sheetData>
    <row r="1" spans="1:11" ht="16.5" thickBot="1" x14ac:dyDescent="0.3"/>
    <row r="2" spans="1:11" s="546" customFormat="1" ht="48" thickBot="1" x14ac:dyDescent="0.3">
      <c r="A2" s="543" t="s">
        <v>840</v>
      </c>
      <c r="B2" s="544" t="s">
        <v>136</v>
      </c>
      <c r="C2" s="545" t="s">
        <v>841</v>
      </c>
      <c r="D2" s="592" t="s">
        <v>1104</v>
      </c>
      <c r="E2" s="572" t="s">
        <v>840</v>
      </c>
      <c r="F2" s="573" t="s">
        <v>136</v>
      </c>
      <c r="G2" s="569" t="s">
        <v>841</v>
      </c>
      <c r="H2" s="569" t="s">
        <v>1099</v>
      </c>
      <c r="I2" s="569" t="s">
        <v>1100</v>
      </c>
    </row>
    <row r="3" spans="1:11" s="546" customFormat="1" ht="16.5" thickBot="1" x14ac:dyDescent="0.3">
      <c r="A3" s="1045" t="s">
        <v>494</v>
      </c>
      <c r="B3" s="1046"/>
      <c r="C3" s="1047"/>
      <c r="D3" s="565"/>
      <c r="E3" s="1048" t="s">
        <v>494</v>
      </c>
      <c r="F3" s="1049"/>
      <c r="G3" s="1049"/>
      <c r="H3" s="1049"/>
      <c r="I3" s="1050"/>
    </row>
    <row r="4" spans="1:11" x14ac:dyDescent="0.25">
      <c r="A4" s="547" t="s">
        <v>144</v>
      </c>
      <c r="B4" s="548" t="s">
        <v>842</v>
      </c>
      <c r="C4" s="549">
        <v>60568</v>
      </c>
      <c r="E4" s="574" t="s">
        <v>144</v>
      </c>
      <c r="F4" s="575" t="s">
        <v>842</v>
      </c>
      <c r="G4" s="585">
        <v>60568</v>
      </c>
      <c r="H4" s="585"/>
      <c r="I4" s="570">
        <f>+G4+H4</f>
        <v>60568</v>
      </c>
    </row>
    <row r="5" spans="1:11" x14ac:dyDescent="0.25">
      <c r="A5" s="547" t="s">
        <v>145</v>
      </c>
      <c r="B5" s="548" t="s">
        <v>856</v>
      </c>
      <c r="C5" s="549">
        <v>-25400</v>
      </c>
      <c r="E5" s="547" t="s">
        <v>145</v>
      </c>
      <c r="F5" s="548" t="s">
        <v>856</v>
      </c>
      <c r="G5" s="579">
        <v>-25400</v>
      </c>
      <c r="H5" s="579"/>
      <c r="I5" s="549">
        <f t="shared" ref="I5:I9" si="0">+G5+H5</f>
        <v>-25400</v>
      </c>
    </row>
    <row r="6" spans="1:11" x14ac:dyDescent="0.25">
      <c r="A6" s="547" t="s">
        <v>146</v>
      </c>
      <c r="B6" s="548" t="s">
        <v>843</v>
      </c>
      <c r="C6" s="549">
        <v>5</v>
      </c>
      <c r="E6" s="547" t="s">
        <v>146</v>
      </c>
      <c r="F6" s="548" t="s">
        <v>843</v>
      </c>
      <c r="G6" s="579">
        <v>0</v>
      </c>
      <c r="H6" s="580">
        <v>5</v>
      </c>
      <c r="I6" s="549">
        <f t="shared" si="0"/>
        <v>5</v>
      </c>
    </row>
    <row r="7" spans="1:11" ht="47.25" x14ac:dyDescent="0.25">
      <c r="A7" s="547" t="s">
        <v>147</v>
      </c>
      <c r="B7" s="548" t="s">
        <v>844</v>
      </c>
      <c r="C7" s="549">
        <f>1000-600</f>
        <v>400</v>
      </c>
      <c r="D7" s="567" t="s">
        <v>1103</v>
      </c>
      <c r="E7" s="547" t="s">
        <v>147</v>
      </c>
      <c r="F7" s="548" t="s">
        <v>844</v>
      </c>
      <c r="G7" s="579">
        <v>1000</v>
      </c>
      <c r="H7" s="582">
        <v>-600</v>
      </c>
      <c r="I7" s="549">
        <f t="shared" si="0"/>
        <v>400</v>
      </c>
      <c r="J7" s="590" t="s">
        <v>1102</v>
      </c>
    </row>
    <row r="8" spans="1:11" x14ac:dyDescent="0.25">
      <c r="A8" s="547" t="s">
        <v>148</v>
      </c>
      <c r="B8" s="548" t="s">
        <v>845</v>
      </c>
      <c r="C8" s="549">
        <f>9000-3920</f>
        <v>5080</v>
      </c>
      <c r="E8" s="547" t="s">
        <v>148</v>
      </c>
      <c r="F8" s="548" t="s">
        <v>845</v>
      </c>
      <c r="G8" s="579">
        <v>9000</v>
      </c>
      <c r="H8" s="593">
        <v>-3920</v>
      </c>
      <c r="I8" s="549">
        <f t="shared" si="0"/>
        <v>5080</v>
      </c>
      <c r="J8" s="590" t="s">
        <v>1113</v>
      </c>
    </row>
    <row r="9" spans="1:11" x14ac:dyDescent="0.25">
      <c r="A9" s="547" t="s">
        <v>149</v>
      </c>
      <c r="B9" s="548" t="s">
        <v>846</v>
      </c>
      <c r="C9" s="549">
        <f>15060+1500</f>
        <v>16560</v>
      </c>
      <c r="E9" s="547" t="s">
        <v>149</v>
      </c>
      <c r="F9" s="548" t="s">
        <v>846</v>
      </c>
      <c r="G9" s="579">
        <v>15060</v>
      </c>
      <c r="H9" s="581">
        <f>-10000+1500</f>
        <v>-8500</v>
      </c>
      <c r="I9" s="549">
        <f t="shared" si="0"/>
        <v>6560</v>
      </c>
      <c r="J9" s="590" t="s">
        <v>1106</v>
      </c>
    </row>
    <row r="10" spans="1:11" s="546" customFormat="1" x14ac:dyDescent="0.25">
      <c r="A10" s="550" t="s">
        <v>150</v>
      </c>
      <c r="B10" s="551" t="s">
        <v>847</v>
      </c>
      <c r="C10" s="552">
        <f>SUM(C4:C9)</f>
        <v>57213</v>
      </c>
      <c r="D10" s="565"/>
      <c r="E10" s="576" t="s">
        <v>150</v>
      </c>
      <c r="F10" s="577" t="s">
        <v>847</v>
      </c>
      <c r="G10" s="586">
        <f>SUM(G4:G9)</f>
        <v>60228</v>
      </c>
      <c r="H10" s="586">
        <f t="shared" ref="H10:I10" si="1">SUM(H4:H9)</f>
        <v>-13015</v>
      </c>
      <c r="I10" s="578">
        <f t="shared" si="1"/>
        <v>47213</v>
      </c>
    </row>
    <row r="11" spans="1:11" ht="63" x14ac:dyDescent="0.25">
      <c r="A11" s="547" t="s">
        <v>151</v>
      </c>
      <c r="B11" s="548" t="s">
        <v>1511</v>
      </c>
      <c r="C11" s="549">
        <v>-10000</v>
      </c>
      <c r="E11" s="547"/>
      <c r="F11" s="548"/>
      <c r="G11" s="579"/>
      <c r="H11" s="593"/>
      <c r="I11" s="549"/>
      <c r="J11" s="590"/>
    </row>
    <row r="12" spans="1:11" s="546" customFormat="1" x14ac:dyDescent="0.25">
      <c r="A12" s="953" t="s">
        <v>152</v>
      </c>
      <c r="B12" s="959" t="s">
        <v>1509</v>
      </c>
      <c r="C12" s="954">
        <f>+C10+C11</f>
        <v>47213</v>
      </c>
      <c r="D12" s="565"/>
      <c r="E12" s="955"/>
      <c r="F12" s="956"/>
      <c r="G12" s="957"/>
      <c r="H12" s="957"/>
      <c r="I12" s="958"/>
    </row>
    <row r="13" spans="1:11" x14ac:dyDescent="0.25">
      <c r="A13" s="1045" t="s">
        <v>511</v>
      </c>
      <c r="B13" s="1046"/>
      <c r="C13" s="1047"/>
      <c r="E13" s="1045" t="s">
        <v>511</v>
      </c>
      <c r="F13" s="1046"/>
      <c r="G13" s="1046"/>
      <c r="H13" s="1046"/>
      <c r="I13" s="1047"/>
    </row>
    <row r="14" spans="1:11" ht="48.75" customHeight="1" x14ac:dyDescent="0.25">
      <c r="A14" s="547" t="s">
        <v>0</v>
      </c>
      <c r="B14" s="548" t="s">
        <v>848</v>
      </c>
      <c r="C14" s="571">
        <f>2000-8-1992</f>
        <v>0</v>
      </c>
      <c r="D14" s="567" t="s">
        <v>1101</v>
      </c>
      <c r="E14" s="574" t="s">
        <v>151</v>
      </c>
      <c r="F14" s="575" t="s">
        <v>848</v>
      </c>
      <c r="G14" s="587">
        <f>2000-8</f>
        <v>1992</v>
      </c>
      <c r="H14" s="588">
        <f>-600-1392</f>
        <v>-1992</v>
      </c>
      <c r="I14" s="570">
        <f t="shared" ref="I14:I18" si="2">+G14+H14</f>
        <v>0</v>
      </c>
      <c r="J14" s="1043" t="s">
        <v>1206</v>
      </c>
      <c r="K14" s="1044"/>
    </row>
    <row r="15" spans="1:11" ht="29.25" customHeight="1" x14ac:dyDescent="0.25">
      <c r="A15" s="547" t="s">
        <v>1</v>
      </c>
      <c r="B15" s="548" t="s">
        <v>849</v>
      </c>
      <c r="C15" s="549">
        <f>20000-6044-19-3920</f>
        <v>10017</v>
      </c>
      <c r="D15" s="591" t="s">
        <v>1093</v>
      </c>
      <c r="E15" s="547" t="s">
        <v>152</v>
      </c>
      <c r="F15" s="548" t="s">
        <v>1116</v>
      </c>
      <c r="G15" s="579">
        <f>20000-6044</f>
        <v>13956</v>
      </c>
      <c r="H15" s="581">
        <f>-10000-3920-19</f>
        <v>-13939</v>
      </c>
      <c r="I15" s="563">
        <f t="shared" si="2"/>
        <v>17</v>
      </c>
      <c r="J15" s="1043" t="s">
        <v>1208</v>
      </c>
      <c r="K15" s="1044"/>
    </row>
    <row r="16" spans="1:11" ht="30.75" customHeight="1" x14ac:dyDescent="0.25">
      <c r="A16" s="547" t="s">
        <v>2</v>
      </c>
      <c r="B16" s="548" t="s">
        <v>1207</v>
      </c>
      <c r="C16" s="549">
        <f>1392+19</f>
        <v>1411</v>
      </c>
      <c r="E16" s="547" t="s">
        <v>0</v>
      </c>
      <c r="F16" s="595" t="s">
        <v>1207</v>
      </c>
      <c r="G16" s="579"/>
      <c r="H16" s="581">
        <f>1392+19</f>
        <v>1411</v>
      </c>
      <c r="I16" s="563">
        <f t="shared" si="2"/>
        <v>1411</v>
      </c>
    </row>
    <row r="17" spans="1:10" x14ac:dyDescent="0.25">
      <c r="A17" s="547" t="s">
        <v>3</v>
      </c>
      <c r="B17" s="548" t="s">
        <v>850</v>
      </c>
      <c r="C17" s="553">
        <f>37828+25400-25400+6044</f>
        <v>43872</v>
      </c>
      <c r="D17" s="566"/>
      <c r="E17" s="547" t="s">
        <v>1</v>
      </c>
      <c r="F17" s="548" t="s">
        <v>850</v>
      </c>
      <c r="G17" s="584">
        <f>37828+25400-25400+6044</f>
        <v>43872</v>
      </c>
      <c r="H17" s="584"/>
      <c r="I17" s="549">
        <f t="shared" si="2"/>
        <v>43872</v>
      </c>
    </row>
    <row r="18" spans="1:10" x14ac:dyDescent="0.25">
      <c r="A18" s="547" t="s">
        <v>4</v>
      </c>
      <c r="B18" s="548" t="s">
        <v>851</v>
      </c>
      <c r="C18" s="553">
        <v>400</v>
      </c>
      <c r="D18" s="566"/>
      <c r="E18" s="547" t="s">
        <v>2</v>
      </c>
      <c r="F18" s="548" t="s">
        <v>851</v>
      </c>
      <c r="G18" s="584">
        <v>400</v>
      </c>
      <c r="H18" s="584"/>
      <c r="I18" s="549">
        <f t="shared" si="2"/>
        <v>400</v>
      </c>
      <c r="J18" s="546"/>
    </row>
    <row r="19" spans="1:10" s="546" customFormat="1" x14ac:dyDescent="0.25">
      <c r="A19" s="550" t="s">
        <v>5</v>
      </c>
      <c r="B19" s="551" t="s">
        <v>852</v>
      </c>
      <c r="C19" s="552">
        <f>SUM(C14:C18)</f>
        <v>55700</v>
      </c>
      <c r="D19" s="566"/>
      <c r="E19" s="550" t="s">
        <v>3</v>
      </c>
      <c r="F19" s="551" t="s">
        <v>852</v>
      </c>
      <c r="G19" s="583">
        <f>SUM(G14:G18)</f>
        <v>60220</v>
      </c>
      <c r="H19" s="583">
        <f>SUM(H14:H18)</f>
        <v>-14520</v>
      </c>
      <c r="I19" s="552">
        <f>SUM(I14:I18)</f>
        <v>45700</v>
      </c>
    </row>
    <row r="20" spans="1:10" s="546" customFormat="1" x14ac:dyDescent="0.25">
      <c r="A20" s="547" t="s">
        <v>6</v>
      </c>
      <c r="B20" s="548" t="s">
        <v>853</v>
      </c>
      <c r="C20" s="549">
        <f>8+5</f>
        <v>13</v>
      </c>
      <c r="D20" s="566"/>
      <c r="E20" s="547" t="s">
        <v>4</v>
      </c>
      <c r="F20" s="548" t="s">
        <v>853</v>
      </c>
      <c r="G20" s="579">
        <v>8</v>
      </c>
      <c r="H20" s="580">
        <v>5</v>
      </c>
      <c r="I20" s="549">
        <f>+G20+H20</f>
        <v>13</v>
      </c>
      <c r="J20" s="594" t="s">
        <v>1115</v>
      </c>
    </row>
    <row r="21" spans="1:10" s="546" customFormat="1" x14ac:dyDescent="0.25">
      <c r="A21" s="547" t="s">
        <v>7</v>
      </c>
      <c r="B21" s="548" t="s">
        <v>854</v>
      </c>
      <c r="C21" s="549">
        <v>1500</v>
      </c>
      <c r="D21" s="566"/>
      <c r="E21" s="547" t="s">
        <v>5</v>
      </c>
      <c r="F21" s="548" t="s">
        <v>854</v>
      </c>
      <c r="G21" s="579">
        <v>0</v>
      </c>
      <c r="H21" s="581">
        <v>1500</v>
      </c>
      <c r="I21" s="549">
        <f>+G21+H21</f>
        <v>1500</v>
      </c>
    </row>
    <row r="22" spans="1:10" s="546" customFormat="1" ht="16.5" thickBot="1" x14ac:dyDescent="0.3">
      <c r="A22" s="550" t="s">
        <v>8</v>
      </c>
      <c r="B22" s="551" t="s">
        <v>855</v>
      </c>
      <c r="C22" s="552">
        <f>SUM(C19:C21)</f>
        <v>57213</v>
      </c>
      <c r="D22" s="566"/>
      <c r="E22" s="568" t="s">
        <v>6</v>
      </c>
      <c r="F22" s="554" t="s">
        <v>855</v>
      </c>
      <c r="G22" s="589">
        <f>SUM(G19:G21)</f>
        <v>60228</v>
      </c>
      <c r="H22" s="589">
        <f t="shared" ref="H22:I22" si="3">SUM(H19:H21)</f>
        <v>-13015</v>
      </c>
      <c r="I22" s="555">
        <f t="shared" si="3"/>
        <v>47213</v>
      </c>
      <c r="J22" s="540"/>
    </row>
    <row r="23" spans="1:10" s="546" customFormat="1" ht="63" x14ac:dyDescent="0.25">
      <c r="A23" s="547" t="s">
        <v>9</v>
      </c>
      <c r="B23" s="548" t="s">
        <v>1510</v>
      </c>
      <c r="C23" s="549">
        <v>-10000</v>
      </c>
      <c r="D23" s="566"/>
      <c r="E23" s="547" t="s">
        <v>5</v>
      </c>
      <c r="F23" s="548" t="s">
        <v>854</v>
      </c>
      <c r="G23" s="579">
        <v>0</v>
      </c>
      <c r="H23" s="581">
        <v>1500</v>
      </c>
      <c r="I23" s="549">
        <f>+G23+H23</f>
        <v>1500</v>
      </c>
    </row>
    <row r="24" spans="1:10" s="546" customFormat="1" ht="16.5" thickBot="1" x14ac:dyDescent="0.3">
      <c r="A24" s="568" t="s">
        <v>10</v>
      </c>
      <c r="B24" s="554" t="s">
        <v>1508</v>
      </c>
      <c r="C24" s="555">
        <f>+C22+C23</f>
        <v>47213</v>
      </c>
      <c r="D24" s="566"/>
      <c r="E24" s="568" t="s">
        <v>6</v>
      </c>
      <c r="F24" s="554" t="s">
        <v>855</v>
      </c>
      <c r="G24" s="589">
        <f>SUM(G21:G23)</f>
        <v>60228</v>
      </c>
      <c r="H24" s="589">
        <f t="shared" ref="H24:I24" si="4">SUM(H21:H23)</f>
        <v>-10015</v>
      </c>
      <c r="I24" s="555">
        <f t="shared" si="4"/>
        <v>50213</v>
      </c>
      <c r="J24" s="540"/>
    </row>
    <row r="25" spans="1:10" x14ac:dyDescent="0.25">
      <c r="D25" s="566"/>
    </row>
    <row r="26" spans="1:10" x14ac:dyDescent="0.25">
      <c r="D26" s="566"/>
    </row>
  </sheetData>
  <mergeCells count="6">
    <mergeCell ref="J15:K15"/>
    <mergeCell ref="A3:C3"/>
    <mergeCell ref="A13:C13"/>
    <mergeCell ref="E3:I3"/>
    <mergeCell ref="E13:I13"/>
    <mergeCell ref="J14:K14"/>
  </mergeCells>
  <phoneticPr fontId="36" type="noConversion"/>
  <printOptions horizontalCentered="1"/>
  <pageMargins left="0.70866141732283472" right="1.9685039370078741" top="1.5354330708661419" bottom="0.74803149606299213" header="0.43307086614173229" footer="0.31496062992125984"/>
  <pageSetup paperSize="9" scale="80" orientation="portrait" r:id="rId1"/>
  <headerFooter>
    <oddHeader>&amp;C
&amp;"Times New Roman CE,Félkövér"
Környezetvédelmi Alap felosztása (eFt-ban)&amp;R&amp;"Times New Roman CE,Félkövér"19.melléklet a 40/2020.(XI.30.) önkormányzati rendelethez
&amp;"Times New Roman CE,Dőlt"23. melléklet
az 5/2020.(II.17.)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37"/>
  <sheetViews>
    <sheetView view="pageBreakPreview" zoomScale="70" zoomScaleNormal="90" zoomScaleSheetLayoutView="70" workbookViewId="0">
      <pane xSplit="2" ySplit="8" topLeftCell="Y21" activePane="bottomRight" state="frozen"/>
      <selection sqref="A1:XFD1048576"/>
      <selection pane="topRight" sqref="A1:XFD1048576"/>
      <selection pane="bottomLeft" sqref="A1:XFD1048576"/>
      <selection pane="bottomRight" activeCell="V27" sqref="V27"/>
    </sheetView>
  </sheetViews>
  <sheetFormatPr defaultColWidth="9" defaultRowHeight="15.75" x14ac:dyDescent="0.25"/>
  <cols>
    <col min="1" max="1" width="35.75" style="64" customWidth="1"/>
    <col min="2" max="2" width="10" style="64" customWidth="1"/>
    <col min="3" max="3" width="12.25" style="147" customWidth="1"/>
    <col min="4" max="4" width="13.125" style="147" customWidth="1"/>
    <col min="5" max="5" width="15" style="147" customWidth="1"/>
    <col min="6" max="15" width="13.75" style="147" customWidth="1"/>
    <col min="16" max="16" width="13" style="147" customWidth="1"/>
    <col min="17" max="17" width="15.25" style="147" customWidth="1"/>
    <col min="18" max="26" width="13.875" style="147" customWidth="1"/>
    <col min="27" max="27" width="12.875" style="147" customWidth="1"/>
    <col min="28" max="28" width="14.875" style="147" customWidth="1"/>
    <col min="29" max="29" width="15.375" style="147" customWidth="1"/>
    <col min="30" max="30" width="13.25" style="147" customWidth="1"/>
    <col min="31" max="31" width="12.625" style="147" customWidth="1"/>
    <col min="32" max="32" width="14.875" style="147" customWidth="1"/>
    <col min="33" max="33" width="15.375" style="147" customWidth="1"/>
    <col min="34" max="34" width="14.125" style="147" customWidth="1"/>
    <col min="35" max="35" width="13.875" style="147" customWidth="1"/>
    <col min="36" max="36" width="14.875" style="147" customWidth="1"/>
    <col min="37" max="37" width="15.375" style="147" customWidth="1"/>
    <col min="38" max="38" width="14.125" style="147" customWidth="1"/>
    <col min="39" max="16384" width="9" style="64"/>
  </cols>
  <sheetData>
    <row r="1" spans="1:38" x14ac:dyDescent="0.25">
      <c r="A1" s="202"/>
      <c r="B1" s="985" t="s">
        <v>222</v>
      </c>
      <c r="C1" s="985"/>
      <c r="D1" s="985"/>
      <c r="E1" s="985"/>
      <c r="F1" s="985"/>
      <c r="G1" s="985"/>
      <c r="H1" s="985"/>
      <c r="I1" s="985"/>
      <c r="J1" s="985"/>
      <c r="K1" s="985"/>
      <c r="L1" s="985"/>
      <c r="M1" s="985"/>
      <c r="N1" s="985"/>
      <c r="O1" s="985" t="s">
        <v>222</v>
      </c>
      <c r="P1" s="985"/>
      <c r="Q1" s="985"/>
      <c r="R1" s="985"/>
      <c r="S1" s="985"/>
      <c r="T1" s="985"/>
      <c r="U1" s="985"/>
      <c r="V1" s="985"/>
      <c r="W1" s="985"/>
      <c r="X1" s="985"/>
      <c r="Y1" s="985"/>
      <c r="Z1" s="985"/>
      <c r="AA1" s="985" t="s">
        <v>222</v>
      </c>
      <c r="AB1" s="985"/>
      <c r="AC1" s="985"/>
      <c r="AD1" s="985"/>
      <c r="AE1" s="985"/>
      <c r="AF1" s="985"/>
      <c r="AG1" s="985"/>
      <c r="AH1" s="985"/>
      <c r="AI1" s="985"/>
      <c r="AJ1" s="985"/>
      <c r="AK1" s="985"/>
      <c r="AL1" s="985"/>
    </row>
    <row r="2" spans="1:38" x14ac:dyDescent="0.25">
      <c r="A2" s="202"/>
      <c r="B2" s="985" t="s">
        <v>771</v>
      </c>
      <c r="C2" s="985"/>
      <c r="D2" s="985"/>
      <c r="E2" s="985"/>
      <c r="F2" s="985"/>
      <c r="G2" s="985"/>
      <c r="H2" s="985"/>
      <c r="I2" s="985"/>
      <c r="J2" s="985"/>
      <c r="K2" s="985"/>
      <c r="L2" s="985"/>
      <c r="M2" s="985"/>
      <c r="N2" s="985"/>
      <c r="O2" s="985" t="s">
        <v>771</v>
      </c>
      <c r="P2" s="985"/>
      <c r="Q2" s="985"/>
      <c r="R2" s="985"/>
      <c r="S2" s="985"/>
      <c r="T2" s="985"/>
      <c r="U2" s="985"/>
      <c r="V2" s="985"/>
      <c r="W2" s="985"/>
      <c r="X2" s="985"/>
      <c r="Y2" s="985"/>
      <c r="Z2" s="985"/>
      <c r="AA2" s="985" t="s">
        <v>771</v>
      </c>
      <c r="AB2" s="985"/>
      <c r="AC2" s="985"/>
      <c r="AD2" s="985"/>
      <c r="AE2" s="985"/>
      <c r="AF2" s="985"/>
      <c r="AG2" s="985"/>
      <c r="AH2" s="985"/>
      <c r="AI2" s="985"/>
      <c r="AJ2" s="985"/>
      <c r="AK2" s="985"/>
      <c r="AL2" s="985"/>
    </row>
    <row r="3" spans="1:38" x14ac:dyDescent="0.25">
      <c r="A3" s="202"/>
      <c r="B3" s="985" t="s">
        <v>989</v>
      </c>
      <c r="C3" s="985"/>
      <c r="D3" s="985"/>
      <c r="E3" s="985"/>
      <c r="F3" s="985"/>
      <c r="G3" s="985"/>
      <c r="H3" s="985"/>
      <c r="I3" s="985"/>
      <c r="J3" s="985"/>
      <c r="K3" s="985"/>
      <c r="L3" s="985"/>
      <c r="M3" s="985"/>
      <c r="N3" s="985"/>
      <c r="O3" s="985" t="s">
        <v>989</v>
      </c>
      <c r="P3" s="985"/>
      <c r="Q3" s="985"/>
      <c r="R3" s="985"/>
      <c r="S3" s="985"/>
      <c r="T3" s="985"/>
      <c r="U3" s="985"/>
      <c r="V3" s="985"/>
      <c r="W3" s="985"/>
      <c r="X3" s="985"/>
      <c r="Y3" s="985"/>
      <c r="Z3" s="985"/>
      <c r="AA3" s="985" t="s">
        <v>989</v>
      </c>
      <c r="AB3" s="985"/>
      <c r="AC3" s="985"/>
      <c r="AD3" s="985"/>
      <c r="AE3" s="985"/>
      <c r="AF3" s="985"/>
      <c r="AG3" s="985"/>
      <c r="AH3" s="985"/>
      <c r="AI3" s="985"/>
      <c r="AJ3" s="985"/>
      <c r="AK3" s="985"/>
      <c r="AL3" s="985"/>
    </row>
    <row r="4" spans="1:38" ht="16.5" thickBot="1" x14ac:dyDescent="0.3"/>
    <row r="5" spans="1:38" s="205" customFormat="1" ht="68.25" customHeight="1" thickTop="1" thickBot="1" x14ac:dyDescent="0.3">
      <c r="A5" s="203"/>
      <c r="B5" s="204"/>
      <c r="C5" s="979" t="s">
        <v>22</v>
      </c>
      <c r="D5" s="980"/>
      <c r="E5" s="980"/>
      <c r="F5" s="980"/>
      <c r="G5" s="980"/>
      <c r="H5" s="980"/>
      <c r="I5" s="980"/>
      <c r="J5" s="980"/>
      <c r="K5" s="980"/>
      <c r="L5" s="980"/>
      <c r="M5" s="980"/>
      <c r="N5" s="981"/>
      <c r="O5" s="148" t="s">
        <v>23</v>
      </c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986" t="s">
        <v>143</v>
      </c>
      <c r="AB5" s="986"/>
      <c r="AC5" s="986"/>
      <c r="AD5" s="986"/>
      <c r="AE5" s="986"/>
      <c r="AF5" s="986"/>
      <c r="AG5" s="986"/>
      <c r="AH5" s="986"/>
      <c r="AI5" s="986"/>
      <c r="AJ5" s="986"/>
      <c r="AK5" s="986"/>
      <c r="AL5" s="986"/>
    </row>
    <row r="6" spans="1:38" s="210" customFormat="1" ht="39" customHeight="1" thickTop="1" thickBot="1" x14ac:dyDescent="0.3">
      <c r="A6" s="206" t="s">
        <v>136</v>
      </c>
      <c r="B6" s="207" t="s">
        <v>153</v>
      </c>
      <c r="C6" s="979" t="s">
        <v>347</v>
      </c>
      <c r="D6" s="980"/>
      <c r="E6" s="980"/>
      <c r="F6" s="981"/>
      <c r="G6" s="208" t="s">
        <v>348</v>
      </c>
      <c r="H6" s="208"/>
      <c r="I6" s="208"/>
      <c r="J6" s="208"/>
      <c r="K6" s="209" t="s">
        <v>830</v>
      </c>
      <c r="L6" s="209"/>
      <c r="M6" s="209"/>
      <c r="N6" s="209"/>
      <c r="O6" s="979" t="s">
        <v>347</v>
      </c>
      <c r="P6" s="980"/>
      <c r="Q6" s="980"/>
      <c r="R6" s="981"/>
      <c r="S6" s="988" t="s">
        <v>348</v>
      </c>
      <c r="T6" s="989"/>
      <c r="U6" s="989"/>
      <c r="V6" s="990"/>
      <c r="W6" s="988" t="s">
        <v>830</v>
      </c>
      <c r="X6" s="989"/>
      <c r="Y6" s="989"/>
      <c r="Z6" s="990"/>
      <c r="AA6" s="979" t="s">
        <v>347</v>
      </c>
      <c r="AB6" s="980"/>
      <c r="AC6" s="980"/>
      <c r="AD6" s="981"/>
      <c r="AE6" s="987" t="s">
        <v>348</v>
      </c>
      <c r="AF6" s="987"/>
      <c r="AG6" s="987"/>
      <c r="AH6" s="987"/>
      <c r="AI6" s="987" t="s">
        <v>830</v>
      </c>
      <c r="AJ6" s="987"/>
      <c r="AK6" s="987"/>
      <c r="AL6" s="987"/>
    </row>
    <row r="7" spans="1:38" s="13" customFormat="1" ht="33" thickTop="1" thickBot="1" x14ac:dyDescent="0.3">
      <c r="A7" s="156"/>
      <c r="B7" s="157"/>
      <c r="C7" s="664" t="s">
        <v>131</v>
      </c>
      <c r="D7" s="665" t="s">
        <v>132</v>
      </c>
      <c r="E7" s="665" t="s">
        <v>333</v>
      </c>
      <c r="F7" s="665" t="s">
        <v>143</v>
      </c>
      <c r="G7" s="664" t="s">
        <v>131</v>
      </c>
      <c r="H7" s="664" t="s">
        <v>132</v>
      </c>
      <c r="I7" s="664" t="s">
        <v>333</v>
      </c>
      <c r="J7" s="664" t="s">
        <v>143</v>
      </c>
      <c r="K7" s="665" t="s">
        <v>131</v>
      </c>
      <c r="L7" s="665" t="s">
        <v>132</v>
      </c>
      <c r="M7" s="665" t="s">
        <v>333</v>
      </c>
      <c r="N7" s="665" t="s">
        <v>143</v>
      </c>
      <c r="O7" s="665" t="s">
        <v>131</v>
      </c>
      <c r="P7" s="665" t="s">
        <v>132</v>
      </c>
      <c r="Q7" s="665" t="s">
        <v>333</v>
      </c>
      <c r="R7" s="665" t="s">
        <v>143</v>
      </c>
      <c r="S7" s="665" t="s">
        <v>131</v>
      </c>
      <c r="T7" s="665" t="s">
        <v>132</v>
      </c>
      <c r="U7" s="665" t="s">
        <v>333</v>
      </c>
      <c r="V7" s="665" t="s">
        <v>143</v>
      </c>
      <c r="W7" s="665" t="s">
        <v>131</v>
      </c>
      <c r="X7" s="665" t="s">
        <v>132</v>
      </c>
      <c r="Y7" s="665" t="s">
        <v>333</v>
      </c>
      <c r="Z7" s="665" t="s">
        <v>143</v>
      </c>
      <c r="AA7" s="665" t="s">
        <v>131</v>
      </c>
      <c r="AB7" s="665" t="s">
        <v>132</v>
      </c>
      <c r="AC7" s="665" t="s">
        <v>333</v>
      </c>
      <c r="AD7" s="665" t="s">
        <v>143</v>
      </c>
      <c r="AE7" s="665" t="s">
        <v>131</v>
      </c>
      <c r="AF7" s="665" t="s">
        <v>132</v>
      </c>
      <c r="AG7" s="665" t="s">
        <v>333</v>
      </c>
      <c r="AH7" s="665" t="s">
        <v>143</v>
      </c>
      <c r="AI7" s="665" t="s">
        <v>131</v>
      </c>
      <c r="AJ7" s="665" t="s">
        <v>132</v>
      </c>
      <c r="AK7" s="665" t="s">
        <v>333</v>
      </c>
      <c r="AL7" s="665" t="s">
        <v>143</v>
      </c>
    </row>
    <row r="8" spans="1:38" s="210" customFormat="1" ht="17.25" thickTop="1" thickBot="1" x14ac:dyDescent="0.3">
      <c r="A8" s="211" t="s">
        <v>137</v>
      </c>
      <c r="B8" s="212"/>
      <c r="C8" s="625" t="s">
        <v>358</v>
      </c>
      <c r="D8" s="626"/>
      <c r="E8" s="626"/>
      <c r="F8" s="626"/>
      <c r="G8" s="213" t="s">
        <v>359</v>
      </c>
      <c r="H8" s="214"/>
      <c r="I8" s="214"/>
      <c r="J8" s="208"/>
      <c r="K8" s="149" t="s">
        <v>360</v>
      </c>
      <c r="L8" s="149"/>
      <c r="M8" s="149"/>
      <c r="N8" s="149"/>
      <c r="O8" s="983" t="s">
        <v>361</v>
      </c>
      <c r="P8" s="983"/>
      <c r="Q8" s="983"/>
      <c r="R8" s="983"/>
      <c r="S8" s="983" t="s">
        <v>362</v>
      </c>
      <c r="T8" s="983"/>
      <c r="U8" s="983"/>
      <c r="V8" s="983"/>
      <c r="W8" s="983" t="s">
        <v>363</v>
      </c>
      <c r="X8" s="983"/>
      <c r="Y8" s="983"/>
      <c r="Z8" s="983"/>
      <c r="AA8" s="983" t="s">
        <v>364</v>
      </c>
      <c r="AB8" s="983"/>
      <c r="AC8" s="983"/>
      <c r="AD8" s="983"/>
      <c r="AE8" s="983" t="s">
        <v>365</v>
      </c>
      <c r="AF8" s="983"/>
      <c r="AG8" s="983"/>
      <c r="AH8" s="983"/>
      <c r="AI8" s="983" t="s">
        <v>366</v>
      </c>
      <c r="AJ8" s="983"/>
      <c r="AK8" s="983"/>
      <c r="AL8" s="983"/>
    </row>
    <row r="9" spans="1:38" ht="16.5" thickTop="1" x14ac:dyDescent="0.25">
      <c r="A9" s="215" t="s">
        <v>28</v>
      </c>
      <c r="B9" s="215" t="s">
        <v>154</v>
      </c>
      <c r="C9" s="627">
        <v>253511</v>
      </c>
      <c r="D9" s="628">
        <v>144738</v>
      </c>
      <c r="E9" s="628"/>
      <c r="F9" s="216">
        <f>SUM(C9:E9)</f>
        <v>398249</v>
      </c>
      <c r="G9" s="216">
        <v>-3559</v>
      </c>
      <c r="H9" s="216">
        <v>-23737</v>
      </c>
      <c r="I9" s="216"/>
      <c r="J9" s="216">
        <f>SUM(G9:I9)</f>
        <v>-27296</v>
      </c>
      <c r="K9" s="216">
        <f>SUM(C9+G9)</f>
        <v>249952</v>
      </c>
      <c r="L9" s="216">
        <f>SUM(D9+H9)</f>
        <v>121001</v>
      </c>
      <c r="M9" s="216">
        <f>SUM(E9+I9)</f>
        <v>0</v>
      </c>
      <c r="N9" s="217">
        <f>SUM(K9:M9)</f>
        <v>370953</v>
      </c>
      <c r="O9" s="628">
        <v>6202754</v>
      </c>
      <c r="P9" s="150">
        <v>1477144</v>
      </c>
      <c r="Q9" s="150">
        <v>682486</v>
      </c>
      <c r="R9" s="150">
        <f>SUM(O9:Q9)</f>
        <v>8362384</v>
      </c>
      <c r="S9" s="150">
        <v>231234</v>
      </c>
      <c r="T9" s="150">
        <v>-38444</v>
      </c>
      <c r="U9" s="150">
        <v>467</v>
      </c>
      <c r="V9" s="150">
        <f>SUM(S9:U9)</f>
        <v>193257</v>
      </c>
      <c r="W9" s="150">
        <f>SUM(O9+S9)</f>
        <v>6433988</v>
      </c>
      <c r="X9" s="150">
        <f t="shared" ref="W9:Y10" si="0">SUM(P9+T9)</f>
        <v>1438700</v>
      </c>
      <c r="Y9" s="150">
        <f t="shared" si="0"/>
        <v>682953</v>
      </c>
      <c r="Z9" s="218">
        <f>SUM(W9:Y9)</f>
        <v>8555641</v>
      </c>
      <c r="AA9" s="219">
        <f t="shared" ref="AA9:AB13" si="1">+C9+O9</f>
        <v>6456265</v>
      </c>
      <c r="AB9" s="220">
        <f t="shared" si="1"/>
        <v>1621882</v>
      </c>
      <c r="AC9" s="221">
        <f t="shared" ref="AC9:AC20" si="2">SUM(Q9+E9)</f>
        <v>682486</v>
      </c>
      <c r="AD9" s="222">
        <f>SUM(AA9:AC9)</f>
        <v>8760633</v>
      </c>
      <c r="AE9" s="219">
        <f>+G9+S9</f>
        <v>227675</v>
      </c>
      <c r="AF9" s="220">
        <f t="shared" ref="AE9:AF13" si="3">+H9+T9</f>
        <v>-62181</v>
      </c>
      <c r="AG9" s="221">
        <f t="shared" ref="AG9:AG13" si="4">SUM(U9+I9)</f>
        <v>467</v>
      </c>
      <c r="AH9" s="222">
        <f t="shared" ref="AH9:AH13" si="5">SUM(AE9:AG9)</f>
        <v>165961</v>
      </c>
      <c r="AI9" s="219">
        <f>+K9+W9</f>
        <v>6683940</v>
      </c>
      <c r="AJ9" s="220">
        <f t="shared" ref="AI9:AJ13" si="6">+L9+X9</f>
        <v>1559701</v>
      </c>
      <c r="AK9" s="221">
        <f t="shared" ref="AK9:AK13" si="7">SUM(Y9+M9)</f>
        <v>682953</v>
      </c>
      <c r="AL9" s="222">
        <f t="shared" ref="AL9:AL13" si="8">SUM(AI9:AK9)</f>
        <v>8926594</v>
      </c>
    </row>
    <row r="10" spans="1:38" ht="31.5" x14ac:dyDescent="0.25">
      <c r="A10" s="223" t="s">
        <v>29</v>
      </c>
      <c r="B10" s="223" t="s">
        <v>155</v>
      </c>
      <c r="C10" s="145">
        <v>47432</v>
      </c>
      <c r="D10" s="63">
        <v>50637</v>
      </c>
      <c r="E10" s="63"/>
      <c r="F10" s="145">
        <f>SUM(C10:E10)</f>
        <v>98069</v>
      </c>
      <c r="G10" s="63">
        <v>-1629</v>
      </c>
      <c r="H10" s="63">
        <v>-583</v>
      </c>
      <c r="I10" s="63"/>
      <c r="J10" s="63">
        <f>SUM(G10:I10)</f>
        <v>-2212</v>
      </c>
      <c r="K10" s="63">
        <f>SUM(C10+G10)</f>
        <v>45803</v>
      </c>
      <c r="L10" s="63">
        <f t="shared" ref="L10:M10" si="9">SUM(D10+H10)</f>
        <v>50054</v>
      </c>
      <c r="M10" s="63">
        <f t="shared" si="9"/>
        <v>0</v>
      </c>
      <c r="N10" s="145">
        <f>SUM(K10:M10)</f>
        <v>95857</v>
      </c>
      <c r="O10" s="63">
        <v>1132215</v>
      </c>
      <c r="P10" s="63">
        <v>255351</v>
      </c>
      <c r="Q10" s="63">
        <v>131796</v>
      </c>
      <c r="R10" s="145">
        <f>SUM(O10:Q10)</f>
        <v>1519362</v>
      </c>
      <c r="S10" s="63">
        <v>33040</v>
      </c>
      <c r="T10" s="63">
        <v>-6417</v>
      </c>
      <c r="U10" s="63">
        <v>191</v>
      </c>
      <c r="V10" s="63">
        <f>SUM(S10:U10)</f>
        <v>26814</v>
      </c>
      <c r="W10" s="63">
        <f t="shared" si="0"/>
        <v>1165255</v>
      </c>
      <c r="X10" s="63">
        <f t="shared" si="0"/>
        <v>248934</v>
      </c>
      <c r="Y10" s="63">
        <f t="shared" si="0"/>
        <v>131987</v>
      </c>
      <c r="Z10" s="145">
        <f>SUM(W10:Y10)</f>
        <v>1546176</v>
      </c>
      <c r="AA10" s="224">
        <f t="shared" si="1"/>
        <v>1179647</v>
      </c>
      <c r="AB10" s="225">
        <f t="shared" si="1"/>
        <v>305988</v>
      </c>
      <c r="AC10" s="226">
        <f t="shared" si="2"/>
        <v>131796</v>
      </c>
      <c r="AD10" s="80">
        <f>SUM(AA10:AC10)</f>
        <v>1617431</v>
      </c>
      <c r="AE10" s="224">
        <f t="shared" si="3"/>
        <v>31411</v>
      </c>
      <c r="AF10" s="225">
        <f t="shared" si="3"/>
        <v>-7000</v>
      </c>
      <c r="AG10" s="226">
        <f t="shared" si="4"/>
        <v>191</v>
      </c>
      <c r="AH10" s="80">
        <f t="shared" si="5"/>
        <v>24602</v>
      </c>
      <c r="AI10" s="224">
        <f t="shared" si="6"/>
        <v>1211058</v>
      </c>
      <c r="AJ10" s="225">
        <f t="shared" si="6"/>
        <v>298988</v>
      </c>
      <c r="AK10" s="226">
        <f t="shared" si="7"/>
        <v>131987</v>
      </c>
      <c r="AL10" s="80">
        <f t="shared" si="8"/>
        <v>1642033</v>
      </c>
    </row>
    <row r="11" spans="1:38" x14ac:dyDescent="0.25">
      <c r="A11" s="62" t="s">
        <v>30</v>
      </c>
      <c r="B11" s="62" t="s">
        <v>156</v>
      </c>
      <c r="C11" s="145">
        <v>4709393</v>
      </c>
      <c r="D11" s="63">
        <v>4252566</v>
      </c>
      <c r="E11" s="63"/>
      <c r="F11" s="145">
        <f>SUM(C11:E11)</f>
        <v>8961959</v>
      </c>
      <c r="G11" s="63">
        <v>-312621</v>
      </c>
      <c r="H11" s="63">
        <v>73335</v>
      </c>
      <c r="I11" s="63"/>
      <c r="J11" s="145">
        <f t="shared" ref="J11:J20" si="10">SUM(G11:I11)</f>
        <v>-239286</v>
      </c>
      <c r="K11" s="63">
        <f t="shared" ref="K11:K13" si="11">SUM(C11+G11)</f>
        <v>4396772</v>
      </c>
      <c r="L11" s="63">
        <f t="shared" ref="L11:L13" si="12">SUM(D11+H11)</f>
        <v>4325901</v>
      </c>
      <c r="M11" s="63">
        <f t="shared" ref="M11:M13" si="13">SUM(E11+I11)</f>
        <v>0</v>
      </c>
      <c r="N11" s="145">
        <f t="shared" ref="N11:N13" si="14">SUM(K11:M11)</f>
        <v>8722673</v>
      </c>
      <c r="O11" s="63">
        <v>3847637</v>
      </c>
      <c r="P11" s="63">
        <v>1054645</v>
      </c>
      <c r="Q11" s="63">
        <v>109011</v>
      </c>
      <c r="R11" s="145">
        <f>SUM(O11:Q11)</f>
        <v>5011293</v>
      </c>
      <c r="S11" s="63">
        <v>-332417</v>
      </c>
      <c r="T11" s="63">
        <v>-13981</v>
      </c>
      <c r="U11" s="63">
        <v>3590</v>
      </c>
      <c r="V11" s="63">
        <f t="shared" ref="V11:V20" si="15">SUM(S11:U11)</f>
        <v>-342808</v>
      </c>
      <c r="W11" s="63">
        <f t="shared" ref="W11:W13" si="16">SUM(O11+S11)</f>
        <v>3515220</v>
      </c>
      <c r="X11" s="63">
        <f t="shared" ref="X11:X13" si="17">SUM(P11+T11)</f>
        <v>1040664</v>
      </c>
      <c r="Y11" s="63">
        <f t="shared" ref="Y11:Y13" si="18">SUM(Q11+U11)</f>
        <v>112601</v>
      </c>
      <c r="Z11" s="145">
        <f t="shared" ref="Z11:Z13" si="19">SUM(W11:Y11)</f>
        <v>4668485</v>
      </c>
      <c r="AA11" s="224">
        <f t="shared" si="1"/>
        <v>8557030</v>
      </c>
      <c r="AB11" s="225">
        <f t="shared" si="1"/>
        <v>5307211</v>
      </c>
      <c r="AC11" s="226">
        <f t="shared" si="2"/>
        <v>109011</v>
      </c>
      <c r="AD11" s="80">
        <f>SUM(AA11:AC11)</f>
        <v>13973252</v>
      </c>
      <c r="AE11" s="224">
        <f t="shared" si="3"/>
        <v>-645038</v>
      </c>
      <c r="AF11" s="225">
        <f t="shared" si="3"/>
        <v>59354</v>
      </c>
      <c r="AG11" s="226">
        <f t="shared" si="4"/>
        <v>3590</v>
      </c>
      <c r="AH11" s="80">
        <f t="shared" si="5"/>
        <v>-582094</v>
      </c>
      <c r="AI11" s="224">
        <f t="shared" si="6"/>
        <v>7911992</v>
      </c>
      <c r="AJ11" s="225">
        <f t="shared" si="6"/>
        <v>5366565</v>
      </c>
      <c r="AK11" s="226">
        <f t="shared" si="7"/>
        <v>112601</v>
      </c>
      <c r="AL11" s="80">
        <f t="shared" si="8"/>
        <v>13391158</v>
      </c>
    </row>
    <row r="12" spans="1:38" x14ac:dyDescent="0.25">
      <c r="A12" s="62" t="s">
        <v>453</v>
      </c>
      <c r="B12" s="62" t="s">
        <v>157</v>
      </c>
      <c r="C12" s="145">
        <v>120270</v>
      </c>
      <c r="D12" s="63">
        <v>100100</v>
      </c>
      <c r="E12" s="63"/>
      <c r="F12" s="145">
        <f>SUM(C12:E12)</f>
        <v>220370</v>
      </c>
      <c r="G12" s="145">
        <v>613</v>
      </c>
      <c r="H12" s="145"/>
      <c r="I12" s="145"/>
      <c r="J12" s="145">
        <f t="shared" si="10"/>
        <v>613</v>
      </c>
      <c r="K12" s="63">
        <f t="shared" si="11"/>
        <v>120883</v>
      </c>
      <c r="L12" s="63">
        <f t="shared" si="12"/>
        <v>100100</v>
      </c>
      <c r="M12" s="63">
        <f t="shared" si="13"/>
        <v>0</v>
      </c>
      <c r="N12" s="145">
        <f t="shared" si="14"/>
        <v>220983</v>
      </c>
      <c r="O12" s="145"/>
      <c r="P12" s="629">
        <v>0</v>
      </c>
      <c r="Q12" s="629">
        <v>0</v>
      </c>
      <c r="R12" s="150">
        <f>SUM(O12:Q12)</f>
        <v>0</v>
      </c>
      <c r="S12" s="150">
        <v>11588</v>
      </c>
      <c r="T12" s="150"/>
      <c r="U12" s="150"/>
      <c r="V12" s="63">
        <f t="shared" si="15"/>
        <v>11588</v>
      </c>
      <c r="W12" s="63">
        <f t="shared" si="16"/>
        <v>11588</v>
      </c>
      <c r="X12" s="63">
        <f t="shared" si="17"/>
        <v>0</v>
      </c>
      <c r="Y12" s="63">
        <f t="shared" si="18"/>
        <v>0</v>
      </c>
      <c r="Z12" s="145">
        <f t="shared" si="19"/>
        <v>11588</v>
      </c>
      <c r="AA12" s="227">
        <f t="shared" si="1"/>
        <v>120270</v>
      </c>
      <c r="AB12" s="228">
        <f t="shared" si="1"/>
        <v>100100</v>
      </c>
      <c r="AC12" s="226">
        <f>SUM(Q12+E12)</f>
        <v>0</v>
      </c>
      <c r="AD12" s="229">
        <f>SUM(AA12:AC12)</f>
        <v>220370</v>
      </c>
      <c r="AE12" s="227">
        <f t="shared" si="3"/>
        <v>12201</v>
      </c>
      <c r="AF12" s="228">
        <f t="shared" si="3"/>
        <v>0</v>
      </c>
      <c r="AG12" s="226">
        <f t="shared" si="4"/>
        <v>0</v>
      </c>
      <c r="AH12" s="229">
        <f t="shared" si="5"/>
        <v>12201</v>
      </c>
      <c r="AI12" s="227">
        <f t="shared" si="6"/>
        <v>132471</v>
      </c>
      <c r="AJ12" s="228">
        <f t="shared" si="6"/>
        <v>100100</v>
      </c>
      <c r="AK12" s="226">
        <f t="shared" si="7"/>
        <v>0</v>
      </c>
      <c r="AL12" s="229">
        <f t="shared" si="8"/>
        <v>232571</v>
      </c>
    </row>
    <row r="13" spans="1:38" ht="31.5" x14ac:dyDescent="0.25">
      <c r="A13" s="223" t="s">
        <v>178</v>
      </c>
      <c r="B13" s="223" t="s">
        <v>313</v>
      </c>
      <c r="C13" s="145">
        <v>10586058</v>
      </c>
      <c r="D13" s="63">
        <v>1133492</v>
      </c>
      <c r="E13" s="63"/>
      <c r="F13" s="145">
        <f>SUM(C13:E13)</f>
        <v>11719550</v>
      </c>
      <c r="G13" s="63">
        <v>408679</v>
      </c>
      <c r="H13" s="63">
        <v>101305</v>
      </c>
      <c r="I13" s="63"/>
      <c r="J13" s="145">
        <f t="shared" si="10"/>
        <v>509984</v>
      </c>
      <c r="K13" s="63">
        <f t="shared" si="11"/>
        <v>10994737</v>
      </c>
      <c r="L13" s="63">
        <f t="shared" si="12"/>
        <v>1234797</v>
      </c>
      <c r="M13" s="63">
        <f t="shared" si="13"/>
        <v>0</v>
      </c>
      <c r="N13" s="145">
        <f t="shared" si="14"/>
        <v>12229534</v>
      </c>
      <c r="O13" s="63">
        <v>0</v>
      </c>
      <c r="P13" s="63">
        <v>0</v>
      </c>
      <c r="Q13" s="63">
        <v>0</v>
      </c>
      <c r="R13" s="145">
        <f>SUM(O13:Q13)</f>
        <v>0</v>
      </c>
      <c r="S13" s="63">
        <v>285</v>
      </c>
      <c r="T13" s="63"/>
      <c r="U13" s="63"/>
      <c r="V13" s="63">
        <f t="shared" si="15"/>
        <v>285</v>
      </c>
      <c r="W13" s="63">
        <f t="shared" si="16"/>
        <v>285</v>
      </c>
      <c r="X13" s="63">
        <f t="shared" si="17"/>
        <v>0</v>
      </c>
      <c r="Y13" s="63">
        <f t="shared" si="18"/>
        <v>0</v>
      </c>
      <c r="Z13" s="145">
        <f t="shared" si="19"/>
        <v>285</v>
      </c>
      <c r="AA13" s="224">
        <f t="shared" si="1"/>
        <v>10586058</v>
      </c>
      <c r="AB13" s="225">
        <f t="shared" si="1"/>
        <v>1133492</v>
      </c>
      <c r="AC13" s="226">
        <f t="shared" si="2"/>
        <v>0</v>
      </c>
      <c r="AD13" s="80">
        <f>SUM(AA13:AC13)</f>
        <v>11719550</v>
      </c>
      <c r="AE13" s="224">
        <f t="shared" si="3"/>
        <v>408964</v>
      </c>
      <c r="AF13" s="225">
        <f t="shared" si="3"/>
        <v>101305</v>
      </c>
      <c r="AG13" s="226">
        <f t="shared" si="4"/>
        <v>0</v>
      </c>
      <c r="AH13" s="80">
        <f t="shared" si="5"/>
        <v>510269</v>
      </c>
      <c r="AI13" s="224">
        <f t="shared" si="6"/>
        <v>10995022</v>
      </c>
      <c r="AJ13" s="225">
        <f t="shared" si="6"/>
        <v>1234797</v>
      </c>
      <c r="AK13" s="226">
        <f t="shared" si="7"/>
        <v>0</v>
      </c>
      <c r="AL13" s="80">
        <f t="shared" si="8"/>
        <v>12229819</v>
      </c>
    </row>
    <row r="14" spans="1:38" ht="31.5" x14ac:dyDescent="0.25">
      <c r="A14" s="230" t="s">
        <v>337</v>
      </c>
      <c r="B14" s="231"/>
      <c r="C14" s="151">
        <f>SUM(C9:C13)</f>
        <v>15716664</v>
      </c>
      <c r="D14" s="151">
        <f t="shared" ref="D14:E14" si="20">SUM(D9:D13)</f>
        <v>5681533</v>
      </c>
      <c r="E14" s="151">
        <f t="shared" si="20"/>
        <v>0</v>
      </c>
      <c r="F14" s="151">
        <f t="shared" ref="F14:AD14" si="21">SUM(F9:F13)</f>
        <v>21398197</v>
      </c>
      <c r="G14" s="151">
        <f t="shared" si="21"/>
        <v>91483</v>
      </c>
      <c r="H14" s="151">
        <f t="shared" si="21"/>
        <v>150320</v>
      </c>
      <c r="I14" s="151">
        <f t="shared" si="21"/>
        <v>0</v>
      </c>
      <c r="J14" s="151">
        <f t="shared" si="21"/>
        <v>241803</v>
      </c>
      <c r="K14" s="151">
        <f t="shared" si="21"/>
        <v>15808147</v>
      </c>
      <c r="L14" s="151">
        <f t="shared" si="21"/>
        <v>5831853</v>
      </c>
      <c r="M14" s="151">
        <f t="shared" si="21"/>
        <v>0</v>
      </c>
      <c r="N14" s="151">
        <f t="shared" si="21"/>
        <v>21640000</v>
      </c>
      <c r="O14" s="151">
        <f t="shared" si="21"/>
        <v>11182606</v>
      </c>
      <c r="P14" s="151">
        <f t="shared" si="21"/>
        <v>2787140</v>
      </c>
      <c r="Q14" s="151">
        <f t="shared" si="21"/>
        <v>923293</v>
      </c>
      <c r="R14" s="151">
        <f t="shared" si="21"/>
        <v>14893039</v>
      </c>
      <c r="S14" s="151">
        <f t="shared" si="21"/>
        <v>-56270</v>
      </c>
      <c r="T14" s="151">
        <f t="shared" si="21"/>
        <v>-58842</v>
      </c>
      <c r="U14" s="151">
        <f t="shared" si="21"/>
        <v>4248</v>
      </c>
      <c r="V14" s="151">
        <f t="shared" si="21"/>
        <v>-110864</v>
      </c>
      <c r="W14" s="151">
        <f t="shared" si="21"/>
        <v>11126336</v>
      </c>
      <c r="X14" s="151">
        <f t="shared" si="21"/>
        <v>2728298</v>
      </c>
      <c r="Y14" s="151">
        <f t="shared" si="21"/>
        <v>927541</v>
      </c>
      <c r="Z14" s="151">
        <f t="shared" si="21"/>
        <v>14782175</v>
      </c>
      <c r="AA14" s="151">
        <f t="shared" si="21"/>
        <v>26899270</v>
      </c>
      <c r="AB14" s="151">
        <f t="shared" si="21"/>
        <v>8468673</v>
      </c>
      <c r="AC14" s="151">
        <f t="shared" si="21"/>
        <v>923293</v>
      </c>
      <c r="AD14" s="151">
        <f t="shared" si="21"/>
        <v>36291236</v>
      </c>
      <c r="AE14" s="151">
        <f t="shared" ref="AE14:AL14" si="22">SUM(AE9:AE13)</f>
        <v>35213</v>
      </c>
      <c r="AF14" s="151">
        <f t="shared" si="22"/>
        <v>91478</v>
      </c>
      <c r="AG14" s="151">
        <f t="shared" si="22"/>
        <v>4248</v>
      </c>
      <c r="AH14" s="151">
        <f t="shared" si="22"/>
        <v>130939</v>
      </c>
      <c r="AI14" s="151">
        <f t="shared" si="22"/>
        <v>26934483</v>
      </c>
      <c r="AJ14" s="151">
        <f t="shared" si="22"/>
        <v>8560151</v>
      </c>
      <c r="AK14" s="151">
        <f t="shared" si="22"/>
        <v>927541</v>
      </c>
      <c r="AL14" s="151">
        <f t="shared" si="22"/>
        <v>36422175</v>
      </c>
    </row>
    <row r="15" spans="1:38" x14ac:dyDescent="0.25">
      <c r="A15" s="62" t="s">
        <v>161</v>
      </c>
      <c r="B15" s="62" t="s">
        <v>158</v>
      </c>
      <c r="C15" s="145">
        <v>10160676</v>
      </c>
      <c r="D15" s="63">
        <v>13584729</v>
      </c>
      <c r="E15" s="63"/>
      <c r="F15" s="63">
        <f>SUM(C15:E15)</f>
        <v>23745405</v>
      </c>
      <c r="G15" s="63">
        <v>-3967877</v>
      </c>
      <c r="H15" s="63">
        <f>852935+2500</f>
        <v>855435</v>
      </c>
      <c r="I15" s="63"/>
      <c r="J15" s="145">
        <f t="shared" si="10"/>
        <v>-3112442</v>
      </c>
      <c r="K15" s="63">
        <f t="shared" ref="K15:K17" si="23">SUM(C15+G15)</f>
        <v>6192799</v>
      </c>
      <c r="L15" s="63">
        <f t="shared" ref="L15:L17" si="24">SUM(D15+H15)</f>
        <v>14440164</v>
      </c>
      <c r="M15" s="63">
        <f t="shared" ref="M15:M17" si="25">SUM(E15+I15)</f>
        <v>0</v>
      </c>
      <c r="N15" s="145">
        <f t="shared" ref="N15:N17" si="26">SUM(K15:M15)</f>
        <v>20632963</v>
      </c>
      <c r="O15" s="145">
        <v>141196</v>
      </c>
      <c r="P15" s="63">
        <v>36888</v>
      </c>
      <c r="Q15" s="63">
        <v>58413</v>
      </c>
      <c r="R15" s="63">
        <f>SUM(O15:Q15)</f>
        <v>236497</v>
      </c>
      <c r="S15" s="63">
        <v>20500</v>
      </c>
      <c r="T15" s="63">
        <v>7007</v>
      </c>
      <c r="U15" s="63">
        <v>1053</v>
      </c>
      <c r="V15" s="63">
        <f t="shared" si="15"/>
        <v>28560</v>
      </c>
      <c r="W15" s="63">
        <f t="shared" ref="W15:W17" si="27">SUM(O15+S15)</f>
        <v>161696</v>
      </c>
      <c r="X15" s="63">
        <f t="shared" ref="X15:X17" si="28">SUM(P15+T15)</f>
        <v>43895</v>
      </c>
      <c r="Y15" s="63">
        <f t="shared" ref="Y15:Y17" si="29">SUM(Q15+U15)</f>
        <v>59466</v>
      </c>
      <c r="Z15" s="145">
        <f t="shared" ref="Z15:Z17" si="30">SUM(W15:Y15)</f>
        <v>265057</v>
      </c>
      <c r="AA15" s="224">
        <f t="shared" ref="AA15:AB17" si="31">+C15+O15</f>
        <v>10301872</v>
      </c>
      <c r="AB15" s="225">
        <f t="shared" si="31"/>
        <v>13621617</v>
      </c>
      <c r="AC15" s="226">
        <f t="shared" si="2"/>
        <v>58413</v>
      </c>
      <c r="AD15" s="80">
        <f>SUM(AA15:AC15)</f>
        <v>23981902</v>
      </c>
      <c r="AE15" s="224">
        <f t="shared" ref="AE15:AF17" si="32">+G15+S15</f>
        <v>-3947377</v>
      </c>
      <c r="AF15" s="225">
        <f t="shared" si="32"/>
        <v>862442</v>
      </c>
      <c r="AG15" s="226">
        <f t="shared" ref="AG15:AG20" si="33">SUM(U15+I15)</f>
        <v>1053</v>
      </c>
      <c r="AH15" s="80">
        <f t="shared" ref="AH15:AH17" si="34">SUM(AE15:AG15)</f>
        <v>-3083882</v>
      </c>
      <c r="AI15" s="224">
        <f t="shared" ref="AI15:AJ17" si="35">+K15+W15</f>
        <v>6354495</v>
      </c>
      <c r="AJ15" s="225">
        <f t="shared" si="35"/>
        <v>14484059</v>
      </c>
      <c r="AK15" s="226">
        <f t="shared" ref="AK15:AK20" si="36">SUM(Y15+M15)</f>
        <v>59466</v>
      </c>
      <c r="AL15" s="80">
        <f t="shared" ref="AL15:AL17" si="37">SUM(AI15:AK15)</f>
        <v>20898020</v>
      </c>
    </row>
    <row r="16" spans="1:38" x14ac:dyDescent="0.25">
      <c r="A16" s="62" t="s">
        <v>162</v>
      </c>
      <c r="B16" s="62" t="s">
        <v>159</v>
      </c>
      <c r="C16" s="145">
        <v>320659</v>
      </c>
      <c r="D16" s="63">
        <v>20000</v>
      </c>
      <c r="E16" s="63"/>
      <c r="F16" s="63">
        <f>SUM(C16:E16)</f>
        <v>340659</v>
      </c>
      <c r="G16" s="63">
        <v>25692</v>
      </c>
      <c r="H16" s="63"/>
      <c r="I16" s="63"/>
      <c r="J16" s="63">
        <f t="shared" si="10"/>
        <v>25692</v>
      </c>
      <c r="K16" s="63">
        <f t="shared" si="23"/>
        <v>346351</v>
      </c>
      <c r="L16" s="63">
        <f t="shared" si="24"/>
        <v>20000</v>
      </c>
      <c r="M16" s="63">
        <f t="shared" si="25"/>
        <v>0</v>
      </c>
      <c r="N16" s="145">
        <f t="shared" si="26"/>
        <v>366351</v>
      </c>
      <c r="O16" s="145">
        <v>12063</v>
      </c>
      <c r="P16" s="63">
        <v>677</v>
      </c>
      <c r="Q16" s="63">
        <v>2699</v>
      </c>
      <c r="R16" s="63">
        <f>SUM(O16:Q16)</f>
        <v>15439</v>
      </c>
      <c r="S16" s="63">
        <v>-2362</v>
      </c>
      <c r="T16" s="63">
        <v>0</v>
      </c>
      <c r="U16" s="63">
        <v>-1697</v>
      </c>
      <c r="V16" s="63">
        <f t="shared" si="15"/>
        <v>-4059</v>
      </c>
      <c r="W16" s="63">
        <f t="shared" si="27"/>
        <v>9701</v>
      </c>
      <c r="X16" s="63">
        <f t="shared" si="28"/>
        <v>677</v>
      </c>
      <c r="Y16" s="63">
        <f t="shared" si="29"/>
        <v>1002</v>
      </c>
      <c r="Z16" s="145">
        <f t="shared" si="30"/>
        <v>11380</v>
      </c>
      <c r="AA16" s="224">
        <f t="shared" si="31"/>
        <v>332722</v>
      </c>
      <c r="AB16" s="225">
        <f t="shared" si="31"/>
        <v>20677</v>
      </c>
      <c r="AC16" s="226">
        <f t="shared" si="2"/>
        <v>2699</v>
      </c>
      <c r="AD16" s="80">
        <f>SUM(AA16:AC16)</f>
        <v>356098</v>
      </c>
      <c r="AE16" s="224">
        <f t="shared" si="32"/>
        <v>23330</v>
      </c>
      <c r="AF16" s="225">
        <f t="shared" si="32"/>
        <v>0</v>
      </c>
      <c r="AG16" s="226">
        <f t="shared" si="33"/>
        <v>-1697</v>
      </c>
      <c r="AH16" s="80">
        <f t="shared" si="34"/>
        <v>21633</v>
      </c>
      <c r="AI16" s="224">
        <f t="shared" si="35"/>
        <v>356052</v>
      </c>
      <c r="AJ16" s="225">
        <f t="shared" si="35"/>
        <v>20677</v>
      </c>
      <c r="AK16" s="226">
        <f t="shared" si="36"/>
        <v>1002</v>
      </c>
      <c r="AL16" s="80">
        <f t="shared" si="37"/>
        <v>377731</v>
      </c>
    </row>
    <row r="17" spans="1:38" x14ac:dyDescent="0.25">
      <c r="A17" s="62" t="s">
        <v>266</v>
      </c>
      <c r="B17" s="62" t="s">
        <v>160</v>
      </c>
      <c r="C17" s="145">
        <v>843400</v>
      </c>
      <c r="D17" s="63">
        <v>593554</v>
      </c>
      <c r="E17" s="63"/>
      <c r="F17" s="63">
        <f>SUM(C17:E17)</f>
        <v>1436954</v>
      </c>
      <c r="G17" s="63">
        <v>1249818</v>
      </c>
      <c r="H17" s="63">
        <v>1863</v>
      </c>
      <c r="I17" s="63"/>
      <c r="J17" s="63">
        <f t="shared" si="10"/>
        <v>1251681</v>
      </c>
      <c r="K17" s="63">
        <f t="shared" si="23"/>
        <v>2093218</v>
      </c>
      <c r="L17" s="63">
        <f t="shared" si="24"/>
        <v>595417</v>
      </c>
      <c r="M17" s="63">
        <f t="shared" si="25"/>
        <v>0</v>
      </c>
      <c r="N17" s="145">
        <f t="shared" si="26"/>
        <v>2688635</v>
      </c>
      <c r="O17" s="145">
        <v>0</v>
      </c>
      <c r="P17" s="63">
        <v>2770</v>
      </c>
      <c r="Q17" s="63">
        <v>0</v>
      </c>
      <c r="R17" s="63">
        <f>SUM(O17:Q17)</f>
        <v>2770</v>
      </c>
      <c r="S17" s="63">
        <v>0</v>
      </c>
      <c r="T17" s="63">
        <v>-2770</v>
      </c>
      <c r="U17" s="63"/>
      <c r="V17" s="63">
        <f t="shared" si="15"/>
        <v>-2770</v>
      </c>
      <c r="W17" s="63">
        <f t="shared" si="27"/>
        <v>0</v>
      </c>
      <c r="X17" s="63">
        <f t="shared" si="28"/>
        <v>0</v>
      </c>
      <c r="Y17" s="63">
        <f t="shared" si="29"/>
        <v>0</v>
      </c>
      <c r="Z17" s="145">
        <f t="shared" si="30"/>
        <v>0</v>
      </c>
      <c r="AA17" s="224">
        <f t="shared" si="31"/>
        <v>843400</v>
      </c>
      <c r="AB17" s="225">
        <f t="shared" si="31"/>
        <v>596324</v>
      </c>
      <c r="AC17" s="226">
        <f t="shared" si="2"/>
        <v>0</v>
      </c>
      <c r="AD17" s="80">
        <f>SUM(AA17:AC17)</f>
        <v>1439724</v>
      </c>
      <c r="AE17" s="224">
        <f t="shared" si="32"/>
        <v>1249818</v>
      </c>
      <c r="AF17" s="225">
        <f t="shared" si="32"/>
        <v>-907</v>
      </c>
      <c r="AG17" s="226">
        <f t="shared" si="33"/>
        <v>0</v>
      </c>
      <c r="AH17" s="80">
        <f t="shared" si="34"/>
        <v>1248911</v>
      </c>
      <c r="AI17" s="224">
        <f t="shared" si="35"/>
        <v>2093218</v>
      </c>
      <c r="AJ17" s="225">
        <f t="shared" si="35"/>
        <v>595417</v>
      </c>
      <c r="AK17" s="226">
        <f t="shared" si="36"/>
        <v>0</v>
      </c>
      <c r="AL17" s="80">
        <f t="shared" si="37"/>
        <v>2688635</v>
      </c>
    </row>
    <row r="18" spans="1:38" ht="31.5" x14ac:dyDescent="0.25">
      <c r="A18" s="230" t="s">
        <v>338</v>
      </c>
      <c r="B18" s="232"/>
      <c r="C18" s="152">
        <f t="shared" ref="C18:E18" si="38">SUM(C15:C17)</f>
        <v>11324735</v>
      </c>
      <c r="D18" s="152">
        <f t="shared" si="38"/>
        <v>14198283</v>
      </c>
      <c r="E18" s="152">
        <f t="shared" si="38"/>
        <v>0</v>
      </c>
      <c r="F18" s="152">
        <f t="shared" ref="F18:AB18" si="39">SUM(F15:F17)</f>
        <v>25523018</v>
      </c>
      <c r="G18" s="152">
        <f t="shared" si="39"/>
        <v>-2692367</v>
      </c>
      <c r="H18" s="152">
        <f t="shared" si="39"/>
        <v>857298</v>
      </c>
      <c r="I18" s="152">
        <f t="shared" si="39"/>
        <v>0</v>
      </c>
      <c r="J18" s="152">
        <f t="shared" si="39"/>
        <v>-1835069</v>
      </c>
      <c r="K18" s="152">
        <f t="shared" si="39"/>
        <v>8632368</v>
      </c>
      <c r="L18" s="152">
        <f t="shared" si="39"/>
        <v>15055581</v>
      </c>
      <c r="M18" s="152">
        <f t="shared" si="39"/>
        <v>0</v>
      </c>
      <c r="N18" s="151">
        <f t="shared" si="39"/>
        <v>23687949</v>
      </c>
      <c r="O18" s="151">
        <f t="shared" si="39"/>
        <v>153259</v>
      </c>
      <c r="P18" s="152">
        <f t="shared" si="39"/>
        <v>40335</v>
      </c>
      <c r="Q18" s="152">
        <f t="shared" si="39"/>
        <v>61112</v>
      </c>
      <c r="R18" s="152">
        <f t="shared" si="39"/>
        <v>254706</v>
      </c>
      <c r="S18" s="152">
        <f t="shared" si="39"/>
        <v>18138</v>
      </c>
      <c r="T18" s="152">
        <f t="shared" si="39"/>
        <v>4237</v>
      </c>
      <c r="U18" s="152">
        <f t="shared" si="39"/>
        <v>-644</v>
      </c>
      <c r="V18" s="152">
        <f t="shared" si="39"/>
        <v>21731</v>
      </c>
      <c r="W18" s="152">
        <f t="shared" si="39"/>
        <v>171397</v>
      </c>
      <c r="X18" s="152">
        <f t="shared" si="39"/>
        <v>44572</v>
      </c>
      <c r="Y18" s="152">
        <f t="shared" si="39"/>
        <v>60468</v>
      </c>
      <c r="Z18" s="151">
        <f t="shared" si="39"/>
        <v>276437</v>
      </c>
      <c r="AA18" s="152">
        <f t="shared" si="39"/>
        <v>11477994</v>
      </c>
      <c r="AB18" s="233">
        <f t="shared" si="39"/>
        <v>14238618</v>
      </c>
      <c r="AC18" s="226">
        <f t="shared" si="2"/>
        <v>61112</v>
      </c>
      <c r="AD18" s="234">
        <f>SUM(AD15:AD17)</f>
        <v>25777724</v>
      </c>
      <c r="AE18" s="152">
        <f t="shared" ref="AE18:AF18" si="40">SUM(AE15:AE17)</f>
        <v>-2674229</v>
      </c>
      <c r="AF18" s="233">
        <f t="shared" si="40"/>
        <v>861535</v>
      </c>
      <c r="AG18" s="226">
        <f t="shared" si="33"/>
        <v>-644</v>
      </c>
      <c r="AH18" s="234">
        <f t="shared" ref="AH18:AJ18" si="41">SUM(AH15:AH17)</f>
        <v>-1813338</v>
      </c>
      <c r="AI18" s="152">
        <f t="shared" si="41"/>
        <v>8803765</v>
      </c>
      <c r="AJ18" s="233">
        <f t="shared" si="41"/>
        <v>15100153</v>
      </c>
      <c r="AK18" s="226">
        <f t="shared" si="36"/>
        <v>60468</v>
      </c>
      <c r="AL18" s="234">
        <f t="shared" ref="AL18" si="42">SUM(AL15:AL17)</f>
        <v>23964386</v>
      </c>
    </row>
    <row r="19" spans="1:38" x14ac:dyDescent="0.25">
      <c r="A19" s="62" t="s">
        <v>205</v>
      </c>
      <c r="B19" s="62"/>
      <c r="C19" s="145"/>
      <c r="D19" s="63">
        <v>272459</v>
      </c>
      <c r="E19" s="63"/>
      <c r="F19" s="63">
        <f>SUM(C19:E19)</f>
        <v>272459</v>
      </c>
      <c r="G19" s="63">
        <v>0</v>
      </c>
      <c r="H19" s="63">
        <v>-50609</v>
      </c>
      <c r="I19" s="63"/>
      <c r="J19" s="63">
        <f t="shared" si="10"/>
        <v>-50609</v>
      </c>
      <c r="K19" s="63">
        <f t="shared" ref="K19:K20" si="43">SUM(C19+G19)</f>
        <v>0</v>
      </c>
      <c r="L19" s="63">
        <f t="shared" ref="L19:L20" si="44">SUM(D19+H19)</f>
        <v>221850</v>
      </c>
      <c r="M19" s="63">
        <f t="shared" ref="M19:M20" si="45">SUM(E19+I19)</f>
        <v>0</v>
      </c>
      <c r="N19" s="145">
        <f t="shared" ref="N19:N20" si="46">SUM(K19:M19)</f>
        <v>221850</v>
      </c>
      <c r="O19" s="145">
        <v>0</v>
      </c>
      <c r="P19" s="63">
        <v>0</v>
      </c>
      <c r="Q19" s="63">
        <v>0</v>
      </c>
      <c r="R19" s="63">
        <f>SUM(O19:Q19)</f>
        <v>0</v>
      </c>
      <c r="S19" s="63">
        <v>0</v>
      </c>
      <c r="T19" s="63">
        <v>0</v>
      </c>
      <c r="U19" s="63">
        <v>0</v>
      </c>
      <c r="V19" s="63">
        <f t="shared" si="15"/>
        <v>0</v>
      </c>
      <c r="W19" s="63">
        <f t="shared" ref="W19:W20" si="47">SUM(O19+S19)</f>
        <v>0</v>
      </c>
      <c r="X19" s="63">
        <f t="shared" ref="X19:X20" si="48">SUM(P19+T19)</f>
        <v>0</v>
      </c>
      <c r="Y19" s="63">
        <f t="shared" ref="Y19:Y20" si="49">SUM(Q19+U19)</f>
        <v>0</v>
      </c>
      <c r="Z19" s="145">
        <f t="shared" ref="Z19:Z20" si="50">SUM(W19:Y19)</f>
        <v>0</v>
      </c>
      <c r="AA19" s="224">
        <f>+C19+O19</f>
        <v>0</v>
      </c>
      <c r="AB19" s="225">
        <f>+D19+P19</f>
        <v>272459</v>
      </c>
      <c r="AC19" s="226">
        <f t="shared" si="2"/>
        <v>0</v>
      </c>
      <c r="AD19" s="80">
        <f>SUM(AA19:AC19)</f>
        <v>272459</v>
      </c>
      <c r="AE19" s="224">
        <f>+G19+S19</f>
        <v>0</v>
      </c>
      <c r="AF19" s="225">
        <f t="shared" ref="AE19:AF20" si="51">+H19+T19</f>
        <v>-50609</v>
      </c>
      <c r="AG19" s="226">
        <f t="shared" si="33"/>
        <v>0</v>
      </c>
      <c r="AH19" s="80">
        <f t="shared" ref="AH19:AH20" si="52">SUM(AE19:AG19)</f>
        <v>-50609</v>
      </c>
      <c r="AI19" s="224">
        <f t="shared" ref="AI19:AJ20" si="53">+K19+W19</f>
        <v>0</v>
      </c>
      <c r="AJ19" s="225">
        <f t="shared" si="53"/>
        <v>221850</v>
      </c>
      <c r="AK19" s="226">
        <f t="shared" si="36"/>
        <v>0</v>
      </c>
      <c r="AL19" s="80">
        <f t="shared" ref="AL19:AL20" si="54">SUM(AI19:AK19)</f>
        <v>221850</v>
      </c>
    </row>
    <row r="20" spans="1:38" x14ac:dyDescent="0.25">
      <c r="A20" s="62" t="s">
        <v>206</v>
      </c>
      <c r="B20" s="62"/>
      <c r="C20" s="145">
        <v>2766753</v>
      </c>
      <c r="D20" s="63">
        <v>44653</v>
      </c>
      <c r="E20" s="63"/>
      <c r="F20" s="63">
        <f>SUM(C20:E20)</f>
        <v>2811406</v>
      </c>
      <c r="G20" s="63">
        <v>612161</v>
      </c>
      <c r="H20" s="63">
        <v>-30966</v>
      </c>
      <c r="I20" s="63"/>
      <c r="J20" s="63">
        <f t="shared" si="10"/>
        <v>581195</v>
      </c>
      <c r="K20" s="63">
        <f t="shared" si="43"/>
        <v>3378914</v>
      </c>
      <c r="L20" s="63">
        <f t="shared" si="44"/>
        <v>13687</v>
      </c>
      <c r="M20" s="63">
        <f t="shared" si="45"/>
        <v>0</v>
      </c>
      <c r="N20" s="145">
        <f t="shared" si="46"/>
        <v>3392601</v>
      </c>
      <c r="O20" s="145">
        <v>0</v>
      </c>
      <c r="P20" s="63">
        <v>0</v>
      </c>
      <c r="Q20" s="63">
        <v>0</v>
      </c>
      <c r="R20" s="63">
        <f>SUM(O20:Q20)</f>
        <v>0</v>
      </c>
      <c r="S20" s="63">
        <v>0</v>
      </c>
      <c r="T20" s="63">
        <v>0</v>
      </c>
      <c r="U20" s="63">
        <v>0</v>
      </c>
      <c r="V20" s="63">
        <f t="shared" si="15"/>
        <v>0</v>
      </c>
      <c r="W20" s="63">
        <f t="shared" si="47"/>
        <v>0</v>
      </c>
      <c r="X20" s="63">
        <f t="shared" si="48"/>
        <v>0</v>
      </c>
      <c r="Y20" s="63">
        <f t="shared" si="49"/>
        <v>0</v>
      </c>
      <c r="Z20" s="145">
        <f t="shared" si="50"/>
        <v>0</v>
      </c>
      <c r="AA20" s="224">
        <f>+C20+O20</f>
        <v>2766753</v>
      </c>
      <c r="AB20" s="225">
        <f>+D20+P20</f>
        <v>44653</v>
      </c>
      <c r="AC20" s="226">
        <f t="shared" si="2"/>
        <v>0</v>
      </c>
      <c r="AD20" s="80">
        <f>SUM(AA20:AC20)</f>
        <v>2811406</v>
      </c>
      <c r="AE20" s="224">
        <f t="shared" si="51"/>
        <v>612161</v>
      </c>
      <c r="AF20" s="225">
        <f t="shared" si="51"/>
        <v>-30966</v>
      </c>
      <c r="AG20" s="226">
        <f t="shared" si="33"/>
        <v>0</v>
      </c>
      <c r="AH20" s="80">
        <f t="shared" si="52"/>
        <v>581195</v>
      </c>
      <c r="AI20" s="224">
        <f t="shared" si="53"/>
        <v>3378914</v>
      </c>
      <c r="AJ20" s="225">
        <f t="shared" si="53"/>
        <v>13687</v>
      </c>
      <c r="AK20" s="226">
        <f t="shared" si="36"/>
        <v>0</v>
      </c>
      <c r="AL20" s="80">
        <f t="shared" si="54"/>
        <v>3392601</v>
      </c>
    </row>
    <row r="21" spans="1:38" s="67" customFormat="1" ht="16.5" thickBot="1" x14ac:dyDescent="0.3">
      <c r="A21" s="65" t="s">
        <v>207</v>
      </c>
      <c r="B21" s="235" t="s">
        <v>314</v>
      </c>
      <c r="C21" s="153">
        <f>C20+C19</f>
        <v>2766753</v>
      </c>
      <c r="D21" s="153">
        <f t="shared" ref="D21:E21" si="55">D20+D19</f>
        <v>317112</v>
      </c>
      <c r="E21" s="153">
        <f t="shared" si="55"/>
        <v>0</v>
      </c>
      <c r="F21" s="153">
        <f t="shared" ref="F21:AD21" si="56">SUM(F19:F20)</f>
        <v>3083865</v>
      </c>
      <c r="G21" s="153">
        <f t="shared" ref="G21:Q21" si="57">SUM(G19:G20)</f>
        <v>612161</v>
      </c>
      <c r="H21" s="153">
        <f t="shared" si="57"/>
        <v>-81575</v>
      </c>
      <c r="I21" s="153">
        <f t="shared" si="57"/>
        <v>0</v>
      </c>
      <c r="J21" s="153">
        <f t="shared" si="57"/>
        <v>530586</v>
      </c>
      <c r="K21" s="153">
        <f t="shared" si="57"/>
        <v>3378914</v>
      </c>
      <c r="L21" s="153">
        <f t="shared" si="57"/>
        <v>235537</v>
      </c>
      <c r="M21" s="153">
        <f t="shared" si="57"/>
        <v>0</v>
      </c>
      <c r="N21" s="153">
        <f t="shared" si="57"/>
        <v>3614451</v>
      </c>
      <c r="O21" s="153">
        <f t="shared" si="57"/>
        <v>0</v>
      </c>
      <c r="P21" s="153">
        <f t="shared" si="57"/>
        <v>0</v>
      </c>
      <c r="Q21" s="153">
        <f t="shared" si="57"/>
        <v>0</v>
      </c>
      <c r="R21" s="153">
        <f t="shared" si="56"/>
        <v>0</v>
      </c>
      <c r="S21" s="153">
        <f t="shared" ref="S21:Z21" si="58">SUM(S19:S20)</f>
        <v>0</v>
      </c>
      <c r="T21" s="153">
        <f t="shared" si="58"/>
        <v>0</v>
      </c>
      <c r="U21" s="153">
        <f t="shared" si="58"/>
        <v>0</v>
      </c>
      <c r="V21" s="153">
        <f t="shared" si="58"/>
        <v>0</v>
      </c>
      <c r="W21" s="153">
        <f t="shared" si="58"/>
        <v>0</v>
      </c>
      <c r="X21" s="153">
        <f t="shared" si="58"/>
        <v>0</v>
      </c>
      <c r="Y21" s="153">
        <f t="shared" si="58"/>
        <v>0</v>
      </c>
      <c r="Z21" s="153">
        <f t="shared" si="58"/>
        <v>0</v>
      </c>
      <c r="AA21" s="153">
        <f t="shared" si="56"/>
        <v>2766753</v>
      </c>
      <c r="AB21" s="153">
        <f t="shared" si="56"/>
        <v>317112</v>
      </c>
      <c r="AC21" s="153">
        <f t="shared" si="56"/>
        <v>0</v>
      </c>
      <c r="AD21" s="153">
        <f t="shared" si="56"/>
        <v>3083865</v>
      </c>
      <c r="AE21" s="153">
        <f t="shared" ref="AE21:AL21" si="59">SUM(AE19:AE20)</f>
        <v>612161</v>
      </c>
      <c r="AF21" s="153">
        <f t="shared" si="59"/>
        <v>-81575</v>
      </c>
      <c r="AG21" s="153">
        <f t="shared" si="59"/>
        <v>0</v>
      </c>
      <c r="AH21" s="153">
        <f t="shared" si="59"/>
        <v>530586</v>
      </c>
      <c r="AI21" s="153">
        <f t="shared" si="59"/>
        <v>3378914</v>
      </c>
      <c r="AJ21" s="153">
        <f t="shared" si="59"/>
        <v>235537</v>
      </c>
      <c r="AK21" s="153">
        <f t="shared" si="59"/>
        <v>0</v>
      </c>
      <c r="AL21" s="153">
        <f t="shared" si="59"/>
        <v>3614451</v>
      </c>
    </row>
    <row r="22" spans="1:38" ht="17.25" thickTop="1" thickBot="1" x14ac:dyDescent="0.3">
      <c r="A22" s="140" t="s">
        <v>208</v>
      </c>
      <c r="B22" s="236" t="s">
        <v>271</v>
      </c>
      <c r="C22" s="142">
        <f>+C21+C18+C14</f>
        <v>29808152</v>
      </c>
      <c r="D22" s="142">
        <f t="shared" ref="D22:E22" si="60">+D21+D18+D14</f>
        <v>20196928</v>
      </c>
      <c r="E22" s="142">
        <f t="shared" si="60"/>
        <v>0</v>
      </c>
      <c r="F22" s="142">
        <f t="shared" ref="F22:AD22" si="61">+F21+F18+F14</f>
        <v>50005080</v>
      </c>
      <c r="G22" s="142">
        <f t="shared" ref="G22:Q22" si="62">+G21+G18+G14</f>
        <v>-1988723</v>
      </c>
      <c r="H22" s="142">
        <f t="shared" si="62"/>
        <v>926043</v>
      </c>
      <c r="I22" s="142">
        <f t="shared" si="62"/>
        <v>0</v>
      </c>
      <c r="J22" s="142">
        <f t="shared" si="62"/>
        <v>-1062680</v>
      </c>
      <c r="K22" s="142">
        <f t="shared" si="62"/>
        <v>27819429</v>
      </c>
      <c r="L22" s="142">
        <f t="shared" si="62"/>
        <v>21122971</v>
      </c>
      <c r="M22" s="142">
        <f t="shared" si="62"/>
        <v>0</v>
      </c>
      <c r="N22" s="142">
        <f t="shared" si="62"/>
        <v>48942400</v>
      </c>
      <c r="O22" s="142">
        <f t="shared" si="62"/>
        <v>11335865</v>
      </c>
      <c r="P22" s="142">
        <f t="shared" si="62"/>
        <v>2827475</v>
      </c>
      <c r="Q22" s="142">
        <f t="shared" si="62"/>
        <v>984405</v>
      </c>
      <c r="R22" s="142">
        <f t="shared" si="61"/>
        <v>15147745</v>
      </c>
      <c r="S22" s="142">
        <f t="shared" ref="S22:Z22" si="63">+S21+S18+S14</f>
        <v>-38132</v>
      </c>
      <c r="T22" s="142">
        <f t="shared" si="63"/>
        <v>-54605</v>
      </c>
      <c r="U22" s="142">
        <f t="shared" si="63"/>
        <v>3604</v>
      </c>
      <c r="V22" s="142">
        <f t="shared" si="63"/>
        <v>-89133</v>
      </c>
      <c r="W22" s="142">
        <f t="shared" si="63"/>
        <v>11297733</v>
      </c>
      <c r="X22" s="142">
        <f t="shared" si="63"/>
        <v>2772870</v>
      </c>
      <c r="Y22" s="142">
        <f t="shared" si="63"/>
        <v>988009</v>
      </c>
      <c r="Z22" s="142">
        <f t="shared" si="63"/>
        <v>15058612</v>
      </c>
      <c r="AA22" s="142">
        <f t="shared" si="61"/>
        <v>41144017</v>
      </c>
      <c r="AB22" s="142">
        <f t="shared" si="61"/>
        <v>23024403</v>
      </c>
      <c r="AC22" s="142">
        <f t="shared" si="61"/>
        <v>984405</v>
      </c>
      <c r="AD22" s="142">
        <f t="shared" si="61"/>
        <v>65152825</v>
      </c>
      <c r="AE22" s="142">
        <f t="shared" ref="AE22:AL22" si="64">+AE21+AE18+AE14</f>
        <v>-2026855</v>
      </c>
      <c r="AF22" s="142">
        <f t="shared" si="64"/>
        <v>871438</v>
      </c>
      <c r="AG22" s="142">
        <f t="shared" si="64"/>
        <v>3604</v>
      </c>
      <c r="AH22" s="142">
        <f t="shared" si="64"/>
        <v>-1151813</v>
      </c>
      <c r="AI22" s="142">
        <f t="shared" si="64"/>
        <v>39117162</v>
      </c>
      <c r="AJ22" s="142">
        <f t="shared" si="64"/>
        <v>23895841</v>
      </c>
      <c r="AK22" s="142">
        <f t="shared" si="64"/>
        <v>988009</v>
      </c>
      <c r="AL22" s="142">
        <f t="shared" si="64"/>
        <v>64001012</v>
      </c>
    </row>
    <row r="23" spans="1:38" ht="32.25" thickTop="1" x14ac:dyDescent="0.25">
      <c r="A23" s="422" t="s">
        <v>788</v>
      </c>
      <c r="B23" s="423" t="s">
        <v>454</v>
      </c>
      <c r="C23" s="630">
        <v>163966</v>
      </c>
      <c r="D23" s="630">
        <v>0</v>
      </c>
      <c r="E23" s="630">
        <v>0</v>
      </c>
      <c r="F23" s="424">
        <f>SUM(C23:E23)</f>
        <v>163966</v>
      </c>
      <c r="G23" s="424"/>
      <c r="H23" s="424"/>
      <c r="I23" s="424"/>
      <c r="J23" s="424">
        <f>SUM(G23:I23)</f>
        <v>0</v>
      </c>
      <c r="K23" s="424">
        <f t="shared" ref="K23" si="65">SUM(C23+G23)</f>
        <v>163966</v>
      </c>
      <c r="L23" s="424">
        <f t="shared" ref="L23" si="66">SUM(D23+H23)</f>
        <v>0</v>
      </c>
      <c r="M23" s="424">
        <f t="shared" ref="M23" si="67">SUM(E23+I23)</f>
        <v>0</v>
      </c>
      <c r="N23" s="424">
        <f t="shared" ref="N23" si="68">SUM(K23:M23)</f>
        <v>163966</v>
      </c>
      <c r="O23" s="630">
        <v>0</v>
      </c>
      <c r="P23" s="630">
        <v>0</v>
      </c>
      <c r="Q23" s="630">
        <v>0</v>
      </c>
      <c r="R23" s="424">
        <f>SUM(O23:Q23)</f>
        <v>0</v>
      </c>
      <c r="S23" s="424"/>
      <c r="T23" s="424"/>
      <c r="U23" s="424"/>
      <c r="V23" s="424">
        <f>SUM(S23:U23)</f>
        <v>0</v>
      </c>
      <c r="W23" s="424">
        <f t="shared" ref="W23" si="69">SUM(O23+S23)</f>
        <v>0</v>
      </c>
      <c r="X23" s="424">
        <f t="shared" ref="X23" si="70">SUM(P23+T23)</f>
        <v>0</v>
      </c>
      <c r="Y23" s="424">
        <f t="shared" ref="Y23" si="71">SUM(Q23+U23)</f>
        <v>0</v>
      </c>
      <c r="Z23" s="424">
        <f t="shared" ref="Z23" si="72">SUM(W23:Y23)</f>
        <v>0</v>
      </c>
      <c r="AA23" s="424">
        <f t="shared" ref="AA23:AD23" si="73">SUM(O23+C23)</f>
        <v>163966</v>
      </c>
      <c r="AB23" s="424">
        <f t="shared" si="73"/>
        <v>0</v>
      </c>
      <c r="AC23" s="424">
        <f t="shared" si="73"/>
        <v>0</v>
      </c>
      <c r="AD23" s="424">
        <f t="shared" si="73"/>
        <v>163966</v>
      </c>
      <c r="AE23" s="424">
        <f t="shared" ref="AE23:AL23" si="74">SUM(S23+G23)</f>
        <v>0</v>
      </c>
      <c r="AF23" s="424">
        <f t="shared" si="74"/>
        <v>0</v>
      </c>
      <c r="AG23" s="424">
        <f t="shared" si="74"/>
        <v>0</v>
      </c>
      <c r="AH23" s="424">
        <f t="shared" si="74"/>
        <v>0</v>
      </c>
      <c r="AI23" s="424">
        <f t="shared" si="74"/>
        <v>163966</v>
      </c>
      <c r="AJ23" s="424">
        <f t="shared" si="74"/>
        <v>0</v>
      </c>
      <c r="AK23" s="424">
        <f t="shared" si="74"/>
        <v>0</v>
      </c>
      <c r="AL23" s="424">
        <f t="shared" si="74"/>
        <v>163966</v>
      </c>
    </row>
    <row r="24" spans="1:38" ht="16.5" thickBot="1" x14ac:dyDescent="0.3">
      <c r="A24" s="425" t="s">
        <v>786</v>
      </c>
      <c r="B24" s="426" t="s">
        <v>312</v>
      </c>
      <c r="C24" s="237">
        <v>8685673</v>
      </c>
      <c r="D24" s="237">
        <v>2026248</v>
      </c>
      <c r="E24" s="237">
        <v>909738</v>
      </c>
      <c r="F24" s="424">
        <f>SUM(C24:E24)</f>
        <v>11621659</v>
      </c>
      <c r="G24" s="237">
        <v>-23512</v>
      </c>
      <c r="H24" s="237">
        <v>-76609</v>
      </c>
      <c r="I24" s="237">
        <v>-190</v>
      </c>
      <c r="J24" s="424">
        <f>SUM(G24:I24)</f>
        <v>-100311</v>
      </c>
      <c r="K24" s="424">
        <f t="shared" ref="K24" si="75">SUM(C24+G24)</f>
        <v>8662161</v>
      </c>
      <c r="L24" s="424">
        <f t="shared" ref="L24" si="76">SUM(D24+H24)</f>
        <v>1949639</v>
      </c>
      <c r="M24" s="424">
        <f t="shared" ref="M24" si="77">SUM(E24+I24)</f>
        <v>909548</v>
      </c>
      <c r="N24" s="424">
        <f t="shared" ref="N24" si="78">SUM(K24:M24)</f>
        <v>11521348</v>
      </c>
      <c r="O24" s="237">
        <v>0</v>
      </c>
      <c r="P24" s="237">
        <v>0</v>
      </c>
      <c r="Q24" s="237">
        <v>0</v>
      </c>
      <c r="R24" s="424">
        <f>SUM(O24:Q24)</f>
        <v>0</v>
      </c>
      <c r="S24" s="237"/>
      <c r="T24" s="237"/>
      <c r="U24" s="237"/>
      <c r="V24" s="424">
        <f>SUM(S24:U24)</f>
        <v>0</v>
      </c>
      <c r="W24" s="424">
        <f t="shared" ref="W24" si="79">SUM(O24+S24)</f>
        <v>0</v>
      </c>
      <c r="X24" s="424">
        <f t="shared" ref="X24" si="80">SUM(P24+T24)</f>
        <v>0</v>
      </c>
      <c r="Y24" s="424">
        <f t="shared" ref="Y24" si="81">SUM(Q24+U24)</f>
        <v>0</v>
      </c>
      <c r="Z24" s="424">
        <f t="shared" ref="Z24" si="82">SUM(W24:Y24)</f>
        <v>0</v>
      </c>
      <c r="AA24" s="424">
        <f t="shared" ref="AA24" si="83">SUM(O24+C24)</f>
        <v>8685673</v>
      </c>
      <c r="AB24" s="424">
        <f t="shared" ref="AB24" si="84">SUM(P24+D24)</f>
        <v>2026248</v>
      </c>
      <c r="AC24" s="424">
        <f t="shared" ref="AC24" si="85">SUM(Q24+E24)</f>
        <v>909738</v>
      </c>
      <c r="AD24" s="424">
        <f t="shared" ref="AD24" si="86">SUM(R24+F24)</f>
        <v>11621659</v>
      </c>
      <c r="AE24" s="424">
        <f t="shared" ref="AE24" si="87">SUM(S24+G24)</f>
        <v>-23512</v>
      </c>
      <c r="AF24" s="424">
        <f t="shared" ref="AF24" si="88">SUM(T24+H24)</f>
        <v>-76609</v>
      </c>
      <c r="AG24" s="424">
        <f t="shared" ref="AG24" si="89">SUM(U24+I24)</f>
        <v>-190</v>
      </c>
      <c r="AH24" s="424">
        <f t="shared" ref="AH24" si="90">SUM(V24+J24)</f>
        <v>-100311</v>
      </c>
      <c r="AI24" s="424">
        <f t="shared" ref="AI24" si="91">SUM(W24+K24)</f>
        <v>8662161</v>
      </c>
      <c r="AJ24" s="424">
        <f t="shared" ref="AJ24" si="92">SUM(X24+L24)</f>
        <v>1949639</v>
      </c>
      <c r="AK24" s="424">
        <f t="shared" ref="AK24" si="93">SUM(Y24+M24)</f>
        <v>909548</v>
      </c>
      <c r="AL24" s="424">
        <f t="shared" ref="AL24" si="94">SUM(Z24+N24)</f>
        <v>11521348</v>
      </c>
    </row>
    <row r="25" spans="1:38" ht="17.25" thickTop="1" thickBot="1" x14ac:dyDescent="0.3">
      <c r="A25" s="238" t="s">
        <v>787</v>
      </c>
      <c r="B25" s="239" t="s">
        <v>209</v>
      </c>
      <c r="C25" s="154">
        <f t="shared" ref="C25:AL25" si="95">SUM(C23:C24)</f>
        <v>8849639</v>
      </c>
      <c r="D25" s="154">
        <f t="shared" si="95"/>
        <v>2026248</v>
      </c>
      <c r="E25" s="154">
        <f t="shared" si="95"/>
        <v>909738</v>
      </c>
      <c r="F25" s="154">
        <f t="shared" si="95"/>
        <v>11785625</v>
      </c>
      <c r="G25" s="154">
        <f t="shared" si="95"/>
        <v>-23512</v>
      </c>
      <c r="H25" s="154">
        <f t="shared" si="95"/>
        <v>-76609</v>
      </c>
      <c r="I25" s="154">
        <f t="shared" si="95"/>
        <v>-190</v>
      </c>
      <c r="J25" s="154">
        <f t="shared" si="95"/>
        <v>-100311</v>
      </c>
      <c r="K25" s="154">
        <f t="shared" si="95"/>
        <v>8826127</v>
      </c>
      <c r="L25" s="154">
        <f t="shared" si="95"/>
        <v>1949639</v>
      </c>
      <c r="M25" s="154">
        <f t="shared" si="95"/>
        <v>909548</v>
      </c>
      <c r="N25" s="154">
        <f t="shared" si="95"/>
        <v>11685314</v>
      </c>
      <c r="O25" s="154">
        <f t="shared" si="95"/>
        <v>0</v>
      </c>
      <c r="P25" s="154">
        <f t="shared" si="95"/>
        <v>0</v>
      </c>
      <c r="Q25" s="154">
        <f t="shared" si="95"/>
        <v>0</v>
      </c>
      <c r="R25" s="154">
        <f t="shared" si="95"/>
        <v>0</v>
      </c>
      <c r="S25" s="154">
        <f t="shared" si="95"/>
        <v>0</v>
      </c>
      <c r="T25" s="154">
        <f t="shared" si="95"/>
        <v>0</v>
      </c>
      <c r="U25" s="154">
        <f t="shared" si="95"/>
        <v>0</v>
      </c>
      <c r="V25" s="154">
        <f t="shared" si="95"/>
        <v>0</v>
      </c>
      <c r="W25" s="154">
        <f t="shared" si="95"/>
        <v>0</v>
      </c>
      <c r="X25" s="154">
        <f t="shared" si="95"/>
        <v>0</v>
      </c>
      <c r="Y25" s="154">
        <f t="shared" si="95"/>
        <v>0</v>
      </c>
      <c r="Z25" s="154">
        <f t="shared" si="95"/>
        <v>0</v>
      </c>
      <c r="AA25" s="154">
        <f t="shared" si="95"/>
        <v>8849639</v>
      </c>
      <c r="AB25" s="154">
        <f t="shared" si="95"/>
        <v>2026248</v>
      </c>
      <c r="AC25" s="154">
        <f t="shared" si="95"/>
        <v>909738</v>
      </c>
      <c r="AD25" s="154">
        <f t="shared" si="95"/>
        <v>11785625</v>
      </c>
      <c r="AE25" s="154">
        <f t="shared" si="95"/>
        <v>-23512</v>
      </c>
      <c r="AF25" s="154">
        <f t="shared" si="95"/>
        <v>-76609</v>
      </c>
      <c r="AG25" s="154">
        <f t="shared" si="95"/>
        <v>-190</v>
      </c>
      <c r="AH25" s="154">
        <f t="shared" si="95"/>
        <v>-100311</v>
      </c>
      <c r="AI25" s="154">
        <f t="shared" si="95"/>
        <v>8826127</v>
      </c>
      <c r="AJ25" s="154">
        <f t="shared" si="95"/>
        <v>1949639</v>
      </c>
      <c r="AK25" s="154">
        <f t="shared" si="95"/>
        <v>909548</v>
      </c>
      <c r="AL25" s="154">
        <f t="shared" si="95"/>
        <v>11685314</v>
      </c>
    </row>
    <row r="26" spans="1:38" ht="17.25" thickTop="1" thickBot="1" x14ac:dyDescent="0.3">
      <c r="A26" s="140" t="s">
        <v>336</v>
      </c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3">
        <v>1967.18</v>
      </c>
      <c r="S26" s="143"/>
      <c r="T26" s="143"/>
      <c r="U26" s="143"/>
      <c r="V26" s="143">
        <v>-38.5</v>
      </c>
      <c r="W26" s="143"/>
      <c r="X26" s="143"/>
      <c r="Y26" s="143"/>
      <c r="Z26" s="143">
        <f>SUM(R26+V26)</f>
        <v>1928.68</v>
      </c>
      <c r="AA26" s="142"/>
      <c r="AB26" s="142"/>
      <c r="AC26" s="142"/>
      <c r="AD26" s="143">
        <f>SUM(R26)</f>
        <v>1967.18</v>
      </c>
      <c r="AE26" s="142"/>
      <c r="AF26" s="142"/>
      <c r="AG26" s="142"/>
      <c r="AH26" s="143">
        <f>SUM(V26)</f>
        <v>-38.5</v>
      </c>
      <c r="AI26" s="142"/>
      <c r="AJ26" s="142"/>
      <c r="AK26" s="142"/>
      <c r="AL26" s="143">
        <f t="shared" ref="AL26" si="96">SUM(Z26)</f>
        <v>1928.68</v>
      </c>
    </row>
    <row r="27" spans="1:38" ht="16.5" thickTop="1" x14ac:dyDescent="0.25">
      <c r="A27" s="147"/>
      <c r="B27" s="147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</row>
    <row r="28" spans="1:38" x14ac:dyDescent="0.25">
      <c r="A28" s="147"/>
      <c r="B28" s="147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</row>
    <row r="29" spans="1:38" x14ac:dyDescent="0.25">
      <c r="A29" s="147"/>
      <c r="B29" s="147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</row>
    <row r="30" spans="1:38" x14ac:dyDescent="0.25">
      <c r="A30" s="147"/>
      <c r="B30" s="147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</row>
    <row r="31" spans="1:38" x14ac:dyDescent="0.25">
      <c r="A31" s="147"/>
      <c r="B31" s="147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</row>
    <row r="32" spans="1:38" x14ac:dyDescent="0.25">
      <c r="A32" s="147"/>
      <c r="B32" s="147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</row>
    <row r="33" spans="1:38" x14ac:dyDescent="0.25">
      <c r="A33" s="147"/>
      <c r="B33" s="147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</row>
    <row r="34" spans="1:38" x14ac:dyDescent="0.25">
      <c r="A34" s="147"/>
      <c r="B34" s="147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</row>
    <row r="35" spans="1:38" x14ac:dyDescent="0.25">
      <c r="A35" s="147"/>
      <c r="B35" s="147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</row>
    <row r="36" spans="1:38" x14ac:dyDescent="0.25">
      <c r="A36" s="147"/>
      <c r="B36" s="147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</row>
    <row r="37" spans="1:38" x14ac:dyDescent="0.25">
      <c r="A37" s="24"/>
      <c r="B37" s="24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</row>
  </sheetData>
  <mergeCells count="24">
    <mergeCell ref="B3:N3"/>
    <mergeCell ref="O3:Z3"/>
    <mergeCell ref="AA3:AL3"/>
    <mergeCell ref="AE6:AH6"/>
    <mergeCell ref="AI6:AL6"/>
    <mergeCell ref="O6:R6"/>
    <mergeCell ref="S6:V6"/>
    <mergeCell ref="W6:Z6"/>
    <mergeCell ref="AE8:AH8"/>
    <mergeCell ref="AI8:AL8"/>
    <mergeCell ref="AA5:AL5"/>
    <mergeCell ref="AA6:AD6"/>
    <mergeCell ref="AA8:AD8"/>
    <mergeCell ref="O8:R8"/>
    <mergeCell ref="C5:N5"/>
    <mergeCell ref="C6:F6"/>
    <mergeCell ref="S8:V8"/>
    <mergeCell ref="W8:Z8"/>
    <mergeCell ref="B1:N1"/>
    <mergeCell ref="B2:N2"/>
    <mergeCell ref="O1:Z1"/>
    <mergeCell ref="O2:Z2"/>
    <mergeCell ref="AA1:AL1"/>
    <mergeCell ref="AA2:AL2"/>
  </mergeCells>
  <phoneticPr fontId="0" type="noConversion"/>
  <pageMargins left="0.31496062992125984" right="0.27559055118110237" top="0.94488188976377963" bottom="0.39370078740157483" header="0.43307086614173229" footer="0.19685039370078741"/>
  <pageSetup paperSize="9" scale="61" orientation="landscape" r:id="rId1"/>
  <headerFooter alignWithMargins="0">
    <oddHeader>&amp;R&amp;"Times New Roman CE,Félkövér"&amp;11 2.melléklet a 40/2020.(XI.30.) önkormányzati rendelethez&amp;"Times New Roman CE,Dőlt"&amp;10
2. melléklet
 az 5/2020.(II.17.) önkormányzati rendelethez</oddHeader>
  </headerFooter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4945"/>
  <sheetViews>
    <sheetView view="pageBreakPreview" zoomScale="70" zoomScaleNormal="90" zoomScaleSheetLayoutView="70" workbookViewId="0">
      <pane xSplit="2" ySplit="8" topLeftCell="C39" activePane="bottomRight" state="frozen"/>
      <selection sqref="A1:XFD1048576"/>
      <selection pane="topRight" sqref="A1:XFD1048576"/>
      <selection pane="bottomLeft" sqref="A1:XFD1048576"/>
      <selection pane="bottomRight" activeCell="J43" sqref="J43"/>
    </sheetView>
  </sheetViews>
  <sheetFormatPr defaultColWidth="9.25" defaultRowHeight="15.75" x14ac:dyDescent="0.25"/>
  <cols>
    <col min="1" max="1" width="37.5" style="155" customWidth="1"/>
    <col min="2" max="2" width="11.625" style="155" customWidth="1"/>
    <col min="3" max="3" width="15" style="13" customWidth="1"/>
    <col min="4" max="4" width="14.5" style="13" customWidth="1"/>
    <col min="5" max="5" width="15.25" style="13" customWidth="1"/>
    <col min="6" max="6" width="14.25" style="13" customWidth="1"/>
    <col min="7" max="7" width="14.5" style="13" customWidth="1"/>
    <col min="8" max="8" width="14.75" style="13" customWidth="1"/>
    <col min="9" max="11" width="14.875" style="13" customWidth="1"/>
    <col min="12" max="16384" width="9.25" style="13"/>
  </cols>
  <sheetData>
    <row r="1" spans="1:256" s="427" customFormat="1" x14ac:dyDescent="0.25">
      <c r="A1" s="985" t="s">
        <v>180</v>
      </c>
      <c r="B1" s="985"/>
      <c r="C1" s="985"/>
      <c r="D1" s="985"/>
      <c r="E1" s="985"/>
      <c r="F1" s="985"/>
      <c r="G1" s="985"/>
      <c r="H1" s="985"/>
      <c r="I1" s="985"/>
      <c r="J1" s="985"/>
      <c r="K1" s="985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s="427" customFormat="1" x14ac:dyDescent="0.25">
      <c r="A2" s="985" t="s">
        <v>772</v>
      </c>
      <c r="B2" s="985"/>
      <c r="C2" s="985"/>
      <c r="D2" s="985"/>
      <c r="E2" s="985"/>
      <c r="F2" s="985"/>
      <c r="G2" s="985"/>
      <c r="H2" s="985"/>
      <c r="I2" s="985"/>
      <c r="J2" s="985"/>
      <c r="K2" s="985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  <c r="IU2" s="64"/>
      <c r="IV2" s="64"/>
    </row>
    <row r="3" spans="1:256" s="427" customFormat="1" x14ac:dyDescent="0.25">
      <c r="A3" s="985" t="s">
        <v>989</v>
      </c>
      <c r="B3" s="985"/>
      <c r="C3" s="985"/>
      <c r="D3" s="985"/>
      <c r="E3" s="985"/>
      <c r="F3" s="985"/>
      <c r="G3" s="985"/>
      <c r="H3" s="985"/>
      <c r="I3" s="985"/>
      <c r="J3" s="985"/>
      <c r="K3" s="985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4"/>
    </row>
    <row r="5" spans="1:256" ht="16.5" thickBot="1" x14ac:dyDescent="0.3"/>
    <row r="6" spans="1:256" ht="87" customHeight="1" thickTop="1" thickBot="1" x14ac:dyDescent="0.3">
      <c r="A6" s="991" t="s">
        <v>136</v>
      </c>
      <c r="B6" s="991" t="s">
        <v>153</v>
      </c>
      <c r="C6" s="979" t="s">
        <v>22</v>
      </c>
      <c r="D6" s="980"/>
      <c r="E6" s="981"/>
      <c r="F6" s="979" t="s">
        <v>23</v>
      </c>
      <c r="G6" s="980"/>
      <c r="H6" s="981"/>
      <c r="I6" s="976" t="s">
        <v>143</v>
      </c>
      <c r="J6" s="977"/>
      <c r="K6" s="978"/>
    </row>
    <row r="7" spans="1:256" ht="33" customHeight="1" thickTop="1" thickBot="1" x14ac:dyDescent="0.3">
      <c r="A7" s="992"/>
      <c r="B7" s="992"/>
      <c r="C7" s="665" t="s">
        <v>347</v>
      </c>
      <c r="D7" s="665" t="s">
        <v>348</v>
      </c>
      <c r="E7" s="665" t="s">
        <v>830</v>
      </c>
      <c r="F7" s="665" t="s">
        <v>347</v>
      </c>
      <c r="G7" s="665" t="s">
        <v>348</v>
      </c>
      <c r="H7" s="665" t="s">
        <v>830</v>
      </c>
      <c r="I7" s="665" t="s">
        <v>347</v>
      </c>
      <c r="J7" s="665" t="s">
        <v>348</v>
      </c>
      <c r="K7" s="665" t="s">
        <v>830</v>
      </c>
    </row>
    <row r="8" spans="1:256" ht="17.25" thickTop="1" thickBot="1" x14ac:dyDescent="0.3">
      <c r="A8" s="156" t="s">
        <v>137</v>
      </c>
      <c r="B8" s="157"/>
      <c r="C8" s="664" t="s">
        <v>182</v>
      </c>
      <c r="D8" s="664" t="s">
        <v>349</v>
      </c>
      <c r="E8" s="664" t="s">
        <v>350</v>
      </c>
      <c r="F8" s="663" t="s">
        <v>183</v>
      </c>
      <c r="G8" s="663" t="s">
        <v>351</v>
      </c>
      <c r="H8" s="663" t="s">
        <v>352</v>
      </c>
      <c r="I8" s="666" t="s">
        <v>355</v>
      </c>
      <c r="J8" s="666" t="s">
        <v>356</v>
      </c>
      <c r="K8" s="666" t="s">
        <v>357</v>
      </c>
    </row>
    <row r="9" spans="1:256" ht="32.25" thickTop="1" x14ac:dyDescent="0.25">
      <c r="A9" s="12" t="s">
        <v>185</v>
      </c>
      <c r="B9" s="60" t="s">
        <v>189</v>
      </c>
      <c r="C9" s="631">
        <v>3698</v>
      </c>
      <c r="D9" s="59">
        <f>280+4969</f>
        <v>5249</v>
      </c>
      <c r="E9" s="59">
        <f>SUM(C9:D9)</f>
        <v>8947</v>
      </c>
      <c r="F9" s="5">
        <v>0</v>
      </c>
      <c r="G9" s="5"/>
      <c r="H9" s="5">
        <f>SUM(F9:G9)</f>
        <v>0</v>
      </c>
      <c r="I9" s="3">
        <f>SUM(F9+C9)</f>
        <v>3698</v>
      </c>
      <c r="J9" s="3">
        <f t="shared" ref="J9:K11" si="0">SUM(G9+D9)</f>
        <v>5249</v>
      </c>
      <c r="K9" s="3">
        <f t="shared" si="0"/>
        <v>8947</v>
      </c>
    </row>
    <row r="10" spans="1:256" ht="31.5" x14ac:dyDescent="0.25">
      <c r="A10" s="12" t="s">
        <v>315</v>
      </c>
      <c r="B10" s="12" t="s">
        <v>190</v>
      </c>
      <c r="C10" s="5">
        <v>2022101</v>
      </c>
      <c r="D10" s="5">
        <f>153883+11899</f>
        <v>165782</v>
      </c>
      <c r="E10" s="5">
        <f>SUM(C10:D10)</f>
        <v>2187883</v>
      </c>
      <c r="F10" s="5">
        <v>0</v>
      </c>
      <c r="G10" s="5"/>
      <c r="H10" s="5">
        <f>SUM(F10:G10)</f>
        <v>0</v>
      </c>
      <c r="I10" s="3">
        <f>SUM(F10+C10)</f>
        <v>2022101</v>
      </c>
      <c r="J10" s="3">
        <f t="shared" si="0"/>
        <v>165782</v>
      </c>
      <c r="K10" s="3">
        <f t="shared" si="0"/>
        <v>2187883</v>
      </c>
    </row>
    <row r="11" spans="1:256" ht="47.25" x14ac:dyDescent="0.25">
      <c r="A11" s="103" t="s">
        <v>311</v>
      </c>
      <c r="B11" s="12" t="s">
        <v>191</v>
      </c>
      <c r="C11" s="5">
        <v>2045556</v>
      </c>
      <c r="D11" s="5">
        <f>-135926+91670+20159+169953+4984</f>
        <v>150840</v>
      </c>
      <c r="E11" s="5">
        <f t="shared" ref="E11:E17" si="1">SUM(C11:D11)</f>
        <v>2196396</v>
      </c>
      <c r="F11" s="5">
        <v>0</v>
      </c>
      <c r="G11" s="5"/>
      <c r="H11" s="5">
        <f t="shared" ref="H11:H17" si="2">SUM(F11:G11)</f>
        <v>0</v>
      </c>
      <c r="I11" s="3">
        <f>SUM(F11+C11)</f>
        <v>2045556</v>
      </c>
      <c r="J11" s="3">
        <f t="shared" si="0"/>
        <v>150840</v>
      </c>
      <c r="K11" s="3">
        <f t="shared" si="0"/>
        <v>2196396</v>
      </c>
    </row>
    <row r="12" spans="1:256" ht="31.5" x14ac:dyDescent="0.25">
      <c r="A12" s="12" t="s">
        <v>186</v>
      </c>
      <c r="B12" s="12" t="s">
        <v>192</v>
      </c>
      <c r="C12" s="5">
        <v>1079514</v>
      </c>
      <c r="D12" s="5">
        <f>14070-485391+65028</f>
        <v>-406293</v>
      </c>
      <c r="E12" s="5">
        <f t="shared" si="1"/>
        <v>673221</v>
      </c>
      <c r="F12" s="5">
        <v>0</v>
      </c>
      <c r="G12" s="5"/>
      <c r="H12" s="5">
        <f t="shared" si="2"/>
        <v>0</v>
      </c>
      <c r="I12" s="3">
        <f t="shared" ref="I12:I17" si="3">SUM(C12+F12)</f>
        <v>1079514</v>
      </c>
      <c r="J12" s="3">
        <f t="shared" ref="J12:K17" si="4">SUM(D12+G12)</f>
        <v>-406293</v>
      </c>
      <c r="K12" s="3">
        <f t="shared" si="4"/>
        <v>673221</v>
      </c>
    </row>
    <row r="13" spans="1:256" ht="31.5" x14ac:dyDescent="0.25">
      <c r="A13" s="12" t="s">
        <v>25</v>
      </c>
      <c r="B13" s="12"/>
      <c r="C13" s="5">
        <v>234160</v>
      </c>
      <c r="D13" s="5"/>
      <c r="E13" s="5">
        <f t="shared" si="1"/>
        <v>234160</v>
      </c>
      <c r="F13" s="5">
        <v>0</v>
      </c>
      <c r="G13" s="5"/>
      <c r="H13" s="5">
        <f t="shared" si="2"/>
        <v>0</v>
      </c>
      <c r="I13" s="3">
        <f t="shared" si="3"/>
        <v>234160</v>
      </c>
      <c r="J13" s="3">
        <f t="shared" si="4"/>
        <v>0</v>
      </c>
      <c r="K13" s="3">
        <f t="shared" si="4"/>
        <v>234160</v>
      </c>
    </row>
    <row r="14" spans="1:256" ht="31.5" x14ac:dyDescent="0.25">
      <c r="A14" s="12" t="s">
        <v>26</v>
      </c>
      <c r="B14" s="12"/>
      <c r="C14" s="5">
        <v>177000</v>
      </c>
      <c r="D14" s="5"/>
      <c r="E14" s="5">
        <f t="shared" si="1"/>
        <v>177000</v>
      </c>
      <c r="F14" s="5">
        <v>0</v>
      </c>
      <c r="G14" s="5"/>
      <c r="H14" s="5">
        <f t="shared" si="2"/>
        <v>0</v>
      </c>
      <c r="I14" s="3">
        <f t="shared" si="3"/>
        <v>177000</v>
      </c>
      <c r="J14" s="3">
        <f t="shared" si="4"/>
        <v>0</v>
      </c>
      <c r="K14" s="3">
        <f t="shared" si="4"/>
        <v>177000</v>
      </c>
    </row>
    <row r="15" spans="1:256" x14ac:dyDescent="0.25">
      <c r="A15" s="12" t="s">
        <v>785</v>
      </c>
      <c r="B15" s="12"/>
      <c r="C15" s="5">
        <v>30000</v>
      </c>
      <c r="D15" s="5"/>
      <c r="E15" s="5">
        <f t="shared" ref="E15" si="5">SUM(C15:D15)</f>
        <v>30000</v>
      </c>
      <c r="F15" s="5">
        <v>0</v>
      </c>
      <c r="G15" s="5"/>
      <c r="H15" s="5">
        <f t="shared" ref="H15" si="6">SUM(F15:G15)</f>
        <v>0</v>
      </c>
      <c r="I15" s="3">
        <f t="shared" si="3"/>
        <v>30000</v>
      </c>
      <c r="J15" s="3">
        <f t="shared" ref="J15" si="7">SUM(D15+G15)</f>
        <v>0</v>
      </c>
      <c r="K15" s="3">
        <f t="shared" ref="K15" si="8">SUM(E15+H15)</f>
        <v>30000</v>
      </c>
    </row>
    <row r="16" spans="1:256" x14ac:dyDescent="0.25">
      <c r="A16" s="12" t="s">
        <v>27</v>
      </c>
      <c r="B16" s="12"/>
      <c r="C16" s="5">
        <v>485391</v>
      </c>
      <c r="D16" s="5">
        <v>-485391</v>
      </c>
      <c r="E16" s="5">
        <f t="shared" si="1"/>
        <v>0</v>
      </c>
      <c r="F16" s="5">
        <v>0</v>
      </c>
      <c r="G16" s="5"/>
      <c r="H16" s="5">
        <f t="shared" si="2"/>
        <v>0</v>
      </c>
      <c r="I16" s="3">
        <f t="shared" si="3"/>
        <v>485391</v>
      </c>
      <c r="J16" s="3">
        <f t="shared" si="4"/>
        <v>-485391</v>
      </c>
      <c r="K16" s="3">
        <f t="shared" si="4"/>
        <v>0</v>
      </c>
    </row>
    <row r="17" spans="1:11" ht="42" customHeight="1" x14ac:dyDescent="0.25">
      <c r="A17" s="12" t="s">
        <v>316</v>
      </c>
      <c r="B17" s="12" t="s">
        <v>193</v>
      </c>
      <c r="C17" s="5">
        <v>0</v>
      </c>
      <c r="D17" s="5">
        <f>190989+17301</f>
        <v>208290</v>
      </c>
      <c r="E17" s="5">
        <f t="shared" si="1"/>
        <v>208290</v>
      </c>
      <c r="F17" s="5">
        <v>0</v>
      </c>
      <c r="G17" s="5"/>
      <c r="H17" s="5">
        <f t="shared" si="2"/>
        <v>0</v>
      </c>
      <c r="I17" s="3">
        <f t="shared" si="3"/>
        <v>0</v>
      </c>
      <c r="J17" s="3">
        <f t="shared" si="4"/>
        <v>208290</v>
      </c>
      <c r="K17" s="3">
        <f t="shared" si="4"/>
        <v>208290</v>
      </c>
    </row>
    <row r="18" spans="1:11" s="159" customFormat="1" ht="31.5" x14ac:dyDescent="0.25">
      <c r="A18" s="158" t="s">
        <v>188</v>
      </c>
      <c r="B18" s="158" t="s">
        <v>194</v>
      </c>
      <c r="C18" s="7">
        <f>SUM(C9:C11,C12,C17)</f>
        <v>5150869</v>
      </c>
      <c r="D18" s="7">
        <f t="shared" ref="D18:H18" si="9">SUM(D9:D11,D12,D17)</f>
        <v>123868</v>
      </c>
      <c r="E18" s="7">
        <f t="shared" si="9"/>
        <v>5274737</v>
      </c>
      <c r="F18" s="7">
        <f>SUM(F9:F11,F12,F17)</f>
        <v>0</v>
      </c>
      <c r="G18" s="7">
        <f t="shared" si="9"/>
        <v>0</v>
      </c>
      <c r="H18" s="7">
        <f t="shared" si="9"/>
        <v>0</v>
      </c>
      <c r="I18" s="7">
        <f>SUM(I9:I11,I12,I17)</f>
        <v>5150869</v>
      </c>
      <c r="J18" s="7">
        <f t="shared" ref="J18:K18" si="10">SUM(J9:J11,J12,J17)</f>
        <v>123868</v>
      </c>
      <c r="K18" s="7">
        <f t="shared" si="10"/>
        <v>5274737</v>
      </c>
    </row>
    <row r="19" spans="1:11" s="159" customFormat="1" ht="31.5" x14ac:dyDescent="0.25">
      <c r="A19" s="158" t="s">
        <v>226</v>
      </c>
      <c r="B19" s="158" t="s">
        <v>227</v>
      </c>
      <c r="C19" s="7">
        <v>70678</v>
      </c>
      <c r="D19" s="7">
        <f>485391+1020+2494+1293-1844</f>
        <v>488354</v>
      </c>
      <c r="E19" s="7">
        <f>SUM(C19:D19)</f>
        <v>559032</v>
      </c>
      <c r="F19" s="7">
        <v>1284893</v>
      </c>
      <c r="G19" s="7">
        <v>198864</v>
      </c>
      <c r="H19" s="7">
        <f>SUM(F19:G19)</f>
        <v>1483757</v>
      </c>
      <c r="I19" s="7">
        <f>SUM(C19+F19)</f>
        <v>1355571</v>
      </c>
      <c r="J19" s="7">
        <f>SUM(D19+G19)</f>
        <v>687218</v>
      </c>
      <c r="K19" s="7">
        <f>SUM(E19+H19)</f>
        <v>2042789</v>
      </c>
    </row>
    <row r="20" spans="1:11" ht="31.5" x14ac:dyDescent="0.25">
      <c r="A20" s="160" t="s">
        <v>228</v>
      </c>
      <c r="B20" s="160" t="s">
        <v>164</v>
      </c>
      <c r="C20" s="3">
        <f>SUM(C18+C19)</f>
        <v>5221547</v>
      </c>
      <c r="D20" s="3">
        <f t="shared" ref="D20:H20" si="11">SUM(D18+D19)</f>
        <v>612222</v>
      </c>
      <c r="E20" s="3">
        <f t="shared" si="11"/>
        <v>5833769</v>
      </c>
      <c r="F20" s="3">
        <f>SUM(F18+F19)</f>
        <v>1284893</v>
      </c>
      <c r="G20" s="3">
        <f t="shared" si="11"/>
        <v>198864</v>
      </c>
      <c r="H20" s="3">
        <f t="shared" si="11"/>
        <v>1483757</v>
      </c>
      <c r="I20" s="3">
        <f>SUM(I18+I19)</f>
        <v>6506440</v>
      </c>
      <c r="J20" s="3">
        <f t="shared" ref="J20:K20" si="12">SUM(J18+J19)</f>
        <v>811086</v>
      </c>
      <c r="K20" s="3">
        <f t="shared" si="12"/>
        <v>7317526</v>
      </c>
    </row>
    <row r="21" spans="1:11" s="162" customFormat="1" ht="31.5" x14ac:dyDescent="0.25">
      <c r="A21" s="158" t="s">
        <v>229</v>
      </c>
      <c r="B21" s="161" t="s">
        <v>195</v>
      </c>
      <c r="C21" s="81">
        <v>0</v>
      </c>
      <c r="D21" s="81"/>
      <c r="E21" s="81">
        <f>SUM(C21:D21)</f>
        <v>0</v>
      </c>
      <c r="F21" s="81">
        <v>0</v>
      </c>
      <c r="G21" s="81"/>
      <c r="H21" s="81">
        <f>SUM(F21:G21)</f>
        <v>0</v>
      </c>
      <c r="I21" s="7">
        <f>SUM(C21+F21)</f>
        <v>0</v>
      </c>
      <c r="J21" s="7">
        <f t="shared" ref="J21:K22" si="13">SUM(D21+G21)</f>
        <v>0</v>
      </c>
      <c r="K21" s="7">
        <f t="shared" si="13"/>
        <v>0</v>
      </c>
    </row>
    <row r="22" spans="1:11" s="162" customFormat="1" ht="31.5" x14ac:dyDescent="0.25">
      <c r="A22" s="158" t="s">
        <v>231</v>
      </c>
      <c r="B22" s="161" t="s">
        <v>230</v>
      </c>
      <c r="C22" s="81">
        <v>10604836</v>
      </c>
      <c r="D22" s="81">
        <f>-4168241+375500+750000-62420-9034+1844</f>
        <v>-3112351</v>
      </c>
      <c r="E22" s="81">
        <f>SUM(C22:D22)</f>
        <v>7492485</v>
      </c>
      <c r="F22" s="81">
        <v>0</v>
      </c>
      <c r="G22" s="81">
        <v>2866</v>
      </c>
      <c r="H22" s="81">
        <f>SUM(F22:G22)</f>
        <v>2866</v>
      </c>
      <c r="I22" s="7">
        <f>SUM(C22+F22)</f>
        <v>10604836</v>
      </c>
      <c r="J22" s="7">
        <f t="shared" si="13"/>
        <v>-3109485</v>
      </c>
      <c r="K22" s="7">
        <f t="shared" si="13"/>
        <v>7495351</v>
      </c>
    </row>
    <row r="23" spans="1:11" s="164" customFormat="1" ht="31.5" x14ac:dyDescent="0.25">
      <c r="A23" s="160" t="s">
        <v>232</v>
      </c>
      <c r="B23" s="163" t="s">
        <v>165</v>
      </c>
      <c r="C23" s="19">
        <f>SUM(C21+C22)</f>
        <v>10604836</v>
      </c>
      <c r="D23" s="19">
        <f t="shared" ref="D23:H23" si="14">SUM(D21+D22)</f>
        <v>-3112351</v>
      </c>
      <c r="E23" s="19">
        <f t="shared" si="14"/>
        <v>7492485</v>
      </c>
      <c r="F23" s="19">
        <f>SUM(F21+F22)</f>
        <v>0</v>
      </c>
      <c r="G23" s="19">
        <f t="shared" si="14"/>
        <v>2866</v>
      </c>
      <c r="H23" s="19">
        <f t="shared" si="14"/>
        <v>2866</v>
      </c>
      <c r="I23" s="19">
        <f>SUM(I21+I22)</f>
        <v>10604836</v>
      </c>
      <c r="J23" s="19">
        <f t="shared" ref="J23:K23" si="15">SUM(J21+J22)</f>
        <v>-3109485</v>
      </c>
      <c r="K23" s="19">
        <f t="shared" si="15"/>
        <v>7495351</v>
      </c>
    </row>
    <row r="24" spans="1:11" s="164" customFormat="1" ht="31.5" x14ac:dyDescent="0.25">
      <c r="A24" s="160" t="s">
        <v>1299</v>
      </c>
      <c r="B24" s="160" t="s">
        <v>1300</v>
      </c>
      <c r="C24" s="3">
        <v>0</v>
      </c>
      <c r="D24" s="3">
        <v>130</v>
      </c>
      <c r="E24" s="3">
        <f>SUM(C24:D24)</f>
        <v>130</v>
      </c>
      <c r="F24" s="3">
        <v>0</v>
      </c>
      <c r="G24" s="3"/>
      <c r="H24" s="3">
        <f>SUM(F24:G24)</f>
        <v>0</v>
      </c>
      <c r="I24" s="3">
        <f>SUM(F24+C24)</f>
        <v>0</v>
      </c>
      <c r="J24" s="3">
        <f t="shared" ref="J24" si="16">SUM(G24+D24)</f>
        <v>130</v>
      </c>
      <c r="K24" s="3">
        <f t="shared" ref="K24" si="17">SUM(H24+E24)</f>
        <v>130</v>
      </c>
    </row>
    <row r="25" spans="1:11" x14ac:dyDescent="0.25">
      <c r="A25" s="12" t="s">
        <v>1301</v>
      </c>
      <c r="B25" s="12" t="s">
        <v>196</v>
      </c>
      <c r="C25" s="2">
        <v>2300000</v>
      </c>
      <c r="D25" s="2"/>
      <c r="E25" s="2">
        <f>SUM(C25:D25)</f>
        <v>2300000</v>
      </c>
      <c r="F25" s="2">
        <v>0</v>
      </c>
      <c r="G25" s="2"/>
      <c r="H25" s="2">
        <f>SUM(F25:G25)</f>
        <v>0</v>
      </c>
      <c r="I25" s="3">
        <f>SUM(F25+C25)</f>
        <v>2300000</v>
      </c>
      <c r="J25" s="3">
        <f t="shared" ref="J25:K25" si="18">SUM(G25+D25)</f>
        <v>0</v>
      </c>
      <c r="K25" s="3">
        <f t="shared" si="18"/>
        <v>2300000</v>
      </c>
    </row>
    <row r="26" spans="1:11" s="159" customFormat="1" x14ac:dyDescent="0.25">
      <c r="A26" s="158" t="s">
        <v>1302</v>
      </c>
      <c r="B26" s="158" t="s">
        <v>196</v>
      </c>
      <c r="C26" s="7">
        <f>SUM(C25:C25)</f>
        <v>2300000</v>
      </c>
      <c r="D26" s="7">
        <f t="shared" ref="D26:H26" si="19">SUM(D25:D25)</f>
        <v>0</v>
      </c>
      <c r="E26" s="7">
        <f t="shared" si="19"/>
        <v>2300000</v>
      </c>
      <c r="F26" s="7">
        <f>SUM(F25:F25)</f>
        <v>0</v>
      </c>
      <c r="G26" s="7">
        <f t="shared" si="19"/>
        <v>0</v>
      </c>
      <c r="H26" s="7">
        <f t="shared" si="19"/>
        <v>0</v>
      </c>
      <c r="I26" s="7">
        <f>SUM(I25:I25)</f>
        <v>2300000</v>
      </c>
      <c r="J26" s="7">
        <f t="shared" ref="J26:K26" si="20">SUM(J25:J25)</f>
        <v>0</v>
      </c>
      <c r="K26" s="7">
        <f t="shared" si="20"/>
        <v>2300000</v>
      </c>
    </row>
    <row r="27" spans="1:11" x14ac:dyDescent="0.25">
      <c r="A27" s="12" t="s">
        <v>1303</v>
      </c>
      <c r="B27" s="12" t="s">
        <v>197</v>
      </c>
      <c r="C27" s="2">
        <v>14100000</v>
      </c>
      <c r="D27" s="2">
        <v>1402195</v>
      </c>
      <c r="E27" s="2">
        <f>SUM(C27:D27)</f>
        <v>15502195</v>
      </c>
      <c r="F27" s="2">
        <v>0</v>
      </c>
      <c r="G27" s="2"/>
      <c r="H27" s="2">
        <f>SUM(F27:G27)</f>
        <v>0</v>
      </c>
      <c r="I27" s="3">
        <f>SUM(F27+C27)</f>
        <v>14100000</v>
      </c>
      <c r="J27" s="3">
        <f t="shared" ref="J27:K27" si="21">SUM(G27+D27)</f>
        <v>1402195</v>
      </c>
      <c r="K27" s="3">
        <f t="shared" si="21"/>
        <v>15502195</v>
      </c>
    </row>
    <row r="28" spans="1:11" s="162" customFormat="1" x14ac:dyDescent="0.25">
      <c r="A28" s="158" t="s">
        <v>1304</v>
      </c>
      <c r="B28" s="158" t="s">
        <v>197</v>
      </c>
      <c r="C28" s="7">
        <f>SUM(C27)</f>
        <v>14100000</v>
      </c>
      <c r="D28" s="7">
        <f t="shared" ref="D28:H28" si="22">SUM(D27)</f>
        <v>1402195</v>
      </c>
      <c r="E28" s="7">
        <f t="shared" si="22"/>
        <v>15502195</v>
      </c>
      <c r="F28" s="7">
        <f>SUM(F27)</f>
        <v>0</v>
      </c>
      <c r="G28" s="7">
        <f t="shared" si="22"/>
        <v>0</v>
      </c>
      <c r="H28" s="7">
        <f t="shared" si="22"/>
        <v>0</v>
      </c>
      <c r="I28" s="7">
        <f>SUM(I27)</f>
        <v>14100000</v>
      </c>
      <c r="J28" s="7">
        <f t="shared" ref="J28:K28" si="23">SUM(J27)</f>
        <v>1402195</v>
      </c>
      <c r="K28" s="7">
        <f t="shared" si="23"/>
        <v>15502195</v>
      </c>
    </row>
    <row r="29" spans="1:11" s="162" customFormat="1" x14ac:dyDescent="0.25">
      <c r="A29" s="158" t="s">
        <v>1305</v>
      </c>
      <c r="B29" s="158" t="s">
        <v>198</v>
      </c>
      <c r="C29" s="7">
        <v>0</v>
      </c>
      <c r="D29" s="7"/>
      <c r="E29" s="7">
        <f>SUM(C29:D29)</f>
        <v>0</v>
      </c>
      <c r="F29" s="11">
        <v>0</v>
      </c>
      <c r="G29" s="11"/>
      <c r="H29" s="11">
        <f>SUM(F29:G29)</f>
        <v>0</v>
      </c>
      <c r="I29" s="7">
        <f>SUM(F29+C29)</f>
        <v>0</v>
      </c>
      <c r="J29" s="7">
        <f t="shared" ref="J29:K30" si="24">SUM(G29+D29)</f>
        <v>0</v>
      </c>
      <c r="K29" s="7">
        <f t="shared" si="24"/>
        <v>0</v>
      </c>
    </row>
    <row r="30" spans="1:11" x14ac:dyDescent="0.25">
      <c r="A30" s="12" t="s">
        <v>1306</v>
      </c>
      <c r="B30" s="12" t="s">
        <v>199</v>
      </c>
      <c r="C30" s="2">
        <v>13698</v>
      </c>
      <c r="D30" s="2">
        <v>2384</v>
      </c>
      <c r="E30" s="2">
        <f>SUM(C30:D30)</f>
        <v>16082</v>
      </c>
      <c r="F30" s="2"/>
      <c r="G30" s="2"/>
      <c r="H30" s="2">
        <f>SUM(F30:G30)</f>
        <v>0</v>
      </c>
      <c r="I30" s="3">
        <f>SUM(F30+C30)</f>
        <v>13698</v>
      </c>
      <c r="J30" s="3">
        <f t="shared" si="24"/>
        <v>2384</v>
      </c>
      <c r="K30" s="3">
        <f t="shared" si="24"/>
        <v>16082</v>
      </c>
    </row>
    <row r="31" spans="1:11" x14ac:dyDescent="0.25">
      <c r="A31" s="12" t="s">
        <v>1307</v>
      </c>
      <c r="B31" s="12" t="s">
        <v>199</v>
      </c>
      <c r="C31" s="2">
        <v>9000</v>
      </c>
      <c r="D31" s="2">
        <v>-9000</v>
      </c>
      <c r="E31" s="2">
        <f>SUM(C31:D31)</f>
        <v>0</v>
      </c>
      <c r="F31" s="2"/>
      <c r="G31" s="2"/>
      <c r="H31" s="2">
        <f>SUM(F31:G31)</f>
        <v>0</v>
      </c>
      <c r="I31" s="3">
        <f>SUM(F31+C31)</f>
        <v>9000</v>
      </c>
      <c r="J31" s="3">
        <f t="shared" ref="J31" si="25">SUM(G31+D31)</f>
        <v>-9000</v>
      </c>
      <c r="K31" s="3">
        <f t="shared" ref="K31" si="26">SUM(H31+E31)</f>
        <v>0</v>
      </c>
    </row>
    <row r="32" spans="1:11" s="162" customFormat="1" ht="31.5" x14ac:dyDescent="0.25">
      <c r="A32" s="158" t="s">
        <v>1308</v>
      </c>
      <c r="B32" s="158" t="s">
        <v>199</v>
      </c>
      <c r="C32" s="7">
        <f>SUM(C30:C31)</f>
        <v>22698</v>
      </c>
      <c r="D32" s="7">
        <f t="shared" ref="D32:E32" si="27">SUM(D30:D31)</f>
        <v>-6616</v>
      </c>
      <c r="E32" s="7">
        <f t="shared" si="27"/>
        <v>16082</v>
      </c>
      <c r="F32" s="7">
        <f t="shared" ref="F32" si="28">SUM(F30:F31)</f>
        <v>0</v>
      </c>
      <c r="G32" s="7">
        <f t="shared" ref="G32" si="29">SUM(G30:G31)</f>
        <v>0</v>
      </c>
      <c r="H32" s="7">
        <f t="shared" ref="H32" si="30">SUM(H30:H31)</f>
        <v>0</v>
      </c>
      <c r="I32" s="7">
        <f t="shared" ref="I32" si="31">SUM(I30:I31)</f>
        <v>22698</v>
      </c>
      <c r="J32" s="7">
        <f t="shared" ref="J32" si="32">SUM(J30:J31)</f>
        <v>-6616</v>
      </c>
      <c r="K32" s="7">
        <f t="shared" ref="K32" si="33">SUM(K30:K31)</f>
        <v>16082</v>
      </c>
    </row>
    <row r="33" spans="1:12" s="162" customFormat="1" ht="31.5" x14ac:dyDescent="0.25">
      <c r="A33" s="158" t="s">
        <v>1309</v>
      </c>
      <c r="B33" s="158" t="s">
        <v>200</v>
      </c>
      <c r="C33" s="7">
        <f>SUM(C32+C29+C28)</f>
        <v>14122698</v>
      </c>
      <c r="D33" s="7">
        <f t="shared" ref="D33:K33" si="34">SUM(D32+D29+D28)</f>
        <v>1395579</v>
      </c>
      <c r="E33" s="7">
        <f t="shared" si="34"/>
        <v>15518277</v>
      </c>
      <c r="F33" s="7">
        <f>SUM(F32+F29+F28)</f>
        <v>0</v>
      </c>
      <c r="G33" s="7">
        <f t="shared" si="34"/>
        <v>0</v>
      </c>
      <c r="H33" s="7">
        <f t="shared" si="34"/>
        <v>0</v>
      </c>
      <c r="I33" s="7">
        <f t="shared" si="34"/>
        <v>14122698</v>
      </c>
      <c r="J33" s="7">
        <f t="shared" si="34"/>
        <v>1395579</v>
      </c>
      <c r="K33" s="7">
        <f t="shared" si="34"/>
        <v>15518277</v>
      </c>
    </row>
    <row r="34" spans="1:12" x14ac:dyDescent="0.25">
      <c r="A34" s="12" t="s">
        <v>1310</v>
      </c>
      <c r="B34" s="12" t="s">
        <v>201</v>
      </c>
      <c r="C34" s="2">
        <v>5000</v>
      </c>
      <c r="D34" s="2">
        <v>35000</v>
      </c>
      <c r="E34" s="5">
        <f t="shared" ref="E34:E36" si="35">SUM(C34:D34)</f>
        <v>40000</v>
      </c>
      <c r="F34" s="2">
        <v>0</v>
      </c>
      <c r="G34" s="2"/>
      <c r="H34" s="5">
        <f t="shared" ref="H34:H36" si="36">SUM(F34:G34)</f>
        <v>0</v>
      </c>
      <c r="I34" s="2">
        <f t="shared" ref="I34:I36" si="37">SUM(F34+C34)</f>
        <v>5000</v>
      </c>
      <c r="J34" s="2">
        <f t="shared" ref="J34:J36" si="38">SUM(G34+D34)</f>
        <v>35000</v>
      </c>
      <c r="K34" s="2">
        <f t="shared" ref="K34:K36" si="39">SUM(H34+E34)</f>
        <v>40000</v>
      </c>
    </row>
    <row r="35" spans="1:12" ht="31.5" x14ac:dyDescent="0.25">
      <c r="A35" s="12" t="s">
        <v>1311</v>
      </c>
      <c r="B35" s="12" t="s">
        <v>201</v>
      </c>
      <c r="C35" s="2">
        <v>16300</v>
      </c>
      <c r="D35" s="2">
        <f>9000-3920-2000-700+1000</f>
        <v>3380</v>
      </c>
      <c r="E35" s="5">
        <f t="shared" si="35"/>
        <v>19680</v>
      </c>
      <c r="F35" s="2">
        <v>0</v>
      </c>
      <c r="G35" s="2"/>
      <c r="H35" s="5">
        <f t="shared" si="36"/>
        <v>0</v>
      </c>
      <c r="I35" s="2">
        <f t="shared" si="37"/>
        <v>16300</v>
      </c>
      <c r="J35" s="2">
        <f t="shared" si="38"/>
        <v>3380</v>
      </c>
      <c r="K35" s="2">
        <f t="shared" si="39"/>
        <v>19680</v>
      </c>
      <c r="L35" s="659"/>
    </row>
    <row r="36" spans="1:12" x14ac:dyDescent="0.25">
      <c r="A36" s="12" t="s">
        <v>1312</v>
      </c>
      <c r="B36" s="12" t="s">
        <v>201</v>
      </c>
      <c r="C36" s="2">
        <v>5000</v>
      </c>
      <c r="D36" s="2">
        <f>-600-4000</f>
        <v>-4600</v>
      </c>
      <c r="E36" s="5">
        <f t="shared" si="35"/>
        <v>400</v>
      </c>
      <c r="F36" s="2">
        <v>350</v>
      </c>
      <c r="G36" s="2">
        <v>190</v>
      </c>
      <c r="H36" s="5">
        <f t="shared" si="36"/>
        <v>540</v>
      </c>
      <c r="I36" s="2">
        <f t="shared" si="37"/>
        <v>5350</v>
      </c>
      <c r="J36" s="2">
        <f t="shared" si="38"/>
        <v>-4410</v>
      </c>
      <c r="K36" s="2">
        <f t="shared" si="39"/>
        <v>940</v>
      </c>
    </row>
    <row r="37" spans="1:12" s="162" customFormat="1" ht="31.5" x14ac:dyDescent="0.25">
      <c r="A37" s="158" t="s">
        <v>1313</v>
      </c>
      <c r="B37" s="158" t="s">
        <v>201</v>
      </c>
      <c r="C37" s="7">
        <f t="shared" ref="C37:K37" si="40">SUM(C34:C36)</f>
        <v>26300</v>
      </c>
      <c r="D37" s="7">
        <f t="shared" si="40"/>
        <v>33780</v>
      </c>
      <c r="E37" s="7">
        <f t="shared" si="40"/>
        <v>60080</v>
      </c>
      <c r="F37" s="7">
        <f t="shared" si="40"/>
        <v>350</v>
      </c>
      <c r="G37" s="7">
        <f t="shared" si="40"/>
        <v>190</v>
      </c>
      <c r="H37" s="7">
        <f t="shared" si="40"/>
        <v>540</v>
      </c>
      <c r="I37" s="7">
        <f t="shared" si="40"/>
        <v>26650</v>
      </c>
      <c r="J37" s="7">
        <f t="shared" si="40"/>
        <v>33970</v>
      </c>
      <c r="K37" s="7">
        <f t="shared" si="40"/>
        <v>60620</v>
      </c>
    </row>
    <row r="38" spans="1:12" s="659" customFormat="1" ht="31.5" x14ac:dyDescent="0.25">
      <c r="A38" s="160" t="s">
        <v>1314</v>
      </c>
      <c r="B38" s="160" t="s">
        <v>166</v>
      </c>
      <c r="C38" s="4">
        <f>SUM(C26+C33+C37+C24)</f>
        <v>16448998</v>
      </c>
      <c r="D38" s="4">
        <f t="shared" ref="D38:K38" si="41">SUM(D26+D33+D37+D24)</f>
        <v>1429489</v>
      </c>
      <c r="E38" s="4">
        <f t="shared" si="41"/>
        <v>17878487</v>
      </c>
      <c r="F38" s="4">
        <f t="shared" si="41"/>
        <v>350</v>
      </c>
      <c r="G38" s="4">
        <f t="shared" si="41"/>
        <v>190</v>
      </c>
      <c r="H38" s="4">
        <f t="shared" si="41"/>
        <v>540</v>
      </c>
      <c r="I38" s="4">
        <f t="shared" si="41"/>
        <v>16449348</v>
      </c>
      <c r="J38" s="4">
        <f t="shared" si="41"/>
        <v>1429679</v>
      </c>
      <c r="K38" s="4">
        <f t="shared" si="41"/>
        <v>17879027</v>
      </c>
    </row>
    <row r="39" spans="1:12" x14ac:dyDescent="0.25">
      <c r="A39" s="160" t="s">
        <v>1315</v>
      </c>
      <c r="B39" s="160" t="s">
        <v>167</v>
      </c>
      <c r="C39" s="4">
        <v>1740432</v>
      </c>
      <c r="D39" s="4">
        <v>-112084</v>
      </c>
      <c r="E39" s="4">
        <f>SUM(C39:D39)</f>
        <v>1628348</v>
      </c>
      <c r="F39" s="4">
        <v>1392333</v>
      </c>
      <c r="G39" s="4">
        <v>-199288</v>
      </c>
      <c r="H39" s="4">
        <f>SUM(F39:G39)</f>
        <v>1193045</v>
      </c>
      <c r="I39" s="4">
        <f t="shared" ref="I39:K40" si="42">SUM(C39+F39)</f>
        <v>3132765</v>
      </c>
      <c r="J39" s="4">
        <f t="shared" si="42"/>
        <v>-311372</v>
      </c>
      <c r="K39" s="4">
        <f t="shared" si="42"/>
        <v>2821393</v>
      </c>
    </row>
    <row r="40" spans="1:12" x14ac:dyDescent="0.25">
      <c r="A40" s="12" t="s">
        <v>210</v>
      </c>
      <c r="B40" s="12" t="s">
        <v>202</v>
      </c>
      <c r="C40" s="5">
        <v>919850</v>
      </c>
      <c r="D40" s="5">
        <v>-128958</v>
      </c>
      <c r="E40" s="5">
        <f>SUM(C40:D40)</f>
        <v>790892</v>
      </c>
      <c r="F40" s="632"/>
      <c r="G40" s="120"/>
      <c r="H40" s="120">
        <f>SUM(F40:G40)</f>
        <v>0</v>
      </c>
      <c r="I40" s="6">
        <f t="shared" si="42"/>
        <v>919850</v>
      </c>
      <c r="J40" s="6">
        <f t="shared" si="42"/>
        <v>-128958</v>
      </c>
      <c r="K40" s="6">
        <f t="shared" si="42"/>
        <v>790892</v>
      </c>
    </row>
    <row r="41" spans="1:12" x14ac:dyDescent="0.25">
      <c r="A41" s="12" t="s">
        <v>984</v>
      </c>
      <c r="B41" s="12" t="s">
        <v>202</v>
      </c>
      <c r="C41" s="5">
        <v>587500</v>
      </c>
      <c r="D41" s="5">
        <v>41835</v>
      </c>
      <c r="E41" s="5">
        <f>SUM(C41:D41)</f>
        <v>629335</v>
      </c>
      <c r="F41" s="633">
        <v>0</v>
      </c>
      <c r="G41" s="120">
        <v>0</v>
      </c>
      <c r="H41" s="120">
        <f>SUM(F41:G41)</f>
        <v>0</v>
      </c>
      <c r="I41" s="6">
        <f t="shared" ref="I41" si="43">SUM(C41+F41)</f>
        <v>587500</v>
      </c>
      <c r="J41" s="6">
        <f t="shared" ref="J41" si="44">SUM(D41+G41)</f>
        <v>41835</v>
      </c>
      <c r="K41" s="6">
        <f t="shared" ref="K41" si="45">SUM(E41+H41)</f>
        <v>629335</v>
      </c>
    </row>
    <row r="42" spans="1:12" ht="31.5" x14ac:dyDescent="0.25">
      <c r="A42" s="419" t="s">
        <v>211</v>
      </c>
      <c r="B42" s="12" t="s">
        <v>212</v>
      </c>
      <c r="C42" s="2">
        <v>181878</v>
      </c>
      <c r="D42" s="2">
        <v>-21136</v>
      </c>
      <c r="E42" s="5">
        <f t="shared" ref="E42:E45" si="46">SUM(C42:D42)</f>
        <v>160742</v>
      </c>
      <c r="F42" s="2">
        <v>418078</v>
      </c>
      <c r="G42" s="1">
        <v>-37781</v>
      </c>
      <c r="H42" s="120">
        <f t="shared" ref="H42:H45" si="47">SUM(F42:G42)</f>
        <v>380297</v>
      </c>
      <c r="I42" s="6">
        <f t="shared" ref="I42:I45" si="48">SUM(C42+F42)</f>
        <v>599956</v>
      </c>
      <c r="J42" s="6">
        <f t="shared" ref="J42:J45" si="49">SUM(D42+G42)</f>
        <v>-58917</v>
      </c>
      <c r="K42" s="6">
        <f t="shared" ref="K42:K45" si="50">SUM(E42+H42)</f>
        <v>541039</v>
      </c>
    </row>
    <row r="43" spans="1:12" x14ac:dyDescent="0.25">
      <c r="A43" s="419" t="s">
        <v>213</v>
      </c>
      <c r="B43" s="12" t="s">
        <v>203</v>
      </c>
      <c r="C43" s="2"/>
      <c r="D43" s="2">
        <v>1176</v>
      </c>
      <c r="E43" s="5">
        <f t="shared" si="46"/>
        <v>1176</v>
      </c>
      <c r="F43" s="2"/>
      <c r="G43" s="1"/>
      <c r="H43" s="120">
        <f t="shared" si="47"/>
        <v>0</v>
      </c>
      <c r="I43" s="6">
        <f t="shared" si="48"/>
        <v>0</v>
      </c>
      <c r="J43" s="6">
        <f t="shared" si="49"/>
        <v>1176</v>
      </c>
      <c r="K43" s="6">
        <f t="shared" si="50"/>
        <v>1176</v>
      </c>
    </row>
    <row r="44" spans="1:12" ht="30.75" customHeight="1" x14ac:dyDescent="0.25">
      <c r="A44" s="165" t="s">
        <v>1316</v>
      </c>
      <c r="B44" s="165" t="s">
        <v>204</v>
      </c>
      <c r="C44" s="420">
        <v>205000</v>
      </c>
      <c r="D44" s="420">
        <v>-119649</v>
      </c>
      <c r="E44" s="5">
        <f t="shared" ref="E44" si="51">SUM(C44:D44)</f>
        <v>85351</v>
      </c>
      <c r="F44" s="420">
        <v>0</v>
      </c>
      <c r="G44" s="420"/>
      <c r="H44" s="120">
        <f t="shared" ref="H44" si="52">SUM(F44:G44)</f>
        <v>0</v>
      </c>
      <c r="I44" s="6">
        <f t="shared" ref="I44" si="53">SUM(C44+F44)</f>
        <v>205000</v>
      </c>
      <c r="J44" s="6">
        <f t="shared" ref="J44" si="54">SUM(D44+G44)</f>
        <v>-119649</v>
      </c>
      <c r="K44" s="6">
        <f t="shared" ref="K44" si="55">SUM(E44+H44)</f>
        <v>85351</v>
      </c>
      <c r="L44" s="659"/>
    </row>
    <row r="45" spans="1:12" ht="30.75" customHeight="1" x14ac:dyDescent="0.25">
      <c r="A45" s="165" t="s">
        <v>1504</v>
      </c>
      <c r="B45" s="165" t="s">
        <v>204</v>
      </c>
      <c r="C45" s="420">
        <v>0</v>
      </c>
      <c r="D45" s="420">
        <v>0</v>
      </c>
      <c r="E45" s="5">
        <f t="shared" si="46"/>
        <v>0</v>
      </c>
      <c r="F45" s="420">
        <v>0</v>
      </c>
      <c r="G45" s="420">
        <v>4725</v>
      </c>
      <c r="H45" s="120">
        <f t="shared" si="47"/>
        <v>4725</v>
      </c>
      <c r="I45" s="6">
        <f t="shared" si="48"/>
        <v>0</v>
      </c>
      <c r="J45" s="6">
        <f t="shared" si="49"/>
        <v>4725</v>
      </c>
      <c r="K45" s="6">
        <f t="shared" si="50"/>
        <v>4725</v>
      </c>
      <c r="L45" s="659"/>
    </row>
    <row r="46" spans="1:12" ht="31.5" x14ac:dyDescent="0.25">
      <c r="A46" s="166" t="s">
        <v>1505</v>
      </c>
      <c r="B46" s="166" t="s">
        <v>168</v>
      </c>
      <c r="C46" s="3">
        <f>SUM(C44:C45)</f>
        <v>205000</v>
      </c>
      <c r="D46" s="3">
        <f t="shared" ref="D46:K46" si="56">SUM(D44:D45)</f>
        <v>-119649</v>
      </c>
      <c r="E46" s="3">
        <f t="shared" si="56"/>
        <v>85351</v>
      </c>
      <c r="F46" s="3">
        <f t="shared" si="56"/>
        <v>0</v>
      </c>
      <c r="G46" s="3">
        <f t="shared" si="56"/>
        <v>4725</v>
      </c>
      <c r="H46" s="3">
        <f t="shared" si="56"/>
        <v>4725</v>
      </c>
      <c r="I46" s="3">
        <f t="shared" si="56"/>
        <v>205000</v>
      </c>
      <c r="J46" s="3">
        <f t="shared" si="56"/>
        <v>-114924</v>
      </c>
      <c r="K46" s="3">
        <f t="shared" si="56"/>
        <v>90076</v>
      </c>
    </row>
    <row r="47" spans="1:12" x14ac:dyDescent="0.25">
      <c r="A47" s="167" t="s">
        <v>1317</v>
      </c>
      <c r="B47" s="167" t="s">
        <v>169</v>
      </c>
      <c r="C47" s="14">
        <v>125685</v>
      </c>
      <c r="D47" s="14">
        <v>102067</v>
      </c>
      <c r="E47" s="14">
        <f>SUM(C47:D47)</f>
        <v>227752</v>
      </c>
      <c r="F47" s="14">
        <v>50</v>
      </c>
      <c r="G47" s="14">
        <v>1870</v>
      </c>
      <c r="H47" s="14">
        <f>SUM(F47:G47)</f>
        <v>1920</v>
      </c>
      <c r="I47" s="3">
        <f>SUM(C47+F47)</f>
        <v>125735</v>
      </c>
      <c r="J47" s="3">
        <f t="shared" ref="J47:K48" si="57">SUM(D47+G47)</f>
        <v>103937</v>
      </c>
      <c r="K47" s="3">
        <f t="shared" si="57"/>
        <v>229672</v>
      </c>
    </row>
    <row r="48" spans="1:12" ht="16.5" thickBot="1" x14ac:dyDescent="0.3">
      <c r="A48" s="163" t="s">
        <v>1318</v>
      </c>
      <c r="B48" s="163" t="s">
        <v>170</v>
      </c>
      <c r="C48" s="71">
        <v>26411</v>
      </c>
      <c r="D48" s="71">
        <v>37315</v>
      </c>
      <c r="E48" s="14">
        <f>SUM(C48:D48)</f>
        <v>63726</v>
      </c>
      <c r="F48" s="71">
        <v>0</v>
      </c>
      <c r="G48" s="71">
        <v>1951</v>
      </c>
      <c r="H48" s="14">
        <f>SUM(F48:G48)</f>
        <v>1951</v>
      </c>
      <c r="I48" s="19">
        <f>SUM(C48+F48)</f>
        <v>26411</v>
      </c>
      <c r="J48" s="19">
        <f t="shared" si="57"/>
        <v>39266</v>
      </c>
      <c r="K48" s="19">
        <f t="shared" si="57"/>
        <v>65677</v>
      </c>
    </row>
    <row r="49" spans="1:13" ht="33" thickTop="1" thickBot="1" x14ac:dyDescent="0.3">
      <c r="A49" s="168" t="s">
        <v>1319</v>
      </c>
      <c r="B49" s="168"/>
      <c r="C49" s="21">
        <f t="shared" ref="C49:K49" si="58">SUM(C47+C39+C38+C20)</f>
        <v>23536662</v>
      </c>
      <c r="D49" s="21">
        <f t="shared" si="58"/>
        <v>2031694</v>
      </c>
      <c r="E49" s="21">
        <f t="shared" si="58"/>
        <v>25568356</v>
      </c>
      <c r="F49" s="21">
        <f t="shared" si="58"/>
        <v>2677626</v>
      </c>
      <c r="G49" s="21">
        <f t="shared" si="58"/>
        <v>1636</v>
      </c>
      <c r="H49" s="21">
        <f t="shared" si="58"/>
        <v>2679262</v>
      </c>
      <c r="I49" s="21">
        <f t="shared" si="58"/>
        <v>26214288</v>
      </c>
      <c r="J49" s="21">
        <f t="shared" si="58"/>
        <v>2033330</v>
      </c>
      <c r="K49" s="21">
        <f t="shared" si="58"/>
        <v>28247618</v>
      </c>
    </row>
    <row r="50" spans="1:13" ht="33" thickTop="1" thickBot="1" x14ac:dyDescent="0.3">
      <c r="A50" s="168" t="s">
        <v>1320</v>
      </c>
      <c r="B50" s="168"/>
      <c r="C50" s="21">
        <f t="shared" ref="C50:K50" si="59">SUM(C23+C48+C46)</f>
        <v>10836247</v>
      </c>
      <c r="D50" s="21">
        <f t="shared" si="59"/>
        <v>-3194685</v>
      </c>
      <c r="E50" s="21">
        <f t="shared" si="59"/>
        <v>7641562</v>
      </c>
      <c r="F50" s="21">
        <f t="shared" si="59"/>
        <v>0</v>
      </c>
      <c r="G50" s="21">
        <f t="shared" si="59"/>
        <v>9542</v>
      </c>
      <c r="H50" s="21">
        <f t="shared" si="59"/>
        <v>9542</v>
      </c>
      <c r="I50" s="21">
        <f t="shared" si="59"/>
        <v>10836247</v>
      </c>
      <c r="J50" s="21">
        <f t="shared" si="59"/>
        <v>-3185143</v>
      </c>
      <c r="K50" s="21">
        <f t="shared" si="59"/>
        <v>7651104</v>
      </c>
    </row>
    <row r="51" spans="1:13" ht="33" thickTop="1" thickBot="1" x14ac:dyDescent="0.3">
      <c r="A51" s="168" t="s">
        <v>1321</v>
      </c>
      <c r="B51" s="168" t="s">
        <v>272</v>
      </c>
      <c r="C51" s="16">
        <f>SUM(C49+C50)</f>
        <v>34372909</v>
      </c>
      <c r="D51" s="16">
        <f t="shared" ref="D51:H51" si="60">SUM(D49+D50)</f>
        <v>-1162991</v>
      </c>
      <c r="E51" s="16">
        <f t="shared" si="60"/>
        <v>33209918</v>
      </c>
      <c r="F51" s="16">
        <f t="shared" si="60"/>
        <v>2677626</v>
      </c>
      <c r="G51" s="16">
        <f t="shared" si="60"/>
        <v>11178</v>
      </c>
      <c r="H51" s="16">
        <f t="shared" si="60"/>
        <v>2688804</v>
      </c>
      <c r="I51" s="16">
        <f>SUM(I49+I50)</f>
        <v>37050535</v>
      </c>
      <c r="J51" s="16">
        <f t="shared" ref="J51:K51" si="61">SUM(J49+J50)</f>
        <v>-1151813</v>
      </c>
      <c r="K51" s="16">
        <f t="shared" si="61"/>
        <v>35898722</v>
      </c>
    </row>
    <row r="52" spans="1:13" ht="15.75" customHeight="1" thickTop="1" thickBot="1" x14ac:dyDescent="0.3">
      <c r="A52" s="240"/>
      <c r="B52" s="241"/>
      <c r="C52" s="23"/>
      <c r="D52" s="23"/>
      <c r="E52" s="23"/>
      <c r="F52" s="23"/>
      <c r="G52" s="23"/>
      <c r="H52" s="23"/>
      <c r="I52" s="24"/>
      <c r="J52" s="24"/>
      <c r="K52" s="24"/>
    </row>
    <row r="53" spans="1:13" ht="32.25" thickTop="1" x14ac:dyDescent="0.25">
      <c r="A53" s="170" t="s">
        <v>308</v>
      </c>
      <c r="B53" s="170"/>
      <c r="C53" s="104">
        <f>SUM(C54-C55)</f>
        <v>-15632171</v>
      </c>
      <c r="D53" s="242">
        <f t="shared" ref="D53:H53" si="62">SUM(D54-D55)</f>
        <v>-100311</v>
      </c>
      <c r="E53" s="104">
        <f t="shared" si="62"/>
        <v>-15732482</v>
      </c>
      <c r="F53" s="634">
        <f t="shared" si="62"/>
        <v>-12470119</v>
      </c>
      <c r="G53" s="242">
        <f t="shared" si="62"/>
        <v>100311</v>
      </c>
      <c r="H53" s="107">
        <f t="shared" si="62"/>
        <v>-12369808</v>
      </c>
      <c r="I53" s="635">
        <f>SUM(I54-I55)</f>
        <v>-28102290</v>
      </c>
      <c r="J53" s="107">
        <f t="shared" ref="J53:K53" si="63">SUM(J54-J55)</f>
        <v>0</v>
      </c>
      <c r="K53" s="107">
        <f t="shared" si="63"/>
        <v>-28102290</v>
      </c>
    </row>
    <row r="54" spans="1:13" s="159" customFormat="1" x14ac:dyDescent="0.25">
      <c r="A54" s="178" t="s">
        <v>215</v>
      </c>
      <c r="B54" s="178" t="s">
        <v>272</v>
      </c>
      <c r="C54" s="105">
        <f>SUM(C51)</f>
        <v>34372909</v>
      </c>
      <c r="D54" s="243">
        <f t="shared" ref="D54:H54" si="64">SUM(D51)</f>
        <v>-1162991</v>
      </c>
      <c r="E54" s="108">
        <f t="shared" si="64"/>
        <v>33209918</v>
      </c>
      <c r="F54" s="105">
        <f t="shared" si="64"/>
        <v>2677626</v>
      </c>
      <c r="G54" s="243">
        <f t="shared" si="64"/>
        <v>11178</v>
      </c>
      <c r="H54" s="108">
        <f t="shared" si="64"/>
        <v>2688804</v>
      </c>
      <c r="I54" s="636">
        <f>SUM(I51)</f>
        <v>37050535</v>
      </c>
      <c r="J54" s="108">
        <f t="shared" ref="J54:K54" si="65">SUM(J51)</f>
        <v>-1151813</v>
      </c>
      <c r="K54" s="108">
        <f t="shared" si="65"/>
        <v>35898722</v>
      </c>
    </row>
    <row r="55" spans="1:13" s="159" customFormat="1" x14ac:dyDescent="0.25">
      <c r="A55" s="178" t="s">
        <v>216</v>
      </c>
      <c r="B55" s="178" t="s">
        <v>268</v>
      </c>
      <c r="C55" s="642">
        <f>'4 kiadás(szűkített)'!C22</f>
        <v>50005080</v>
      </c>
      <c r="D55" s="637">
        <f>'4 kiadás(szűkített)'!D22</f>
        <v>-1062680</v>
      </c>
      <c r="E55" s="109">
        <f>'4 kiadás(szűkített)'!E22</f>
        <v>48942400</v>
      </c>
      <c r="F55" s="660">
        <f>'4 kiadás(szűkített)'!F22</f>
        <v>15147745</v>
      </c>
      <c r="G55" s="637">
        <f>'4 kiadás(szűkített)'!G22</f>
        <v>-89133</v>
      </c>
      <c r="H55" s="109">
        <f>'4 kiadás(szűkített)'!H22</f>
        <v>15058612</v>
      </c>
      <c r="I55" s="638">
        <f>SUM(C55+F55)</f>
        <v>65152825</v>
      </c>
      <c r="J55" s="109">
        <f>SUM(D55+G55)</f>
        <v>-1151813</v>
      </c>
      <c r="K55" s="109">
        <f>SUM(E55+H55)</f>
        <v>64001012</v>
      </c>
    </row>
    <row r="56" spans="1:13" s="159" customFormat="1" x14ac:dyDescent="0.25">
      <c r="A56" s="178"/>
      <c r="B56" s="178"/>
      <c r="C56" s="637"/>
      <c r="D56" s="106"/>
      <c r="E56" s="109"/>
      <c r="F56" s="637"/>
      <c r="G56" s="244"/>
      <c r="H56" s="109"/>
      <c r="I56" s="638"/>
      <c r="J56" s="109"/>
      <c r="K56" s="109"/>
    </row>
    <row r="57" spans="1:13" x14ac:dyDescent="0.25">
      <c r="A57" s="180" t="s">
        <v>455</v>
      </c>
      <c r="B57" s="180"/>
      <c r="C57" s="75">
        <f>SUM(C62-C63)</f>
        <v>15632171</v>
      </c>
      <c r="D57" s="117">
        <f t="shared" ref="D57:K57" si="66">SUM(D62-D63)</f>
        <v>100311</v>
      </c>
      <c r="E57" s="110">
        <f t="shared" si="66"/>
        <v>15732482</v>
      </c>
      <c r="F57" s="117">
        <f t="shared" si="66"/>
        <v>12470119</v>
      </c>
      <c r="G57" s="245">
        <f t="shared" si="66"/>
        <v>-100311</v>
      </c>
      <c r="H57" s="119">
        <f t="shared" si="66"/>
        <v>12369808</v>
      </c>
      <c r="I57" s="110">
        <f t="shared" si="66"/>
        <v>28102290</v>
      </c>
      <c r="J57" s="110">
        <f t="shared" si="66"/>
        <v>0</v>
      </c>
      <c r="K57" s="110">
        <f t="shared" si="66"/>
        <v>28102290</v>
      </c>
    </row>
    <row r="58" spans="1:13" ht="31.5" x14ac:dyDescent="0.25">
      <c r="A58" s="27" t="s">
        <v>179</v>
      </c>
      <c r="B58" s="27"/>
      <c r="C58" s="74">
        <v>10804185</v>
      </c>
      <c r="D58" s="25"/>
      <c r="E58" s="92">
        <f>SUM(C58:D58)</f>
        <v>10804185</v>
      </c>
      <c r="F58" s="118">
        <v>818486</v>
      </c>
      <c r="G58" s="246"/>
      <c r="H58" s="92">
        <f>SUM(F58:G58)</f>
        <v>818486</v>
      </c>
      <c r="I58" s="93">
        <f>SUM(C58)+F58</f>
        <v>11622671</v>
      </c>
      <c r="J58" s="92">
        <f t="shared" ref="J58:K60" si="67">SUM(D58+G58)</f>
        <v>0</v>
      </c>
      <c r="K58" s="92">
        <f t="shared" si="67"/>
        <v>11622671</v>
      </c>
      <c r="M58" s="428"/>
    </row>
    <row r="59" spans="1:13" ht="31.5" x14ac:dyDescent="0.25">
      <c r="A59" s="27" t="s">
        <v>171</v>
      </c>
      <c r="B59" s="27"/>
      <c r="C59" s="74">
        <v>16613611</v>
      </c>
      <c r="D59" s="25"/>
      <c r="E59" s="92">
        <f>SUM(C59:D59)</f>
        <v>16613611</v>
      </c>
      <c r="F59" s="118">
        <v>29974</v>
      </c>
      <c r="G59" s="246"/>
      <c r="H59" s="92">
        <f>SUM(F59:G59)</f>
        <v>29974</v>
      </c>
      <c r="I59" s="93">
        <f>SUM(C59)+F59</f>
        <v>16643585</v>
      </c>
      <c r="J59" s="92">
        <f t="shared" si="67"/>
        <v>0</v>
      </c>
      <c r="K59" s="92">
        <f t="shared" si="67"/>
        <v>16643585</v>
      </c>
    </row>
    <row r="60" spans="1:13" x14ac:dyDescent="0.25">
      <c r="A60" s="27" t="s">
        <v>172</v>
      </c>
      <c r="B60" s="27" t="s">
        <v>214</v>
      </c>
      <c r="C60" s="74">
        <f t="shared" ref="C60:H60" si="68">SUM(C58:C59)</f>
        <v>27417796</v>
      </c>
      <c r="D60" s="25">
        <f t="shared" si="68"/>
        <v>0</v>
      </c>
      <c r="E60" s="92">
        <f t="shared" si="68"/>
        <v>27417796</v>
      </c>
      <c r="F60" s="118">
        <f t="shared" si="68"/>
        <v>848460</v>
      </c>
      <c r="G60" s="246">
        <f t="shared" si="68"/>
        <v>0</v>
      </c>
      <c r="H60" s="92">
        <f t="shared" si="68"/>
        <v>848460</v>
      </c>
      <c r="I60" s="93">
        <f>SUM(C60+F60)</f>
        <v>28266256</v>
      </c>
      <c r="J60" s="92">
        <f t="shared" si="67"/>
        <v>0</v>
      </c>
      <c r="K60" s="92">
        <f t="shared" si="67"/>
        <v>28266256</v>
      </c>
      <c r="M60" s="428"/>
    </row>
    <row r="61" spans="1:13" x14ac:dyDescent="0.25">
      <c r="A61" s="183" t="s">
        <v>309</v>
      </c>
      <c r="B61" s="183" t="s">
        <v>310</v>
      </c>
      <c r="C61" s="639"/>
      <c r="D61" s="247"/>
      <c r="E61" s="111"/>
      <c r="F61" s="640">
        <v>11621659</v>
      </c>
      <c r="G61" s="248">
        <v>-100311</v>
      </c>
      <c r="H61" s="111">
        <f>SUM(F61:G61)</f>
        <v>11521348</v>
      </c>
      <c r="I61" s="641">
        <f t="shared" ref="I61:K61" si="69">SUM(C61+F61)</f>
        <v>11621659</v>
      </c>
      <c r="J61" s="111">
        <f t="shared" si="69"/>
        <v>-100311</v>
      </c>
      <c r="K61" s="111">
        <f t="shared" si="69"/>
        <v>11521348</v>
      </c>
    </row>
    <row r="62" spans="1:13" x14ac:dyDescent="0.25">
      <c r="A62" s="183" t="s">
        <v>799</v>
      </c>
      <c r="B62" s="183" t="s">
        <v>173</v>
      </c>
      <c r="C62" s="639">
        <f>SUM(C60+C61)</f>
        <v>27417796</v>
      </c>
      <c r="D62" s="247">
        <f t="shared" ref="D62:K62" si="70">SUM(D60+D61)</f>
        <v>0</v>
      </c>
      <c r="E62" s="111">
        <f t="shared" si="70"/>
        <v>27417796</v>
      </c>
      <c r="F62" s="640">
        <f t="shared" si="70"/>
        <v>12470119</v>
      </c>
      <c r="G62" s="248">
        <f t="shared" si="70"/>
        <v>-100311</v>
      </c>
      <c r="H62" s="111">
        <f t="shared" si="70"/>
        <v>12369808</v>
      </c>
      <c r="I62" s="641">
        <f t="shared" si="70"/>
        <v>39887915</v>
      </c>
      <c r="J62" s="111">
        <f t="shared" si="70"/>
        <v>-100311</v>
      </c>
      <c r="K62" s="111">
        <f t="shared" si="70"/>
        <v>39787604</v>
      </c>
    </row>
    <row r="63" spans="1:13" s="159" customFormat="1" x14ac:dyDescent="0.25">
      <c r="A63" s="184" t="s">
        <v>800</v>
      </c>
      <c r="B63" s="184" t="s">
        <v>209</v>
      </c>
      <c r="C63" s="642">
        <f>'4 kiadás(szűkített)'!C25</f>
        <v>11785625</v>
      </c>
      <c r="D63" s="662">
        <f>'4 kiadás(szűkített)'!D25</f>
        <v>-100311</v>
      </c>
      <c r="E63" s="108">
        <f>'4 kiadás(szűkített)'!E25</f>
        <v>11685314</v>
      </c>
      <c r="F63" s="105">
        <f>'4 kiadás(szűkített)'!F25</f>
        <v>0</v>
      </c>
      <c r="G63" s="243">
        <f>'4 kiadás(szűkített)'!G25</f>
        <v>0</v>
      </c>
      <c r="H63" s="108">
        <f>'4 kiadás(szűkített)'!H25</f>
        <v>0</v>
      </c>
      <c r="I63" s="636">
        <f>SUM(C63+F63)</f>
        <v>11785625</v>
      </c>
      <c r="J63" s="108">
        <f>SUM(D63+G63)</f>
        <v>-100311</v>
      </c>
      <c r="K63" s="108">
        <f t="shared" ref="K63" si="71">SUM(E63:H63)</f>
        <v>11685314</v>
      </c>
    </row>
    <row r="64" spans="1:13" s="193" customFormat="1" ht="16.5" thickBot="1" x14ac:dyDescent="0.3">
      <c r="A64" s="185" t="s">
        <v>456</v>
      </c>
      <c r="B64" s="185"/>
      <c r="C64" s="191">
        <f>SUM(C53+C57)</f>
        <v>0</v>
      </c>
      <c r="D64" s="187">
        <f t="shared" ref="D64:K64" si="72">SUM(D53+D57)</f>
        <v>0</v>
      </c>
      <c r="E64" s="189">
        <f t="shared" si="72"/>
        <v>0</v>
      </c>
      <c r="F64" s="191">
        <f t="shared" si="72"/>
        <v>0</v>
      </c>
      <c r="G64" s="187">
        <f t="shared" si="72"/>
        <v>0</v>
      </c>
      <c r="H64" s="189">
        <f t="shared" si="72"/>
        <v>0</v>
      </c>
      <c r="I64" s="191">
        <f t="shared" si="72"/>
        <v>0</v>
      </c>
      <c r="J64" s="191">
        <f t="shared" si="72"/>
        <v>0</v>
      </c>
      <c r="K64" s="185">
        <f t="shared" si="72"/>
        <v>0</v>
      </c>
    </row>
    <row r="65" spans="1:11" s="193" customFormat="1" ht="16.5" thickTop="1" x14ac:dyDescent="0.25"/>
    <row r="66" spans="1:11" s="193" customFormat="1" x14ac:dyDescent="0.25"/>
    <row r="67" spans="1:11" s="193" customFormat="1" x14ac:dyDescent="0.25"/>
    <row r="68" spans="1:11" s="193" customFormat="1" x14ac:dyDescent="0.25">
      <c r="A68" s="195"/>
      <c r="B68" s="195"/>
    </row>
    <row r="69" spans="1:11" s="196" customFormat="1" x14ac:dyDescent="0.25">
      <c r="A69" s="24"/>
      <c r="B69" s="24"/>
      <c r="C69" s="193"/>
      <c r="D69" s="193"/>
      <c r="E69" s="193"/>
      <c r="F69" s="193"/>
      <c r="G69" s="193"/>
      <c r="H69" s="193"/>
      <c r="I69" s="193"/>
      <c r="J69" s="193"/>
      <c r="K69" s="193"/>
    </row>
    <row r="70" spans="1:11" s="196" customFormat="1" x14ac:dyDescent="0.25">
      <c r="A70" s="197"/>
      <c r="B70" s="197"/>
      <c r="C70" s="193"/>
      <c r="D70" s="193"/>
      <c r="E70" s="193"/>
      <c r="F70" s="193"/>
      <c r="G70" s="193"/>
      <c r="H70" s="193"/>
      <c r="I70" s="193"/>
      <c r="J70" s="193"/>
      <c r="K70" s="193"/>
    </row>
    <row r="71" spans="1:11" s="196" customFormat="1" x14ac:dyDescent="0.25">
      <c r="A71" s="198"/>
      <c r="B71" s="198"/>
    </row>
    <row r="72" spans="1:11" s="196" customFormat="1" x14ac:dyDescent="0.25">
      <c r="A72" s="199"/>
      <c r="B72" s="199"/>
    </row>
    <row r="73" spans="1:11" s="196" customFormat="1" x14ac:dyDescent="0.25">
      <c r="A73" s="200"/>
      <c r="B73" s="200"/>
    </row>
    <row r="74" spans="1:11" s="196" customFormat="1" x14ac:dyDescent="0.25">
      <c r="A74" s="198"/>
      <c r="B74" s="198"/>
    </row>
    <row r="75" spans="1:11" s="196" customFormat="1" x14ac:dyDescent="0.25">
      <c r="A75" s="199"/>
      <c r="B75" s="199"/>
    </row>
    <row r="76" spans="1:11" s="196" customFormat="1" x14ac:dyDescent="0.25">
      <c r="A76" s="199"/>
      <c r="B76" s="199"/>
    </row>
    <row r="77" spans="1:11" s="196" customFormat="1" x14ac:dyDescent="0.25">
      <c r="A77" s="198"/>
      <c r="B77" s="198"/>
    </row>
    <row r="78" spans="1:11" s="196" customFormat="1" x14ac:dyDescent="0.25">
      <c r="A78" s="199"/>
      <c r="B78" s="199"/>
    </row>
    <row r="79" spans="1:11" s="196" customFormat="1" x14ac:dyDescent="0.25">
      <c r="A79" s="199"/>
      <c r="B79" s="199"/>
    </row>
    <row r="80" spans="1:11" s="196" customFormat="1" x14ac:dyDescent="0.25">
      <c r="A80" s="199"/>
      <c r="B80" s="199"/>
    </row>
    <row r="81" spans="1:11" s="196" customFormat="1" x14ac:dyDescent="0.25">
      <c r="A81" s="199"/>
      <c r="B81" s="199"/>
    </row>
    <row r="82" spans="1:11" s="196" customFormat="1" x14ac:dyDescent="0.25">
      <c r="A82" s="198"/>
      <c r="B82" s="198"/>
    </row>
    <row r="83" spans="1:11" s="196" customFormat="1" x14ac:dyDescent="0.25">
      <c r="A83" s="199"/>
      <c r="B83" s="199"/>
    </row>
    <row r="84" spans="1:11" s="196" customFormat="1" x14ac:dyDescent="0.25">
      <c r="A84" s="199"/>
      <c r="B84" s="199"/>
    </row>
    <row r="85" spans="1:11" s="196" customFormat="1" x14ac:dyDescent="0.25">
      <c r="A85" s="199"/>
      <c r="B85" s="199"/>
    </row>
    <row r="86" spans="1:11" s="196" customFormat="1" x14ac:dyDescent="0.25">
      <c r="A86" s="199"/>
      <c r="B86" s="199"/>
    </row>
    <row r="87" spans="1:11" s="196" customFormat="1" x14ac:dyDescent="0.25">
      <c r="A87" s="199"/>
      <c r="B87" s="199"/>
    </row>
    <row r="88" spans="1:11" x14ac:dyDescent="0.25">
      <c r="A88" s="199"/>
      <c r="B88" s="199"/>
      <c r="C88" s="196"/>
      <c r="D88" s="196"/>
      <c r="E88" s="196"/>
      <c r="F88" s="196"/>
      <c r="G88" s="196"/>
      <c r="H88" s="196"/>
      <c r="I88" s="196"/>
      <c r="J88" s="196"/>
      <c r="K88" s="196"/>
    </row>
    <row r="89" spans="1:11" x14ac:dyDescent="0.25">
      <c r="A89" s="199"/>
      <c r="B89" s="199"/>
      <c r="C89" s="196"/>
      <c r="D89" s="196"/>
      <c r="E89" s="196"/>
      <c r="F89" s="196"/>
      <c r="G89" s="196"/>
      <c r="H89" s="196"/>
      <c r="I89" s="196"/>
      <c r="J89" s="196"/>
      <c r="K89" s="196"/>
    </row>
    <row r="90" spans="1:11" x14ac:dyDescent="0.25">
      <c r="A90" s="201"/>
      <c r="B90" s="201"/>
    </row>
    <row r="91" spans="1:11" x14ac:dyDescent="0.25">
      <c r="A91" s="201"/>
      <c r="B91" s="201"/>
    </row>
    <row r="92" spans="1:11" x14ac:dyDescent="0.25">
      <c r="A92" s="201"/>
      <c r="B92" s="201"/>
    </row>
    <row r="93" spans="1:11" x14ac:dyDescent="0.25">
      <c r="A93" s="201"/>
      <c r="B93" s="201"/>
    </row>
    <row r="94" spans="1:11" x14ac:dyDescent="0.25">
      <c r="A94" s="201"/>
      <c r="B94" s="201"/>
    </row>
    <row r="95" spans="1:11" x14ac:dyDescent="0.25">
      <c r="A95" s="201"/>
      <c r="B95" s="201"/>
    </row>
    <row r="96" spans="1:11" x14ac:dyDescent="0.25">
      <c r="A96" s="201"/>
      <c r="B96" s="201"/>
    </row>
    <row r="97" spans="1:2" x14ac:dyDescent="0.25">
      <c r="A97" s="201"/>
      <c r="B97" s="201"/>
    </row>
    <row r="98" spans="1:2" x14ac:dyDescent="0.25">
      <c r="A98" s="201"/>
      <c r="B98" s="201"/>
    </row>
    <row r="99" spans="1:2" x14ac:dyDescent="0.25">
      <c r="A99" s="201"/>
      <c r="B99" s="201"/>
    </row>
    <row r="100" spans="1:2" x14ac:dyDescent="0.25">
      <c r="A100" s="201"/>
      <c r="B100" s="201"/>
    </row>
    <row r="101" spans="1:2" x14ac:dyDescent="0.25">
      <c r="A101" s="201"/>
      <c r="B101" s="201"/>
    </row>
    <row r="102" spans="1:2" x14ac:dyDescent="0.25">
      <c r="A102" s="201"/>
      <c r="B102" s="201"/>
    </row>
    <row r="103" spans="1:2" x14ac:dyDescent="0.25">
      <c r="A103" s="201"/>
      <c r="B103" s="201"/>
    </row>
    <row r="104" spans="1:2" x14ac:dyDescent="0.25">
      <c r="A104" s="201"/>
      <c r="B104" s="201"/>
    </row>
    <row r="105" spans="1:2" x14ac:dyDescent="0.25">
      <c r="A105" s="201"/>
      <c r="B105" s="201"/>
    </row>
    <row r="106" spans="1:2" x14ac:dyDescent="0.25">
      <c r="A106" s="201"/>
      <c r="B106" s="201"/>
    </row>
    <row r="107" spans="1:2" x14ac:dyDescent="0.25">
      <c r="A107" s="201"/>
      <c r="B107" s="201"/>
    </row>
    <row r="108" spans="1:2" x14ac:dyDescent="0.25">
      <c r="A108" s="201"/>
      <c r="B108" s="201"/>
    </row>
    <row r="109" spans="1:2" x14ac:dyDescent="0.25">
      <c r="A109" s="201"/>
      <c r="B109" s="201"/>
    </row>
    <row r="110" spans="1:2" x14ac:dyDescent="0.25">
      <c r="A110" s="201"/>
      <c r="B110" s="201"/>
    </row>
    <row r="111" spans="1:2" x14ac:dyDescent="0.25">
      <c r="A111" s="201"/>
      <c r="B111" s="201"/>
    </row>
    <row r="112" spans="1:2" x14ac:dyDescent="0.25">
      <c r="A112" s="201"/>
      <c r="B112" s="201"/>
    </row>
    <row r="113" spans="1:2" x14ac:dyDescent="0.25">
      <c r="A113" s="201"/>
      <c r="B113" s="201"/>
    </row>
    <row r="114" spans="1:2" x14ac:dyDescent="0.25">
      <c r="A114" s="201"/>
      <c r="B114" s="201"/>
    </row>
    <row r="115" spans="1:2" x14ac:dyDescent="0.25">
      <c r="A115" s="201"/>
      <c r="B115" s="201"/>
    </row>
    <row r="116" spans="1:2" x14ac:dyDescent="0.25">
      <c r="A116" s="201"/>
      <c r="B116" s="201"/>
    </row>
    <row r="117" spans="1:2" x14ac:dyDescent="0.25">
      <c r="A117" s="201"/>
      <c r="B117" s="201"/>
    </row>
    <row r="118" spans="1:2" x14ac:dyDescent="0.25">
      <c r="A118" s="201"/>
      <c r="B118" s="201"/>
    </row>
    <row r="119" spans="1:2" x14ac:dyDescent="0.25">
      <c r="A119" s="201"/>
      <c r="B119" s="201"/>
    </row>
    <row r="120" spans="1:2" x14ac:dyDescent="0.25">
      <c r="A120" s="201"/>
      <c r="B120" s="201"/>
    </row>
    <row r="121" spans="1:2" x14ac:dyDescent="0.25">
      <c r="A121" s="201"/>
      <c r="B121" s="201"/>
    </row>
    <row r="122" spans="1:2" x14ac:dyDescent="0.25">
      <c r="A122" s="201"/>
      <c r="B122" s="201"/>
    </row>
    <row r="123" spans="1:2" x14ac:dyDescent="0.25">
      <c r="A123" s="201"/>
      <c r="B123" s="201"/>
    </row>
    <row r="124" spans="1:2" x14ac:dyDescent="0.25">
      <c r="A124" s="201"/>
      <c r="B124" s="201"/>
    </row>
    <row r="125" spans="1:2" x14ac:dyDescent="0.25">
      <c r="A125" s="201"/>
      <c r="B125" s="201"/>
    </row>
    <row r="126" spans="1:2" x14ac:dyDescent="0.25">
      <c r="A126" s="201"/>
      <c r="B126" s="201"/>
    </row>
    <row r="127" spans="1:2" x14ac:dyDescent="0.25">
      <c r="A127" s="201"/>
      <c r="B127" s="201"/>
    </row>
    <row r="128" spans="1:2" x14ac:dyDescent="0.25">
      <c r="A128" s="201"/>
      <c r="B128" s="201"/>
    </row>
    <row r="129" spans="1:2" x14ac:dyDescent="0.25">
      <c r="A129" s="201"/>
      <c r="B129" s="201"/>
    </row>
    <row r="130" spans="1:2" x14ac:dyDescent="0.25">
      <c r="A130" s="201"/>
      <c r="B130" s="201"/>
    </row>
    <row r="131" spans="1:2" x14ac:dyDescent="0.25">
      <c r="A131" s="201"/>
      <c r="B131" s="201"/>
    </row>
    <row r="132" spans="1:2" x14ac:dyDescent="0.25">
      <c r="A132" s="201"/>
      <c r="B132" s="201"/>
    </row>
    <row r="133" spans="1:2" x14ac:dyDescent="0.25">
      <c r="A133" s="201"/>
      <c r="B133" s="201"/>
    </row>
    <row r="134" spans="1:2" x14ac:dyDescent="0.25">
      <c r="A134" s="201"/>
      <c r="B134" s="201"/>
    </row>
    <row r="135" spans="1:2" x14ac:dyDescent="0.25">
      <c r="A135" s="201"/>
      <c r="B135" s="201"/>
    </row>
    <row r="136" spans="1:2" x14ac:dyDescent="0.25">
      <c r="A136" s="201"/>
      <c r="B136" s="201"/>
    </row>
    <row r="137" spans="1:2" x14ac:dyDescent="0.25">
      <c r="A137" s="201"/>
      <c r="B137" s="201"/>
    </row>
    <row r="138" spans="1:2" x14ac:dyDescent="0.25">
      <c r="A138" s="201"/>
      <c r="B138" s="201"/>
    </row>
    <row r="139" spans="1:2" x14ac:dyDescent="0.25">
      <c r="A139" s="201"/>
      <c r="B139" s="201"/>
    </row>
    <row r="140" spans="1:2" x14ac:dyDescent="0.25">
      <c r="A140" s="201"/>
      <c r="B140" s="201"/>
    </row>
    <row r="141" spans="1:2" x14ac:dyDescent="0.25">
      <c r="A141" s="201"/>
      <c r="B141" s="201"/>
    </row>
    <row r="142" spans="1:2" x14ac:dyDescent="0.25">
      <c r="A142" s="201"/>
      <c r="B142" s="201"/>
    </row>
    <row r="143" spans="1:2" x14ac:dyDescent="0.25">
      <c r="A143" s="201"/>
      <c r="B143" s="201"/>
    </row>
    <row r="144" spans="1:2" x14ac:dyDescent="0.25">
      <c r="A144" s="201"/>
      <c r="B144" s="201"/>
    </row>
    <row r="145" spans="1:2" x14ac:dyDescent="0.25">
      <c r="A145" s="201"/>
      <c r="B145" s="201"/>
    </row>
    <row r="146" spans="1:2" x14ac:dyDescent="0.25">
      <c r="A146" s="201"/>
      <c r="B146" s="201"/>
    </row>
    <row r="147" spans="1:2" x14ac:dyDescent="0.25">
      <c r="A147" s="201"/>
      <c r="B147" s="201"/>
    </row>
    <row r="148" spans="1:2" x14ac:dyDescent="0.25">
      <c r="A148" s="201"/>
      <c r="B148" s="201"/>
    </row>
    <row r="149" spans="1:2" x14ac:dyDescent="0.25">
      <c r="A149" s="201"/>
      <c r="B149" s="201"/>
    </row>
    <row r="150" spans="1:2" x14ac:dyDescent="0.25">
      <c r="A150" s="201"/>
      <c r="B150" s="201"/>
    </row>
    <row r="151" spans="1:2" x14ac:dyDescent="0.25">
      <c r="A151" s="201"/>
      <c r="B151" s="201"/>
    </row>
    <row r="152" spans="1:2" x14ac:dyDescent="0.25">
      <c r="A152" s="201"/>
      <c r="B152" s="201"/>
    </row>
    <row r="153" spans="1:2" x14ac:dyDescent="0.25">
      <c r="A153" s="201"/>
      <c r="B153" s="201"/>
    </row>
    <row r="154" spans="1:2" x14ac:dyDescent="0.25">
      <c r="A154" s="201"/>
      <c r="B154" s="201"/>
    </row>
    <row r="155" spans="1:2" x14ac:dyDescent="0.25">
      <c r="A155" s="201"/>
      <c r="B155" s="201"/>
    </row>
    <row r="156" spans="1:2" x14ac:dyDescent="0.25">
      <c r="A156" s="201"/>
      <c r="B156" s="201"/>
    </row>
    <row r="157" spans="1:2" x14ac:dyDescent="0.25">
      <c r="A157" s="201"/>
      <c r="B157" s="201"/>
    </row>
    <row r="158" spans="1:2" x14ac:dyDescent="0.25">
      <c r="A158" s="201"/>
      <c r="B158" s="201"/>
    </row>
    <row r="159" spans="1:2" x14ac:dyDescent="0.25">
      <c r="A159" s="201"/>
      <c r="B159" s="201"/>
    </row>
    <row r="160" spans="1:2" x14ac:dyDescent="0.25">
      <c r="A160" s="201"/>
      <c r="B160" s="201"/>
    </row>
    <row r="161" spans="1:2" x14ac:dyDescent="0.25">
      <c r="A161" s="201"/>
      <c r="B161" s="201"/>
    </row>
    <row r="162" spans="1:2" x14ac:dyDescent="0.25">
      <c r="A162" s="201"/>
      <c r="B162" s="201"/>
    </row>
    <row r="163" spans="1:2" x14ac:dyDescent="0.25">
      <c r="A163" s="201"/>
      <c r="B163" s="201"/>
    </row>
    <row r="164" spans="1:2" x14ac:dyDescent="0.25">
      <c r="A164" s="201"/>
      <c r="B164" s="201"/>
    </row>
    <row r="165" spans="1:2" x14ac:dyDescent="0.25">
      <c r="A165" s="201"/>
      <c r="B165" s="201"/>
    </row>
    <row r="166" spans="1:2" x14ac:dyDescent="0.25">
      <c r="A166" s="201"/>
      <c r="B166" s="201"/>
    </row>
    <row r="167" spans="1:2" x14ac:dyDescent="0.25">
      <c r="A167" s="201"/>
      <c r="B167" s="201"/>
    </row>
    <row r="168" spans="1:2" x14ac:dyDescent="0.25">
      <c r="A168" s="201"/>
      <c r="B168" s="201"/>
    </row>
    <row r="169" spans="1:2" x14ac:dyDescent="0.25">
      <c r="A169" s="201"/>
      <c r="B169" s="201"/>
    </row>
    <row r="170" spans="1:2" x14ac:dyDescent="0.25">
      <c r="A170" s="201"/>
      <c r="B170" s="201"/>
    </row>
    <row r="171" spans="1:2" x14ac:dyDescent="0.25">
      <c r="A171" s="201"/>
      <c r="B171" s="201"/>
    </row>
    <row r="172" spans="1:2" x14ac:dyDescent="0.25">
      <c r="A172" s="201"/>
      <c r="B172" s="201"/>
    </row>
    <row r="173" spans="1:2" x14ac:dyDescent="0.25">
      <c r="A173" s="201"/>
      <c r="B173" s="201"/>
    </row>
    <row r="174" spans="1:2" x14ac:dyDescent="0.25">
      <c r="A174" s="201"/>
      <c r="B174" s="201"/>
    </row>
    <row r="175" spans="1:2" x14ac:dyDescent="0.25">
      <c r="A175" s="201"/>
      <c r="B175" s="201"/>
    </row>
    <row r="176" spans="1:2" x14ac:dyDescent="0.25">
      <c r="A176" s="201"/>
      <c r="B176" s="201"/>
    </row>
    <row r="177" spans="1:2" x14ac:dyDescent="0.25">
      <c r="A177" s="201"/>
      <c r="B177" s="201"/>
    </row>
    <row r="178" spans="1:2" x14ac:dyDescent="0.25">
      <c r="A178" s="201"/>
      <c r="B178" s="201"/>
    </row>
    <row r="179" spans="1:2" x14ac:dyDescent="0.25">
      <c r="A179" s="201"/>
      <c r="B179" s="201"/>
    </row>
    <row r="180" spans="1:2" x14ac:dyDescent="0.25">
      <c r="A180" s="201"/>
      <c r="B180" s="201"/>
    </row>
    <row r="181" spans="1:2" x14ac:dyDescent="0.25">
      <c r="A181" s="201"/>
      <c r="B181" s="201"/>
    </row>
    <row r="182" spans="1:2" x14ac:dyDescent="0.25">
      <c r="A182" s="201"/>
      <c r="B182" s="201"/>
    </row>
    <row r="183" spans="1:2" x14ac:dyDescent="0.25">
      <c r="A183" s="201"/>
      <c r="B183" s="201"/>
    </row>
    <row r="184" spans="1:2" x14ac:dyDescent="0.25">
      <c r="A184" s="201"/>
      <c r="B184" s="201"/>
    </row>
    <row r="185" spans="1:2" x14ac:dyDescent="0.25">
      <c r="A185" s="201"/>
      <c r="B185" s="201"/>
    </row>
    <row r="186" spans="1:2" x14ac:dyDescent="0.25">
      <c r="A186" s="201"/>
      <c r="B186" s="201"/>
    </row>
    <row r="187" spans="1:2" x14ac:dyDescent="0.25">
      <c r="A187" s="201"/>
      <c r="B187" s="201"/>
    </row>
    <row r="188" spans="1:2" x14ac:dyDescent="0.25">
      <c r="A188" s="201"/>
      <c r="B188" s="201"/>
    </row>
    <row r="189" spans="1:2" x14ac:dyDescent="0.25">
      <c r="A189" s="201"/>
      <c r="B189" s="201"/>
    </row>
    <row r="190" spans="1:2" x14ac:dyDescent="0.25">
      <c r="A190" s="201"/>
      <c r="B190" s="201"/>
    </row>
    <row r="191" spans="1:2" x14ac:dyDescent="0.25">
      <c r="A191" s="201"/>
      <c r="B191" s="201"/>
    </row>
    <row r="192" spans="1:2" x14ac:dyDescent="0.25">
      <c r="A192" s="201"/>
      <c r="B192" s="201"/>
    </row>
    <row r="193" spans="1:2" x14ac:dyDescent="0.25">
      <c r="A193" s="201"/>
      <c r="B193" s="201"/>
    </row>
    <row r="194" spans="1:2" x14ac:dyDescent="0.25">
      <c r="A194" s="201"/>
      <c r="B194" s="201"/>
    </row>
    <row r="195" spans="1:2" x14ac:dyDescent="0.25">
      <c r="A195" s="201"/>
      <c r="B195" s="201"/>
    </row>
    <row r="196" spans="1:2" x14ac:dyDescent="0.25">
      <c r="A196" s="201"/>
      <c r="B196" s="201"/>
    </row>
    <row r="197" spans="1:2" x14ac:dyDescent="0.25">
      <c r="A197" s="201"/>
      <c r="B197" s="201"/>
    </row>
    <row r="198" spans="1:2" x14ac:dyDescent="0.25">
      <c r="A198" s="201"/>
      <c r="B198" s="201"/>
    </row>
    <row r="199" spans="1:2" x14ac:dyDescent="0.25">
      <c r="A199" s="201"/>
      <c r="B199" s="201"/>
    </row>
    <row r="200" spans="1:2" x14ac:dyDescent="0.25">
      <c r="A200" s="201"/>
      <c r="B200" s="201"/>
    </row>
    <row r="201" spans="1:2" x14ac:dyDescent="0.25">
      <c r="A201" s="201"/>
      <c r="B201" s="201"/>
    </row>
    <row r="202" spans="1:2" x14ac:dyDescent="0.25">
      <c r="A202" s="201"/>
      <c r="B202" s="201"/>
    </row>
    <row r="203" spans="1:2" x14ac:dyDescent="0.25">
      <c r="A203" s="201"/>
      <c r="B203" s="201"/>
    </row>
    <row r="204" spans="1:2" x14ac:dyDescent="0.25">
      <c r="A204" s="201"/>
      <c r="B204" s="201"/>
    </row>
    <row r="205" spans="1:2" x14ac:dyDescent="0.25">
      <c r="A205" s="201"/>
      <c r="B205" s="201"/>
    </row>
    <row r="206" spans="1:2" x14ac:dyDescent="0.25">
      <c r="A206" s="201"/>
      <c r="B206" s="201"/>
    </row>
    <row r="207" spans="1:2" x14ac:dyDescent="0.25">
      <c r="A207" s="201"/>
      <c r="B207" s="201"/>
    </row>
    <row r="208" spans="1:2" x14ac:dyDescent="0.25">
      <c r="A208" s="201"/>
      <c r="B208" s="201"/>
    </row>
    <row r="209" spans="1:2" x14ac:dyDescent="0.25">
      <c r="A209" s="201"/>
      <c r="B209" s="201"/>
    </row>
    <row r="210" spans="1:2" x14ac:dyDescent="0.25">
      <c r="A210" s="201"/>
      <c r="B210" s="201"/>
    </row>
    <row r="211" spans="1:2" x14ac:dyDescent="0.25">
      <c r="A211" s="201"/>
      <c r="B211" s="201"/>
    </row>
    <row r="212" spans="1:2" x14ac:dyDescent="0.25">
      <c r="A212" s="201"/>
      <c r="B212" s="201"/>
    </row>
    <row r="213" spans="1:2" x14ac:dyDescent="0.25">
      <c r="A213" s="201"/>
      <c r="B213" s="201"/>
    </row>
    <row r="214" spans="1:2" x14ac:dyDescent="0.25">
      <c r="A214" s="201"/>
      <c r="B214" s="201"/>
    </row>
    <row r="215" spans="1:2" x14ac:dyDescent="0.25">
      <c r="A215" s="201"/>
      <c r="B215" s="201"/>
    </row>
    <row r="216" spans="1:2" x14ac:dyDescent="0.25">
      <c r="A216" s="201"/>
      <c r="B216" s="201"/>
    </row>
    <row r="217" spans="1:2" x14ac:dyDescent="0.25">
      <c r="A217" s="201"/>
      <c r="B217" s="201"/>
    </row>
    <row r="218" spans="1:2" x14ac:dyDescent="0.25">
      <c r="A218" s="201"/>
      <c r="B218" s="201"/>
    </row>
    <row r="219" spans="1:2" x14ac:dyDescent="0.25">
      <c r="A219" s="201"/>
      <c r="B219" s="201"/>
    </row>
    <row r="220" spans="1:2" x14ac:dyDescent="0.25">
      <c r="A220" s="201"/>
      <c r="B220" s="201"/>
    </row>
    <row r="221" spans="1:2" x14ac:dyDescent="0.25">
      <c r="A221" s="201"/>
      <c r="B221" s="201"/>
    </row>
    <row r="222" spans="1:2" x14ac:dyDescent="0.25">
      <c r="A222" s="201"/>
      <c r="B222" s="201"/>
    </row>
    <row r="223" spans="1:2" x14ac:dyDescent="0.25">
      <c r="A223" s="201"/>
      <c r="B223" s="201"/>
    </row>
    <row r="224" spans="1:2" x14ac:dyDescent="0.25">
      <c r="A224" s="201"/>
      <c r="B224" s="201"/>
    </row>
    <row r="225" spans="1:2" x14ac:dyDescent="0.25">
      <c r="A225" s="201"/>
      <c r="B225" s="201"/>
    </row>
    <row r="226" spans="1:2" x14ac:dyDescent="0.25">
      <c r="A226" s="201"/>
      <c r="B226" s="201"/>
    </row>
    <row r="227" spans="1:2" x14ac:dyDescent="0.25">
      <c r="A227" s="201"/>
      <c r="B227" s="201"/>
    </row>
    <row r="228" spans="1:2" x14ac:dyDescent="0.25">
      <c r="A228" s="201"/>
      <c r="B228" s="201"/>
    </row>
    <row r="229" spans="1:2" x14ac:dyDescent="0.25">
      <c r="A229" s="201"/>
      <c r="B229" s="201"/>
    </row>
    <row r="230" spans="1:2" x14ac:dyDescent="0.25">
      <c r="A230" s="201"/>
      <c r="B230" s="201"/>
    </row>
    <row r="231" spans="1:2" x14ac:dyDescent="0.25">
      <c r="A231" s="201"/>
      <c r="B231" s="201"/>
    </row>
    <row r="232" spans="1:2" x14ac:dyDescent="0.25">
      <c r="A232" s="201"/>
      <c r="B232" s="201"/>
    </row>
    <row r="233" spans="1:2" x14ac:dyDescent="0.25">
      <c r="A233" s="201"/>
      <c r="B233" s="201"/>
    </row>
    <row r="234" spans="1:2" x14ac:dyDescent="0.25">
      <c r="A234" s="201"/>
      <c r="B234" s="201"/>
    </row>
    <row r="235" spans="1:2" x14ac:dyDescent="0.25">
      <c r="A235" s="201"/>
      <c r="B235" s="201"/>
    </row>
    <row r="236" spans="1:2" x14ac:dyDescent="0.25">
      <c r="A236" s="201"/>
      <c r="B236" s="201"/>
    </row>
    <row r="237" spans="1:2" x14ac:dyDescent="0.25">
      <c r="A237" s="201"/>
      <c r="B237" s="201"/>
    </row>
    <row r="238" spans="1:2" x14ac:dyDescent="0.25">
      <c r="A238" s="201"/>
      <c r="B238" s="201"/>
    </row>
    <row r="239" spans="1:2" x14ac:dyDescent="0.25">
      <c r="A239" s="201"/>
      <c r="B239" s="201"/>
    </row>
    <row r="240" spans="1:2" x14ac:dyDescent="0.25">
      <c r="A240" s="201"/>
      <c r="B240" s="201"/>
    </row>
    <row r="241" spans="1:2" x14ac:dyDescent="0.25">
      <c r="A241" s="201"/>
      <c r="B241" s="201"/>
    </row>
    <row r="242" spans="1:2" x14ac:dyDescent="0.25">
      <c r="A242" s="201"/>
      <c r="B242" s="201"/>
    </row>
    <row r="243" spans="1:2" x14ac:dyDescent="0.25">
      <c r="A243" s="201"/>
      <c r="B243" s="201"/>
    </row>
    <row r="244" spans="1:2" x14ac:dyDescent="0.25">
      <c r="A244" s="201"/>
      <c r="B244" s="201"/>
    </row>
    <row r="245" spans="1:2" x14ac:dyDescent="0.25">
      <c r="A245" s="201"/>
      <c r="B245" s="201"/>
    </row>
    <row r="246" spans="1:2" x14ac:dyDescent="0.25">
      <c r="A246" s="201"/>
      <c r="B246" s="201"/>
    </row>
    <row r="247" spans="1:2" x14ac:dyDescent="0.25">
      <c r="A247" s="201"/>
      <c r="B247" s="201"/>
    </row>
    <row r="248" spans="1:2" x14ac:dyDescent="0.25">
      <c r="A248" s="201"/>
      <c r="B248" s="201"/>
    </row>
    <row r="249" spans="1:2" x14ac:dyDescent="0.25">
      <c r="A249" s="201"/>
      <c r="B249" s="201"/>
    </row>
    <row r="250" spans="1:2" x14ac:dyDescent="0.25">
      <c r="A250" s="201"/>
      <c r="B250" s="201"/>
    </row>
    <row r="251" spans="1:2" x14ac:dyDescent="0.25">
      <c r="A251" s="201"/>
      <c r="B251" s="201"/>
    </row>
    <row r="252" spans="1:2" x14ac:dyDescent="0.25">
      <c r="A252" s="201"/>
      <c r="B252" s="201"/>
    </row>
    <row r="253" spans="1:2" x14ac:dyDescent="0.25">
      <c r="A253" s="201"/>
      <c r="B253" s="201"/>
    </row>
    <row r="254" spans="1:2" x14ac:dyDescent="0.25">
      <c r="A254" s="201"/>
      <c r="B254" s="201"/>
    </row>
    <row r="255" spans="1:2" x14ac:dyDescent="0.25">
      <c r="A255" s="201"/>
      <c r="B255" s="201"/>
    </row>
    <row r="256" spans="1:2" x14ac:dyDescent="0.25">
      <c r="A256" s="201"/>
      <c r="B256" s="201"/>
    </row>
    <row r="257" spans="1:2" x14ac:dyDescent="0.25">
      <c r="A257" s="201"/>
      <c r="B257" s="201"/>
    </row>
    <row r="258" spans="1:2" x14ac:dyDescent="0.25">
      <c r="A258" s="201"/>
      <c r="B258" s="201"/>
    </row>
    <row r="259" spans="1:2" x14ac:dyDescent="0.25">
      <c r="A259" s="201"/>
      <c r="B259" s="201"/>
    </row>
    <row r="260" spans="1:2" x14ac:dyDescent="0.25">
      <c r="A260" s="201"/>
      <c r="B260" s="201"/>
    </row>
    <row r="261" spans="1:2" x14ac:dyDescent="0.25">
      <c r="A261" s="201"/>
      <c r="B261" s="201"/>
    </row>
    <row r="262" spans="1:2" x14ac:dyDescent="0.25">
      <c r="A262" s="201"/>
      <c r="B262" s="201"/>
    </row>
    <row r="263" spans="1:2" x14ac:dyDescent="0.25">
      <c r="A263" s="201"/>
      <c r="B263" s="201"/>
    </row>
    <row r="264" spans="1:2" x14ac:dyDescent="0.25">
      <c r="A264" s="201"/>
      <c r="B264" s="201"/>
    </row>
    <row r="265" spans="1:2" x14ac:dyDescent="0.25">
      <c r="A265" s="201"/>
      <c r="B265" s="201"/>
    </row>
    <row r="266" spans="1:2" x14ac:dyDescent="0.25">
      <c r="A266" s="201"/>
      <c r="B266" s="201"/>
    </row>
    <row r="267" spans="1:2" x14ac:dyDescent="0.25">
      <c r="A267" s="201"/>
      <c r="B267" s="201"/>
    </row>
    <row r="268" spans="1:2" x14ac:dyDescent="0.25">
      <c r="A268" s="201"/>
      <c r="B268" s="201"/>
    </row>
    <row r="269" spans="1:2" x14ac:dyDescent="0.25">
      <c r="A269" s="201"/>
      <c r="B269" s="201"/>
    </row>
    <row r="270" spans="1:2" x14ac:dyDescent="0.25">
      <c r="A270" s="201"/>
      <c r="B270" s="201"/>
    </row>
    <row r="271" spans="1:2" x14ac:dyDescent="0.25">
      <c r="A271" s="201"/>
      <c r="B271" s="201"/>
    </row>
    <row r="272" spans="1:2" x14ac:dyDescent="0.25">
      <c r="A272" s="201"/>
      <c r="B272" s="201"/>
    </row>
    <row r="273" spans="1:2" x14ac:dyDescent="0.25">
      <c r="A273" s="201"/>
      <c r="B273" s="201"/>
    </row>
    <row r="274" spans="1:2" x14ac:dyDescent="0.25">
      <c r="A274" s="201"/>
      <c r="B274" s="201"/>
    </row>
    <row r="275" spans="1:2" x14ac:dyDescent="0.25">
      <c r="A275" s="201"/>
      <c r="B275" s="201"/>
    </row>
    <row r="276" spans="1:2" x14ac:dyDescent="0.25">
      <c r="A276" s="201"/>
      <c r="B276" s="201"/>
    </row>
    <row r="277" spans="1:2" x14ac:dyDescent="0.25">
      <c r="A277" s="201"/>
      <c r="B277" s="201"/>
    </row>
    <row r="278" spans="1:2" x14ac:dyDescent="0.25">
      <c r="A278" s="201"/>
      <c r="B278" s="201"/>
    </row>
    <row r="279" spans="1:2" x14ac:dyDescent="0.25">
      <c r="A279" s="201"/>
      <c r="B279" s="201"/>
    </row>
    <row r="280" spans="1:2" x14ac:dyDescent="0.25">
      <c r="A280" s="201"/>
      <c r="B280" s="201"/>
    </row>
    <row r="281" spans="1:2" x14ac:dyDescent="0.25">
      <c r="A281" s="201"/>
      <c r="B281" s="201"/>
    </row>
    <row r="282" spans="1:2" x14ac:dyDescent="0.25">
      <c r="A282" s="201"/>
      <c r="B282" s="201"/>
    </row>
    <row r="283" spans="1:2" x14ac:dyDescent="0.25">
      <c r="A283" s="201"/>
      <c r="B283" s="201"/>
    </row>
    <row r="284" spans="1:2" x14ac:dyDescent="0.25">
      <c r="A284" s="201"/>
      <c r="B284" s="201"/>
    </row>
    <row r="285" spans="1:2" x14ac:dyDescent="0.25">
      <c r="A285" s="201"/>
      <c r="B285" s="201"/>
    </row>
    <row r="286" spans="1:2" x14ac:dyDescent="0.25">
      <c r="A286" s="201"/>
      <c r="B286" s="201"/>
    </row>
    <row r="287" spans="1:2" x14ac:dyDescent="0.25">
      <c r="A287" s="201"/>
      <c r="B287" s="201"/>
    </row>
    <row r="288" spans="1:2" x14ac:dyDescent="0.25">
      <c r="A288" s="201"/>
      <c r="B288" s="201"/>
    </row>
    <row r="289" spans="1:2" x14ac:dyDescent="0.25">
      <c r="A289" s="201"/>
      <c r="B289" s="201"/>
    </row>
    <row r="290" spans="1:2" x14ac:dyDescent="0.25">
      <c r="A290" s="201"/>
      <c r="B290" s="201"/>
    </row>
    <row r="291" spans="1:2" x14ac:dyDescent="0.25">
      <c r="A291" s="201"/>
      <c r="B291" s="201"/>
    </row>
    <row r="292" spans="1:2" x14ac:dyDescent="0.25">
      <c r="A292" s="201"/>
      <c r="B292" s="201"/>
    </row>
    <row r="293" spans="1:2" x14ac:dyDescent="0.25">
      <c r="A293" s="201"/>
      <c r="B293" s="201"/>
    </row>
    <row r="294" spans="1:2" x14ac:dyDescent="0.25">
      <c r="A294" s="201"/>
      <c r="B294" s="201"/>
    </row>
    <row r="295" spans="1:2" x14ac:dyDescent="0.25">
      <c r="A295" s="201"/>
      <c r="B295" s="201"/>
    </row>
    <row r="296" spans="1:2" x14ac:dyDescent="0.25">
      <c r="A296" s="201"/>
      <c r="B296" s="201"/>
    </row>
    <row r="297" spans="1:2" x14ac:dyDescent="0.25">
      <c r="A297" s="201"/>
      <c r="B297" s="201"/>
    </row>
    <row r="298" spans="1:2" x14ac:dyDescent="0.25">
      <c r="A298" s="201"/>
      <c r="B298" s="201"/>
    </row>
    <row r="299" spans="1:2" x14ac:dyDescent="0.25">
      <c r="A299" s="201"/>
      <c r="B299" s="201"/>
    </row>
    <row r="300" spans="1:2" x14ac:dyDescent="0.25">
      <c r="A300" s="201"/>
      <c r="B300" s="201"/>
    </row>
    <row r="301" spans="1:2" x14ac:dyDescent="0.25">
      <c r="A301" s="201"/>
      <c r="B301" s="201"/>
    </row>
    <row r="302" spans="1:2" x14ac:dyDescent="0.25">
      <c r="A302" s="201"/>
      <c r="B302" s="201"/>
    </row>
    <row r="303" spans="1:2" x14ac:dyDescent="0.25">
      <c r="A303" s="201"/>
      <c r="B303" s="201"/>
    </row>
    <row r="304" spans="1:2" x14ac:dyDescent="0.25">
      <c r="A304" s="201"/>
      <c r="B304" s="201"/>
    </row>
    <row r="305" spans="1:2" x14ac:dyDescent="0.25">
      <c r="A305" s="201"/>
      <c r="B305" s="201"/>
    </row>
    <row r="306" spans="1:2" x14ac:dyDescent="0.25">
      <c r="A306" s="201"/>
      <c r="B306" s="201"/>
    </row>
    <row r="307" spans="1:2" x14ac:dyDescent="0.25">
      <c r="A307" s="201"/>
      <c r="B307" s="201"/>
    </row>
    <row r="308" spans="1:2" x14ac:dyDescent="0.25">
      <c r="A308" s="201"/>
      <c r="B308" s="201"/>
    </row>
    <row r="309" spans="1:2" x14ac:dyDescent="0.25">
      <c r="A309" s="201"/>
      <c r="B309" s="201"/>
    </row>
    <row r="310" spans="1:2" x14ac:dyDescent="0.25">
      <c r="A310" s="201"/>
      <c r="B310" s="201"/>
    </row>
    <row r="311" spans="1:2" x14ac:dyDescent="0.25">
      <c r="A311" s="201"/>
      <c r="B311" s="201"/>
    </row>
    <row r="312" spans="1:2" x14ac:dyDescent="0.25">
      <c r="A312" s="201"/>
      <c r="B312" s="201"/>
    </row>
    <row r="313" spans="1:2" x14ac:dyDescent="0.25">
      <c r="A313" s="201"/>
      <c r="B313" s="201"/>
    </row>
    <row r="314" spans="1:2" x14ac:dyDescent="0.25">
      <c r="A314" s="201"/>
      <c r="B314" s="201"/>
    </row>
    <row r="315" spans="1:2" x14ac:dyDescent="0.25">
      <c r="A315" s="201"/>
      <c r="B315" s="201"/>
    </row>
    <row r="316" spans="1:2" x14ac:dyDescent="0.25">
      <c r="A316" s="201"/>
      <c r="B316" s="201"/>
    </row>
    <row r="317" spans="1:2" x14ac:dyDescent="0.25">
      <c r="A317" s="201"/>
      <c r="B317" s="201"/>
    </row>
    <row r="318" spans="1:2" x14ac:dyDescent="0.25">
      <c r="A318" s="201"/>
      <c r="B318" s="201"/>
    </row>
    <row r="319" spans="1:2" x14ac:dyDescent="0.25">
      <c r="A319" s="201"/>
      <c r="B319" s="201"/>
    </row>
    <row r="320" spans="1:2" x14ac:dyDescent="0.25">
      <c r="A320" s="201"/>
      <c r="B320" s="201"/>
    </row>
    <row r="321" spans="1:2" x14ac:dyDescent="0.25">
      <c r="A321" s="201"/>
      <c r="B321" s="201"/>
    </row>
    <row r="322" spans="1:2" x14ac:dyDescent="0.25">
      <c r="A322" s="201"/>
      <c r="B322" s="201"/>
    </row>
    <row r="323" spans="1:2" x14ac:dyDescent="0.25">
      <c r="A323" s="201"/>
      <c r="B323" s="201"/>
    </row>
    <row r="324" spans="1:2" x14ac:dyDescent="0.25">
      <c r="A324" s="201"/>
      <c r="B324" s="201"/>
    </row>
    <row r="325" spans="1:2" x14ac:dyDescent="0.25">
      <c r="A325" s="201"/>
      <c r="B325" s="201"/>
    </row>
    <row r="326" spans="1:2" x14ac:dyDescent="0.25">
      <c r="A326" s="201"/>
      <c r="B326" s="201"/>
    </row>
    <row r="327" spans="1:2" x14ac:dyDescent="0.25">
      <c r="A327" s="201"/>
      <c r="B327" s="201"/>
    </row>
    <row r="328" spans="1:2" x14ac:dyDescent="0.25">
      <c r="A328" s="201"/>
      <c r="B328" s="201"/>
    </row>
    <row r="329" spans="1:2" x14ac:dyDescent="0.25">
      <c r="A329" s="201"/>
      <c r="B329" s="201"/>
    </row>
    <row r="330" spans="1:2" x14ac:dyDescent="0.25">
      <c r="A330" s="201"/>
      <c r="B330" s="201"/>
    </row>
    <row r="331" spans="1:2" x14ac:dyDescent="0.25">
      <c r="A331" s="201"/>
      <c r="B331" s="201"/>
    </row>
    <row r="332" spans="1:2" x14ac:dyDescent="0.25">
      <c r="A332" s="201"/>
      <c r="B332" s="201"/>
    </row>
    <row r="333" spans="1:2" x14ac:dyDescent="0.25">
      <c r="A333" s="201"/>
      <c r="B333" s="201"/>
    </row>
    <row r="334" spans="1:2" x14ac:dyDescent="0.25">
      <c r="A334" s="201"/>
      <c r="B334" s="201"/>
    </row>
    <row r="335" spans="1:2" x14ac:dyDescent="0.25">
      <c r="A335" s="201"/>
      <c r="B335" s="201"/>
    </row>
    <row r="336" spans="1:2" x14ac:dyDescent="0.25">
      <c r="A336" s="201"/>
      <c r="B336" s="201"/>
    </row>
    <row r="337" spans="1:2" x14ac:dyDescent="0.25">
      <c r="A337" s="201"/>
      <c r="B337" s="201"/>
    </row>
    <row r="338" spans="1:2" x14ac:dyDescent="0.25">
      <c r="A338" s="201"/>
      <c r="B338" s="201"/>
    </row>
    <row r="339" spans="1:2" x14ac:dyDescent="0.25">
      <c r="A339" s="201"/>
      <c r="B339" s="201"/>
    </row>
    <row r="340" spans="1:2" x14ac:dyDescent="0.25">
      <c r="A340" s="201"/>
      <c r="B340" s="201"/>
    </row>
    <row r="341" spans="1:2" x14ac:dyDescent="0.25">
      <c r="A341" s="201"/>
      <c r="B341" s="201"/>
    </row>
    <row r="342" spans="1:2" x14ac:dyDescent="0.25">
      <c r="A342" s="201"/>
      <c r="B342" s="201"/>
    </row>
    <row r="343" spans="1:2" x14ac:dyDescent="0.25">
      <c r="A343" s="201"/>
      <c r="B343" s="201"/>
    </row>
    <row r="344" spans="1:2" x14ac:dyDescent="0.25">
      <c r="A344" s="201"/>
      <c r="B344" s="201"/>
    </row>
    <row r="345" spans="1:2" x14ac:dyDescent="0.25">
      <c r="A345" s="201"/>
      <c r="B345" s="201"/>
    </row>
    <row r="346" spans="1:2" x14ac:dyDescent="0.25">
      <c r="A346" s="201"/>
      <c r="B346" s="201"/>
    </row>
    <row r="347" spans="1:2" x14ac:dyDescent="0.25">
      <c r="A347" s="201"/>
      <c r="B347" s="201"/>
    </row>
    <row r="348" spans="1:2" x14ac:dyDescent="0.25">
      <c r="A348" s="201"/>
      <c r="B348" s="201"/>
    </row>
    <row r="349" spans="1:2" x14ac:dyDescent="0.25">
      <c r="A349" s="201"/>
      <c r="B349" s="201"/>
    </row>
    <row r="350" spans="1:2" x14ac:dyDescent="0.25">
      <c r="A350" s="201"/>
      <c r="B350" s="201"/>
    </row>
    <row r="351" spans="1:2" x14ac:dyDescent="0.25">
      <c r="A351" s="201"/>
      <c r="B351" s="201"/>
    </row>
    <row r="352" spans="1:2" x14ac:dyDescent="0.25">
      <c r="A352" s="201"/>
      <c r="B352" s="201"/>
    </row>
    <row r="353" spans="1:2" x14ac:dyDescent="0.25">
      <c r="A353" s="201"/>
      <c r="B353" s="201"/>
    </row>
    <row r="354" spans="1:2" x14ac:dyDescent="0.25">
      <c r="A354" s="201"/>
      <c r="B354" s="201"/>
    </row>
    <row r="355" spans="1:2" x14ac:dyDescent="0.25">
      <c r="A355" s="201"/>
      <c r="B355" s="201"/>
    </row>
    <row r="356" spans="1:2" x14ac:dyDescent="0.25">
      <c r="A356" s="201"/>
      <c r="B356" s="201"/>
    </row>
    <row r="357" spans="1:2" x14ac:dyDescent="0.25">
      <c r="A357" s="201"/>
      <c r="B357" s="201"/>
    </row>
    <row r="358" spans="1:2" x14ac:dyDescent="0.25">
      <c r="A358" s="201"/>
      <c r="B358" s="201"/>
    </row>
    <row r="359" spans="1:2" x14ac:dyDescent="0.25">
      <c r="A359" s="201"/>
      <c r="B359" s="201"/>
    </row>
    <row r="360" spans="1:2" x14ac:dyDescent="0.25">
      <c r="A360" s="201"/>
      <c r="B360" s="201"/>
    </row>
    <row r="361" spans="1:2" x14ac:dyDescent="0.25">
      <c r="A361" s="201"/>
      <c r="B361" s="201"/>
    </row>
    <row r="362" spans="1:2" x14ac:dyDescent="0.25">
      <c r="A362" s="201"/>
      <c r="B362" s="201"/>
    </row>
    <row r="363" spans="1:2" x14ac:dyDescent="0.25">
      <c r="A363" s="201"/>
      <c r="B363" s="201"/>
    </row>
    <row r="364" spans="1:2" x14ac:dyDescent="0.25">
      <c r="A364" s="201"/>
      <c r="B364" s="201"/>
    </row>
    <row r="365" spans="1:2" x14ac:dyDescent="0.25">
      <c r="A365" s="201"/>
      <c r="B365" s="201"/>
    </row>
    <row r="366" spans="1:2" x14ac:dyDescent="0.25">
      <c r="A366" s="201"/>
      <c r="B366" s="201"/>
    </row>
    <row r="367" spans="1:2" x14ac:dyDescent="0.25">
      <c r="A367" s="201"/>
      <c r="B367" s="201"/>
    </row>
    <row r="368" spans="1:2" x14ac:dyDescent="0.25">
      <c r="A368" s="201"/>
      <c r="B368" s="201"/>
    </row>
    <row r="369" spans="1:2" x14ac:dyDescent="0.25">
      <c r="A369" s="201"/>
      <c r="B369" s="201"/>
    </row>
    <row r="370" spans="1:2" x14ac:dyDescent="0.25">
      <c r="A370" s="201"/>
      <c r="B370" s="201"/>
    </row>
    <row r="371" spans="1:2" x14ac:dyDescent="0.25">
      <c r="A371" s="201"/>
      <c r="B371" s="201"/>
    </row>
    <row r="372" spans="1:2" x14ac:dyDescent="0.25">
      <c r="A372" s="201"/>
      <c r="B372" s="201"/>
    </row>
    <row r="373" spans="1:2" x14ac:dyDescent="0.25">
      <c r="A373" s="201"/>
      <c r="B373" s="201"/>
    </row>
    <row r="374" spans="1:2" x14ac:dyDescent="0.25">
      <c r="A374" s="201"/>
      <c r="B374" s="201"/>
    </row>
    <row r="375" spans="1:2" x14ac:dyDescent="0.25">
      <c r="A375" s="201"/>
      <c r="B375" s="201"/>
    </row>
    <row r="376" spans="1:2" x14ac:dyDescent="0.25">
      <c r="A376" s="201"/>
      <c r="B376" s="201"/>
    </row>
    <row r="377" spans="1:2" x14ac:dyDescent="0.25">
      <c r="A377" s="201"/>
      <c r="B377" s="201"/>
    </row>
    <row r="378" spans="1:2" x14ac:dyDescent="0.25">
      <c r="A378" s="201"/>
      <c r="B378" s="201"/>
    </row>
    <row r="379" spans="1:2" x14ac:dyDescent="0.25">
      <c r="A379" s="201"/>
      <c r="B379" s="201"/>
    </row>
    <row r="380" spans="1:2" x14ac:dyDescent="0.25">
      <c r="A380" s="201"/>
      <c r="B380" s="201"/>
    </row>
    <row r="381" spans="1:2" x14ac:dyDescent="0.25">
      <c r="A381" s="201"/>
      <c r="B381" s="201"/>
    </row>
    <row r="382" spans="1:2" x14ac:dyDescent="0.25">
      <c r="A382" s="201"/>
      <c r="B382" s="201"/>
    </row>
    <row r="383" spans="1:2" x14ac:dyDescent="0.25">
      <c r="A383" s="201"/>
      <c r="B383" s="201"/>
    </row>
    <row r="384" spans="1:2" x14ac:dyDescent="0.25">
      <c r="A384" s="201"/>
      <c r="B384" s="201"/>
    </row>
    <row r="385" spans="1:2" x14ac:dyDescent="0.25">
      <c r="A385" s="201"/>
      <c r="B385" s="201"/>
    </row>
    <row r="386" spans="1:2" x14ac:dyDescent="0.25">
      <c r="A386" s="201"/>
      <c r="B386" s="201"/>
    </row>
    <row r="387" spans="1:2" x14ac:dyDescent="0.25">
      <c r="A387" s="201"/>
      <c r="B387" s="201"/>
    </row>
    <row r="388" spans="1:2" x14ac:dyDescent="0.25">
      <c r="A388" s="201"/>
      <c r="B388" s="201"/>
    </row>
    <row r="389" spans="1:2" x14ac:dyDescent="0.25">
      <c r="A389" s="201"/>
      <c r="B389" s="201"/>
    </row>
    <row r="390" spans="1:2" x14ac:dyDescent="0.25">
      <c r="A390" s="201"/>
      <c r="B390" s="201"/>
    </row>
    <row r="391" spans="1:2" x14ac:dyDescent="0.25">
      <c r="A391" s="201"/>
      <c r="B391" s="201"/>
    </row>
    <row r="392" spans="1:2" x14ac:dyDescent="0.25">
      <c r="A392" s="201"/>
      <c r="B392" s="201"/>
    </row>
    <row r="393" spans="1:2" x14ac:dyDescent="0.25">
      <c r="A393" s="201"/>
      <c r="B393" s="201"/>
    </row>
    <row r="394" spans="1:2" x14ac:dyDescent="0.25">
      <c r="A394" s="201"/>
      <c r="B394" s="201"/>
    </row>
    <row r="395" spans="1:2" x14ac:dyDescent="0.25">
      <c r="A395" s="201"/>
      <c r="B395" s="201"/>
    </row>
    <row r="396" spans="1:2" x14ac:dyDescent="0.25">
      <c r="A396" s="201"/>
      <c r="B396" s="201"/>
    </row>
    <row r="397" spans="1:2" x14ac:dyDescent="0.25">
      <c r="A397" s="201"/>
      <c r="B397" s="201"/>
    </row>
    <row r="398" spans="1:2" x14ac:dyDescent="0.25">
      <c r="A398" s="201"/>
      <c r="B398" s="201"/>
    </row>
    <row r="399" spans="1:2" x14ac:dyDescent="0.25">
      <c r="A399" s="201"/>
      <c r="B399" s="201"/>
    </row>
    <row r="400" spans="1:2" x14ac:dyDescent="0.25">
      <c r="A400" s="201"/>
      <c r="B400" s="201"/>
    </row>
    <row r="401" spans="1:2" x14ac:dyDescent="0.25">
      <c r="A401" s="201"/>
      <c r="B401" s="201"/>
    </row>
    <row r="402" spans="1:2" x14ac:dyDescent="0.25">
      <c r="A402" s="201"/>
      <c r="B402" s="201"/>
    </row>
    <row r="403" spans="1:2" x14ac:dyDescent="0.25">
      <c r="A403" s="201"/>
      <c r="B403" s="201"/>
    </row>
    <row r="404" spans="1:2" x14ac:dyDescent="0.25">
      <c r="A404" s="201"/>
      <c r="B404" s="201"/>
    </row>
    <row r="405" spans="1:2" x14ac:dyDescent="0.25">
      <c r="A405" s="201"/>
      <c r="B405" s="201"/>
    </row>
    <row r="406" spans="1:2" x14ac:dyDescent="0.25">
      <c r="A406" s="201"/>
      <c r="B406" s="201"/>
    </row>
    <row r="407" spans="1:2" x14ac:dyDescent="0.25">
      <c r="A407" s="201"/>
      <c r="B407" s="201"/>
    </row>
    <row r="408" spans="1:2" x14ac:dyDescent="0.25">
      <c r="A408" s="201"/>
      <c r="B408" s="201"/>
    </row>
    <row r="409" spans="1:2" x14ac:dyDescent="0.25">
      <c r="A409" s="201"/>
      <c r="B409" s="201"/>
    </row>
    <row r="410" spans="1:2" x14ac:dyDescent="0.25">
      <c r="A410" s="201"/>
      <c r="B410" s="201"/>
    </row>
    <row r="411" spans="1:2" x14ac:dyDescent="0.25">
      <c r="A411" s="201"/>
      <c r="B411" s="201"/>
    </row>
    <row r="412" spans="1:2" x14ac:dyDescent="0.25">
      <c r="A412" s="201"/>
      <c r="B412" s="201"/>
    </row>
    <row r="413" spans="1:2" x14ac:dyDescent="0.25">
      <c r="A413" s="201"/>
      <c r="B413" s="201"/>
    </row>
    <row r="414" spans="1:2" x14ac:dyDescent="0.25">
      <c r="A414" s="201"/>
      <c r="B414" s="201"/>
    </row>
    <row r="415" spans="1:2" x14ac:dyDescent="0.25">
      <c r="A415" s="201"/>
      <c r="B415" s="201"/>
    </row>
    <row r="416" spans="1:2" x14ac:dyDescent="0.25">
      <c r="A416" s="201"/>
      <c r="B416" s="201"/>
    </row>
    <row r="417" spans="1:2" x14ac:dyDescent="0.25">
      <c r="A417" s="201"/>
      <c r="B417" s="201"/>
    </row>
    <row r="418" spans="1:2" x14ac:dyDescent="0.25">
      <c r="A418" s="201"/>
      <c r="B418" s="201"/>
    </row>
    <row r="419" spans="1:2" x14ac:dyDescent="0.25">
      <c r="A419" s="201"/>
      <c r="B419" s="201"/>
    </row>
    <row r="420" spans="1:2" x14ac:dyDescent="0.25">
      <c r="A420" s="201"/>
      <c r="B420" s="201"/>
    </row>
    <row r="421" spans="1:2" x14ac:dyDescent="0.25">
      <c r="A421" s="201"/>
      <c r="B421" s="201"/>
    </row>
    <row r="422" spans="1:2" x14ac:dyDescent="0.25">
      <c r="A422" s="201"/>
      <c r="B422" s="201"/>
    </row>
    <row r="423" spans="1:2" x14ac:dyDescent="0.25">
      <c r="A423" s="201"/>
      <c r="B423" s="201"/>
    </row>
    <row r="424" spans="1:2" x14ac:dyDescent="0.25">
      <c r="A424" s="201"/>
      <c r="B424" s="201"/>
    </row>
    <row r="425" spans="1:2" x14ac:dyDescent="0.25">
      <c r="A425" s="201"/>
      <c r="B425" s="201"/>
    </row>
    <row r="426" spans="1:2" x14ac:dyDescent="0.25">
      <c r="A426" s="201"/>
      <c r="B426" s="201"/>
    </row>
    <row r="427" spans="1:2" x14ac:dyDescent="0.25">
      <c r="A427" s="201"/>
      <c r="B427" s="201"/>
    </row>
    <row r="428" spans="1:2" x14ac:dyDescent="0.25">
      <c r="A428" s="201"/>
      <c r="B428" s="201"/>
    </row>
    <row r="429" spans="1:2" x14ac:dyDescent="0.25">
      <c r="A429" s="201"/>
      <c r="B429" s="201"/>
    </row>
    <row r="430" spans="1:2" x14ac:dyDescent="0.25">
      <c r="A430" s="201"/>
      <c r="B430" s="201"/>
    </row>
    <row r="431" spans="1:2" x14ac:dyDescent="0.25">
      <c r="A431" s="201"/>
      <c r="B431" s="201"/>
    </row>
    <row r="432" spans="1:2" x14ac:dyDescent="0.25">
      <c r="A432" s="201"/>
      <c r="B432" s="201"/>
    </row>
    <row r="433" spans="1:2" x14ac:dyDescent="0.25">
      <c r="A433" s="201"/>
      <c r="B433" s="201"/>
    </row>
    <row r="434" spans="1:2" x14ac:dyDescent="0.25">
      <c r="A434" s="201"/>
      <c r="B434" s="201"/>
    </row>
    <row r="435" spans="1:2" x14ac:dyDescent="0.25">
      <c r="A435" s="201"/>
      <c r="B435" s="201"/>
    </row>
    <row r="436" spans="1:2" x14ac:dyDescent="0.25">
      <c r="A436" s="201"/>
      <c r="B436" s="201"/>
    </row>
    <row r="437" spans="1:2" x14ac:dyDescent="0.25">
      <c r="A437" s="201"/>
      <c r="B437" s="201"/>
    </row>
    <row r="438" spans="1:2" x14ac:dyDescent="0.25">
      <c r="A438" s="201"/>
      <c r="B438" s="201"/>
    </row>
    <row r="439" spans="1:2" x14ac:dyDescent="0.25">
      <c r="A439" s="201"/>
      <c r="B439" s="201"/>
    </row>
    <row r="440" spans="1:2" x14ac:dyDescent="0.25">
      <c r="A440" s="201"/>
      <c r="B440" s="201"/>
    </row>
    <row r="441" spans="1:2" x14ac:dyDescent="0.25">
      <c r="A441" s="201"/>
      <c r="B441" s="201"/>
    </row>
    <row r="442" spans="1:2" x14ac:dyDescent="0.25">
      <c r="A442" s="201"/>
      <c r="B442" s="201"/>
    </row>
    <row r="443" spans="1:2" x14ac:dyDescent="0.25">
      <c r="A443" s="201"/>
      <c r="B443" s="201"/>
    </row>
    <row r="444" spans="1:2" x14ac:dyDescent="0.25">
      <c r="A444" s="201"/>
      <c r="B444" s="201"/>
    </row>
    <row r="445" spans="1:2" x14ac:dyDescent="0.25">
      <c r="A445" s="201"/>
      <c r="B445" s="201"/>
    </row>
    <row r="446" spans="1:2" x14ac:dyDescent="0.25">
      <c r="A446" s="201"/>
      <c r="B446" s="201"/>
    </row>
    <row r="447" spans="1:2" x14ac:dyDescent="0.25">
      <c r="A447" s="201"/>
      <c r="B447" s="201"/>
    </row>
    <row r="448" spans="1:2" x14ac:dyDescent="0.25">
      <c r="A448" s="201"/>
      <c r="B448" s="201"/>
    </row>
    <row r="449" spans="1:2" x14ac:dyDescent="0.25">
      <c r="A449" s="201"/>
      <c r="B449" s="201"/>
    </row>
    <row r="450" spans="1:2" x14ac:dyDescent="0.25">
      <c r="A450" s="201"/>
      <c r="B450" s="201"/>
    </row>
    <row r="451" spans="1:2" x14ac:dyDescent="0.25">
      <c r="A451" s="201"/>
      <c r="B451" s="201"/>
    </row>
    <row r="452" spans="1:2" x14ac:dyDescent="0.25">
      <c r="A452" s="201"/>
      <c r="B452" s="201"/>
    </row>
    <row r="453" spans="1:2" x14ac:dyDescent="0.25">
      <c r="A453" s="201"/>
      <c r="B453" s="201"/>
    </row>
    <row r="454" spans="1:2" x14ac:dyDescent="0.25">
      <c r="A454" s="201"/>
      <c r="B454" s="201"/>
    </row>
    <row r="455" spans="1:2" x14ac:dyDescent="0.25">
      <c r="A455" s="201"/>
      <c r="B455" s="201"/>
    </row>
    <row r="456" spans="1:2" x14ac:dyDescent="0.25">
      <c r="A456" s="201"/>
      <c r="B456" s="201"/>
    </row>
    <row r="457" spans="1:2" x14ac:dyDescent="0.25">
      <c r="A457" s="201"/>
      <c r="B457" s="201"/>
    </row>
    <row r="458" spans="1:2" x14ac:dyDescent="0.25">
      <c r="A458" s="201"/>
      <c r="B458" s="201"/>
    </row>
    <row r="459" spans="1:2" x14ac:dyDescent="0.25">
      <c r="A459" s="201"/>
      <c r="B459" s="201"/>
    </row>
    <row r="460" spans="1:2" x14ac:dyDescent="0.25">
      <c r="A460" s="201"/>
      <c r="B460" s="201"/>
    </row>
    <row r="461" spans="1:2" x14ac:dyDescent="0.25">
      <c r="A461" s="201"/>
      <c r="B461" s="201"/>
    </row>
    <row r="462" spans="1:2" x14ac:dyDescent="0.25">
      <c r="A462" s="201"/>
      <c r="B462" s="201"/>
    </row>
    <row r="463" spans="1:2" x14ac:dyDescent="0.25">
      <c r="A463" s="201"/>
      <c r="B463" s="201"/>
    </row>
    <row r="464" spans="1:2" x14ac:dyDescent="0.25">
      <c r="A464" s="201"/>
      <c r="B464" s="201"/>
    </row>
    <row r="465" spans="1:2" x14ac:dyDescent="0.25">
      <c r="A465" s="201"/>
      <c r="B465" s="201"/>
    </row>
    <row r="466" spans="1:2" x14ac:dyDescent="0.25">
      <c r="A466" s="201"/>
      <c r="B466" s="201"/>
    </row>
    <row r="467" spans="1:2" x14ac:dyDescent="0.25">
      <c r="A467" s="201"/>
      <c r="B467" s="201"/>
    </row>
    <row r="468" spans="1:2" x14ac:dyDescent="0.25">
      <c r="A468" s="201"/>
      <c r="B468" s="201"/>
    </row>
    <row r="469" spans="1:2" x14ac:dyDescent="0.25">
      <c r="A469" s="201"/>
      <c r="B469" s="201"/>
    </row>
    <row r="470" spans="1:2" x14ac:dyDescent="0.25">
      <c r="A470" s="201"/>
      <c r="B470" s="201"/>
    </row>
    <row r="471" spans="1:2" x14ac:dyDescent="0.25">
      <c r="A471" s="201"/>
      <c r="B471" s="201"/>
    </row>
    <row r="472" spans="1:2" x14ac:dyDescent="0.25">
      <c r="A472" s="201"/>
      <c r="B472" s="201"/>
    </row>
    <row r="473" spans="1:2" x14ac:dyDescent="0.25">
      <c r="A473" s="201"/>
      <c r="B473" s="201"/>
    </row>
    <row r="474" spans="1:2" x14ac:dyDescent="0.25">
      <c r="A474" s="201"/>
      <c r="B474" s="201"/>
    </row>
    <row r="475" spans="1:2" x14ac:dyDescent="0.25">
      <c r="A475" s="201"/>
      <c r="B475" s="201"/>
    </row>
    <row r="476" spans="1:2" x14ac:dyDescent="0.25">
      <c r="A476" s="201"/>
      <c r="B476" s="201"/>
    </row>
    <row r="477" spans="1:2" x14ac:dyDescent="0.25">
      <c r="A477" s="201"/>
      <c r="B477" s="201"/>
    </row>
    <row r="478" spans="1:2" x14ac:dyDescent="0.25">
      <c r="A478" s="201"/>
      <c r="B478" s="201"/>
    </row>
    <row r="479" spans="1:2" x14ac:dyDescent="0.25">
      <c r="A479" s="201"/>
      <c r="B479" s="201"/>
    </row>
    <row r="480" spans="1:2" x14ac:dyDescent="0.25">
      <c r="A480" s="201"/>
      <c r="B480" s="201"/>
    </row>
    <row r="481" spans="1:2" x14ac:dyDescent="0.25">
      <c r="A481" s="201"/>
      <c r="B481" s="201"/>
    </row>
    <row r="482" spans="1:2" x14ac:dyDescent="0.25">
      <c r="A482" s="201"/>
      <c r="B482" s="201"/>
    </row>
    <row r="483" spans="1:2" x14ac:dyDescent="0.25">
      <c r="A483" s="201"/>
      <c r="B483" s="201"/>
    </row>
    <row r="484" spans="1:2" x14ac:dyDescent="0.25">
      <c r="A484" s="201"/>
      <c r="B484" s="201"/>
    </row>
    <row r="485" spans="1:2" x14ac:dyDescent="0.25">
      <c r="A485" s="201"/>
      <c r="B485" s="201"/>
    </row>
    <row r="486" spans="1:2" x14ac:dyDescent="0.25">
      <c r="A486" s="201"/>
      <c r="B486" s="201"/>
    </row>
    <row r="487" spans="1:2" x14ac:dyDescent="0.25">
      <c r="A487" s="201"/>
      <c r="B487" s="201"/>
    </row>
    <row r="488" spans="1:2" x14ac:dyDescent="0.25">
      <c r="A488" s="201"/>
      <c r="B488" s="201"/>
    </row>
    <row r="489" spans="1:2" x14ac:dyDescent="0.25">
      <c r="A489" s="201"/>
      <c r="B489" s="201"/>
    </row>
    <row r="490" spans="1:2" x14ac:dyDescent="0.25">
      <c r="A490" s="201"/>
      <c r="B490" s="201"/>
    </row>
    <row r="491" spans="1:2" x14ac:dyDescent="0.25">
      <c r="A491" s="201"/>
      <c r="B491" s="201"/>
    </row>
    <row r="492" spans="1:2" x14ac:dyDescent="0.25">
      <c r="A492" s="201"/>
      <c r="B492" s="201"/>
    </row>
    <row r="493" spans="1:2" x14ac:dyDescent="0.25">
      <c r="A493" s="201"/>
      <c r="B493" s="201"/>
    </row>
    <row r="494" spans="1:2" x14ac:dyDescent="0.25">
      <c r="A494" s="201"/>
      <c r="B494" s="201"/>
    </row>
    <row r="495" spans="1:2" x14ac:dyDescent="0.25">
      <c r="A495" s="201"/>
      <c r="B495" s="201"/>
    </row>
    <row r="496" spans="1:2" x14ac:dyDescent="0.25">
      <c r="A496" s="201"/>
      <c r="B496" s="201"/>
    </row>
    <row r="497" spans="1:2" x14ac:dyDescent="0.25">
      <c r="A497" s="201"/>
      <c r="B497" s="201"/>
    </row>
    <row r="498" spans="1:2" x14ac:dyDescent="0.25">
      <c r="A498" s="201"/>
      <c r="B498" s="201"/>
    </row>
    <row r="499" spans="1:2" x14ac:dyDescent="0.25">
      <c r="A499" s="201"/>
      <c r="B499" s="201"/>
    </row>
    <row r="500" spans="1:2" x14ac:dyDescent="0.25">
      <c r="A500" s="201"/>
      <c r="B500" s="201"/>
    </row>
    <row r="501" spans="1:2" x14ac:dyDescent="0.25">
      <c r="A501" s="201"/>
      <c r="B501" s="201"/>
    </row>
    <row r="502" spans="1:2" x14ac:dyDescent="0.25">
      <c r="A502" s="201"/>
      <c r="B502" s="201"/>
    </row>
    <row r="503" spans="1:2" x14ac:dyDescent="0.25">
      <c r="A503" s="201"/>
      <c r="B503" s="201"/>
    </row>
    <row r="504" spans="1:2" x14ac:dyDescent="0.25">
      <c r="A504" s="201"/>
      <c r="B504" s="201"/>
    </row>
    <row r="505" spans="1:2" x14ac:dyDescent="0.25">
      <c r="A505" s="201"/>
      <c r="B505" s="201"/>
    </row>
    <row r="506" spans="1:2" x14ac:dyDescent="0.25">
      <c r="A506" s="201"/>
      <c r="B506" s="201"/>
    </row>
    <row r="507" spans="1:2" x14ac:dyDescent="0.25">
      <c r="A507" s="201"/>
      <c r="B507" s="201"/>
    </row>
    <row r="508" spans="1:2" x14ac:dyDescent="0.25">
      <c r="A508" s="201"/>
      <c r="B508" s="201"/>
    </row>
    <row r="509" spans="1:2" x14ac:dyDescent="0.25">
      <c r="A509" s="201"/>
      <c r="B509" s="201"/>
    </row>
    <row r="510" spans="1:2" x14ac:dyDescent="0.25">
      <c r="A510" s="201"/>
      <c r="B510" s="201"/>
    </row>
    <row r="511" spans="1:2" x14ac:dyDescent="0.25">
      <c r="A511" s="201"/>
      <c r="B511" s="201"/>
    </row>
    <row r="512" spans="1:2" x14ac:dyDescent="0.25">
      <c r="A512" s="201"/>
      <c r="B512" s="201"/>
    </row>
    <row r="513" spans="1:2" x14ac:dyDescent="0.25">
      <c r="A513" s="201"/>
      <c r="B513" s="201"/>
    </row>
    <row r="514" spans="1:2" x14ac:dyDescent="0.25">
      <c r="A514" s="201"/>
      <c r="B514" s="201"/>
    </row>
    <row r="515" spans="1:2" x14ac:dyDescent="0.25">
      <c r="A515" s="201"/>
      <c r="B515" s="201"/>
    </row>
    <row r="516" spans="1:2" x14ac:dyDescent="0.25">
      <c r="A516" s="201"/>
      <c r="B516" s="201"/>
    </row>
    <row r="517" spans="1:2" x14ac:dyDescent="0.25">
      <c r="A517" s="201"/>
      <c r="B517" s="201"/>
    </row>
    <row r="518" spans="1:2" x14ac:dyDescent="0.25">
      <c r="A518" s="201"/>
      <c r="B518" s="201"/>
    </row>
    <row r="519" spans="1:2" x14ac:dyDescent="0.25">
      <c r="A519" s="201"/>
      <c r="B519" s="201"/>
    </row>
    <row r="520" spans="1:2" x14ac:dyDescent="0.25">
      <c r="A520" s="201"/>
      <c r="B520" s="201"/>
    </row>
    <row r="521" spans="1:2" x14ac:dyDescent="0.25">
      <c r="A521" s="201"/>
      <c r="B521" s="201"/>
    </row>
    <row r="522" spans="1:2" x14ac:dyDescent="0.25">
      <c r="A522" s="201"/>
      <c r="B522" s="201"/>
    </row>
    <row r="523" spans="1:2" x14ac:dyDescent="0.25">
      <c r="A523" s="201"/>
      <c r="B523" s="201"/>
    </row>
    <row r="524" spans="1:2" x14ac:dyDescent="0.25">
      <c r="A524" s="201"/>
      <c r="B524" s="201"/>
    </row>
    <row r="525" spans="1:2" x14ac:dyDescent="0.25">
      <c r="A525" s="201"/>
      <c r="B525" s="201"/>
    </row>
    <row r="526" spans="1:2" x14ac:dyDescent="0.25">
      <c r="A526" s="201"/>
      <c r="B526" s="201"/>
    </row>
    <row r="527" spans="1:2" x14ac:dyDescent="0.25">
      <c r="A527" s="201"/>
      <c r="B527" s="201"/>
    </row>
    <row r="528" spans="1:2" x14ac:dyDescent="0.25">
      <c r="A528" s="201"/>
      <c r="B528" s="201"/>
    </row>
    <row r="529" spans="1:2" x14ac:dyDescent="0.25">
      <c r="A529" s="201"/>
      <c r="B529" s="201"/>
    </row>
    <row r="530" spans="1:2" x14ac:dyDescent="0.25">
      <c r="A530" s="201"/>
      <c r="B530" s="201"/>
    </row>
    <row r="531" spans="1:2" x14ac:dyDescent="0.25">
      <c r="A531" s="201"/>
      <c r="B531" s="201"/>
    </row>
    <row r="532" spans="1:2" x14ac:dyDescent="0.25">
      <c r="A532" s="201"/>
      <c r="B532" s="201"/>
    </row>
    <row r="533" spans="1:2" x14ac:dyDescent="0.25">
      <c r="A533" s="201"/>
      <c r="B533" s="201"/>
    </row>
    <row r="534" spans="1:2" x14ac:dyDescent="0.25">
      <c r="A534" s="201"/>
      <c r="B534" s="201"/>
    </row>
    <row r="535" spans="1:2" x14ac:dyDescent="0.25">
      <c r="A535" s="201"/>
      <c r="B535" s="201"/>
    </row>
    <row r="536" spans="1:2" x14ac:dyDescent="0.25">
      <c r="A536" s="201"/>
      <c r="B536" s="201"/>
    </row>
    <row r="537" spans="1:2" x14ac:dyDescent="0.25">
      <c r="A537" s="201"/>
      <c r="B537" s="201"/>
    </row>
    <row r="538" spans="1:2" x14ac:dyDescent="0.25">
      <c r="A538" s="201"/>
      <c r="B538" s="201"/>
    </row>
    <row r="539" spans="1:2" x14ac:dyDescent="0.25">
      <c r="A539" s="201"/>
      <c r="B539" s="201"/>
    </row>
    <row r="540" spans="1:2" x14ac:dyDescent="0.25">
      <c r="A540" s="201"/>
      <c r="B540" s="201"/>
    </row>
    <row r="541" spans="1:2" x14ac:dyDescent="0.25">
      <c r="A541" s="201"/>
      <c r="B541" s="201"/>
    </row>
    <row r="542" spans="1:2" x14ac:dyDescent="0.25">
      <c r="A542" s="201"/>
      <c r="B542" s="201"/>
    </row>
    <row r="543" spans="1:2" x14ac:dyDescent="0.25">
      <c r="A543" s="201"/>
      <c r="B543" s="201"/>
    </row>
    <row r="544" spans="1:2" x14ac:dyDescent="0.25">
      <c r="A544" s="201"/>
      <c r="B544" s="201"/>
    </row>
    <row r="545" spans="1:2" x14ac:dyDescent="0.25">
      <c r="A545" s="201"/>
      <c r="B545" s="201"/>
    </row>
    <row r="546" spans="1:2" x14ac:dyDescent="0.25">
      <c r="A546" s="201"/>
      <c r="B546" s="201"/>
    </row>
    <row r="547" spans="1:2" x14ac:dyDescent="0.25">
      <c r="A547" s="201"/>
      <c r="B547" s="201"/>
    </row>
    <row r="548" spans="1:2" x14ac:dyDescent="0.25">
      <c r="A548" s="201"/>
      <c r="B548" s="201"/>
    </row>
    <row r="549" spans="1:2" x14ac:dyDescent="0.25">
      <c r="A549" s="201"/>
      <c r="B549" s="201"/>
    </row>
    <row r="550" spans="1:2" x14ac:dyDescent="0.25">
      <c r="A550" s="201"/>
      <c r="B550" s="201"/>
    </row>
    <row r="551" spans="1:2" x14ac:dyDescent="0.25">
      <c r="A551" s="201"/>
      <c r="B551" s="201"/>
    </row>
    <row r="552" spans="1:2" x14ac:dyDescent="0.25">
      <c r="A552" s="201"/>
      <c r="B552" s="201"/>
    </row>
    <row r="553" spans="1:2" x14ac:dyDescent="0.25">
      <c r="A553" s="201"/>
      <c r="B553" s="201"/>
    </row>
    <row r="554" spans="1:2" x14ac:dyDescent="0.25">
      <c r="A554" s="201"/>
      <c r="B554" s="201"/>
    </row>
    <row r="555" spans="1:2" x14ac:dyDescent="0.25">
      <c r="A555" s="201"/>
      <c r="B555" s="201"/>
    </row>
    <row r="556" spans="1:2" x14ac:dyDescent="0.25">
      <c r="A556" s="201"/>
      <c r="B556" s="201"/>
    </row>
    <row r="557" spans="1:2" x14ac:dyDescent="0.25">
      <c r="A557" s="201"/>
      <c r="B557" s="201"/>
    </row>
    <row r="558" spans="1:2" x14ac:dyDescent="0.25">
      <c r="A558" s="201"/>
      <c r="B558" s="201"/>
    </row>
    <row r="559" spans="1:2" x14ac:dyDescent="0.25">
      <c r="A559" s="201"/>
      <c r="B559" s="201"/>
    </row>
    <row r="560" spans="1:2" x14ac:dyDescent="0.25">
      <c r="A560" s="201"/>
      <c r="B560" s="201"/>
    </row>
    <row r="561" spans="1:2" x14ac:dyDescent="0.25">
      <c r="A561" s="201"/>
      <c r="B561" s="201"/>
    </row>
    <row r="562" spans="1:2" x14ac:dyDescent="0.25">
      <c r="A562" s="201"/>
      <c r="B562" s="201"/>
    </row>
    <row r="563" spans="1:2" x14ac:dyDescent="0.25">
      <c r="A563" s="201"/>
      <c r="B563" s="201"/>
    </row>
    <row r="564" spans="1:2" x14ac:dyDescent="0.25">
      <c r="A564" s="201"/>
      <c r="B564" s="201"/>
    </row>
    <row r="565" spans="1:2" x14ac:dyDescent="0.25">
      <c r="A565" s="201"/>
      <c r="B565" s="201"/>
    </row>
    <row r="566" spans="1:2" x14ac:dyDescent="0.25">
      <c r="A566" s="201"/>
      <c r="B566" s="201"/>
    </row>
    <row r="567" spans="1:2" x14ac:dyDescent="0.25">
      <c r="A567" s="201"/>
      <c r="B567" s="201"/>
    </row>
    <row r="568" spans="1:2" x14ac:dyDescent="0.25">
      <c r="A568" s="201"/>
      <c r="B568" s="201"/>
    </row>
    <row r="569" spans="1:2" x14ac:dyDescent="0.25">
      <c r="A569" s="201"/>
      <c r="B569" s="201"/>
    </row>
    <row r="570" spans="1:2" x14ac:dyDescent="0.25">
      <c r="A570" s="201"/>
      <c r="B570" s="201"/>
    </row>
    <row r="571" spans="1:2" x14ac:dyDescent="0.25">
      <c r="A571" s="201"/>
      <c r="B571" s="201"/>
    </row>
    <row r="572" spans="1:2" x14ac:dyDescent="0.25">
      <c r="A572" s="201"/>
      <c r="B572" s="201"/>
    </row>
    <row r="573" spans="1:2" x14ac:dyDescent="0.25">
      <c r="A573" s="201"/>
      <c r="B573" s="201"/>
    </row>
    <row r="574" spans="1:2" x14ac:dyDescent="0.25">
      <c r="A574" s="201"/>
      <c r="B574" s="201"/>
    </row>
    <row r="575" spans="1:2" x14ac:dyDescent="0.25">
      <c r="A575" s="201"/>
      <c r="B575" s="201"/>
    </row>
    <row r="576" spans="1:2" x14ac:dyDescent="0.25">
      <c r="A576" s="201"/>
      <c r="B576" s="201"/>
    </row>
    <row r="577" spans="1:2" x14ac:dyDescent="0.25">
      <c r="A577" s="201"/>
      <c r="B577" s="201"/>
    </row>
    <row r="578" spans="1:2" x14ac:dyDescent="0.25">
      <c r="A578" s="201"/>
      <c r="B578" s="201"/>
    </row>
    <row r="579" spans="1:2" x14ac:dyDescent="0.25">
      <c r="A579" s="201"/>
      <c r="B579" s="201"/>
    </row>
    <row r="580" spans="1:2" x14ac:dyDescent="0.25">
      <c r="A580" s="201"/>
      <c r="B580" s="201"/>
    </row>
    <row r="581" spans="1:2" x14ac:dyDescent="0.25">
      <c r="A581" s="201"/>
      <c r="B581" s="201"/>
    </row>
    <row r="582" spans="1:2" x14ac:dyDescent="0.25">
      <c r="A582" s="201"/>
      <c r="B582" s="201"/>
    </row>
    <row r="583" spans="1:2" x14ac:dyDescent="0.25">
      <c r="A583" s="201"/>
      <c r="B583" s="201"/>
    </row>
    <row r="584" spans="1:2" x14ac:dyDescent="0.25">
      <c r="A584" s="201"/>
      <c r="B584" s="201"/>
    </row>
    <row r="585" spans="1:2" x14ac:dyDescent="0.25">
      <c r="A585" s="201"/>
      <c r="B585" s="201"/>
    </row>
    <row r="586" spans="1:2" x14ac:dyDescent="0.25">
      <c r="A586" s="201"/>
      <c r="B586" s="201"/>
    </row>
    <row r="587" spans="1:2" x14ac:dyDescent="0.25">
      <c r="A587" s="201"/>
      <c r="B587" s="201"/>
    </row>
    <row r="588" spans="1:2" x14ac:dyDescent="0.25">
      <c r="A588" s="201"/>
      <c r="B588" s="201"/>
    </row>
    <row r="589" spans="1:2" x14ac:dyDescent="0.25">
      <c r="A589" s="201"/>
      <c r="B589" s="201"/>
    </row>
    <row r="590" spans="1:2" x14ac:dyDescent="0.25">
      <c r="A590" s="201"/>
      <c r="B590" s="201"/>
    </row>
    <row r="591" spans="1:2" x14ac:dyDescent="0.25">
      <c r="A591" s="201"/>
      <c r="B591" s="201"/>
    </row>
    <row r="592" spans="1:2" x14ac:dyDescent="0.25">
      <c r="A592" s="201"/>
      <c r="B592" s="201"/>
    </row>
    <row r="593" spans="1:2" x14ac:dyDescent="0.25">
      <c r="A593" s="201"/>
      <c r="B593" s="201"/>
    </row>
    <row r="594" spans="1:2" x14ac:dyDescent="0.25">
      <c r="A594" s="201"/>
      <c r="B594" s="201"/>
    </row>
    <row r="595" spans="1:2" x14ac:dyDescent="0.25">
      <c r="A595" s="201"/>
      <c r="B595" s="201"/>
    </row>
    <row r="596" spans="1:2" x14ac:dyDescent="0.25">
      <c r="A596" s="201"/>
      <c r="B596" s="201"/>
    </row>
    <row r="597" spans="1:2" x14ac:dyDescent="0.25">
      <c r="A597" s="201"/>
      <c r="B597" s="201"/>
    </row>
    <row r="598" spans="1:2" x14ac:dyDescent="0.25">
      <c r="A598" s="201"/>
      <c r="B598" s="201"/>
    </row>
    <row r="599" spans="1:2" x14ac:dyDescent="0.25">
      <c r="A599" s="201"/>
      <c r="B599" s="201"/>
    </row>
    <row r="600" spans="1:2" x14ac:dyDescent="0.25">
      <c r="A600" s="201"/>
      <c r="B600" s="201"/>
    </row>
    <row r="601" spans="1:2" x14ac:dyDescent="0.25">
      <c r="A601" s="201"/>
      <c r="B601" s="201"/>
    </row>
    <row r="602" spans="1:2" x14ac:dyDescent="0.25">
      <c r="A602" s="201"/>
      <c r="B602" s="201"/>
    </row>
    <row r="603" spans="1:2" x14ac:dyDescent="0.25">
      <c r="A603" s="201"/>
      <c r="B603" s="201"/>
    </row>
    <row r="604" spans="1:2" x14ac:dyDescent="0.25">
      <c r="A604" s="201"/>
      <c r="B604" s="201"/>
    </row>
    <row r="605" spans="1:2" x14ac:dyDescent="0.25">
      <c r="A605" s="201"/>
      <c r="B605" s="201"/>
    </row>
    <row r="606" spans="1:2" x14ac:dyDescent="0.25">
      <c r="A606" s="201"/>
      <c r="B606" s="201"/>
    </row>
    <row r="607" spans="1:2" x14ac:dyDescent="0.25">
      <c r="A607" s="201"/>
      <c r="B607" s="201"/>
    </row>
    <row r="608" spans="1:2" x14ac:dyDescent="0.25">
      <c r="A608" s="201"/>
      <c r="B608" s="201"/>
    </row>
    <row r="609" spans="1:2" x14ac:dyDescent="0.25">
      <c r="A609" s="201"/>
      <c r="B609" s="201"/>
    </row>
    <row r="610" spans="1:2" x14ac:dyDescent="0.25">
      <c r="A610" s="201"/>
      <c r="B610" s="201"/>
    </row>
    <row r="611" spans="1:2" x14ac:dyDescent="0.25">
      <c r="A611" s="201"/>
      <c r="B611" s="201"/>
    </row>
    <row r="612" spans="1:2" x14ac:dyDescent="0.25">
      <c r="A612" s="201"/>
      <c r="B612" s="201"/>
    </row>
    <row r="613" spans="1:2" x14ac:dyDescent="0.25">
      <c r="A613" s="201"/>
      <c r="B613" s="201"/>
    </row>
    <row r="614" spans="1:2" x14ac:dyDescent="0.25">
      <c r="A614" s="201"/>
      <c r="B614" s="201"/>
    </row>
    <row r="615" spans="1:2" x14ac:dyDescent="0.25">
      <c r="A615" s="201"/>
      <c r="B615" s="201"/>
    </row>
    <row r="616" spans="1:2" x14ac:dyDescent="0.25">
      <c r="A616" s="201"/>
      <c r="B616" s="201"/>
    </row>
    <row r="617" spans="1:2" x14ac:dyDescent="0.25">
      <c r="A617" s="201"/>
      <c r="B617" s="201"/>
    </row>
    <row r="618" spans="1:2" x14ac:dyDescent="0.25">
      <c r="A618" s="201"/>
      <c r="B618" s="201"/>
    </row>
    <row r="619" spans="1:2" x14ac:dyDescent="0.25">
      <c r="A619" s="201"/>
      <c r="B619" s="201"/>
    </row>
    <row r="620" spans="1:2" x14ac:dyDescent="0.25">
      <c r="A620" s="201"/>
      <c r="B620" s="201"/>
    </row>
    <row r="621" spans="1:2" x14ac:dyDescent="0.25">
      <c r="A621" s="201"/>
      <c r="B621" s="201"/>
    </row>
    <row r="622" spans="1:2" x14ac:dyDescent="0.25">
      <c r="A622" s="201"/>
      <c r="B622" s="201"/>
    </row>
    <row r="623" spans="1:2" x14ac:dyDescent="0.25">
      <c r="A623" s="201"/>
      <c r="B623" s="201"/>
    </row>
    <row r="624" spans="1:2" x14ac:dyDescent="0.25">
      <c r="A624" s="201"/>
      <c r="B624" s="201"/>
    </row>
    <row r="625" spans="1:2" x14ac:dyDescent="0.25">
      <c r="A625" s="201"/>
      <c r="B625" s="201"/>
    </row>
    <row r="626" spans="1:2" x14ac:dyDescent="0.25">
      <c r="A626" s="201"/>
      <c r="B626" s="201"/>
    </row>
    <row r="627" spans="1:2" x14ac:dyDescent="0.25">
      <c r="A627" s="201"/>
      <c r="B627" s="201"/>
    </row>
    <row r="628" spans="1:2" x14ac:dyDescent="0.25">
      <c r="A628" s="201"/>
      <c r="B628" s="201"/>
    </row>
    <row r="629" spans="1:2" x14ac:dyDescent="0.25">
      <c r="A629" s="201"/>
      <c r="B629" s="201"/>
    </row>
    <row r="630" spans="1:2" x14ac:dyDescent="0.25">
      <c r="A630" s="201"/>
      <c r="B630" s="201"/>
    </row>
    <row r="631" spans="1:2" x14ac:dyDescent="0.25">
      <c r="A631" s="201"/>
      <c r="B631" s="201"/>
    </row>
    <row r="632" spans="1:2" x14ac:dyDescent="0.25">
      <c r="A632" s="201"/>
      <c r="B632" s="201"/>
    </row>
    <row r="633" spans="1:2" x14ac:dyDescent="0.25">
      <c r="A633" s="201"/>
      <c r="B633" s="201"/>
    </row>
    <row r="634" spans="1:2" x14ac:dyDescent="0.25">
      <c r="A634" s="201"/>
      <c r="B634" s="201"/>
    </row>
    <row r="635" spans="1:2" x14ac:dyDescent="0.25">
      <c r="A635" s="201"/>
      <c r="B635" s="201"/>
    </row>
    <row r="636" spans="1:2" x14ac:dyDescent="0.25">
      <c r="A636" s="201"/>
      <c r="B636" s="201"/>
    </row>
    <row r="637" spans="1:2" x14ac:dyDescent="0.25">
      <c r="A637" s="201"/>
      <c r="B637" s="201"/>
    </row>
    <row r="638" spans="1:2" x14ac:dyDescent="0.25">
      <c r="A638" s="201"/>
      <c r="B638" s="201"/>
    </row>
    <row r="639" spans="1:2" x14ac:dyDescent="0.25">
      <c r="A639" s="201"/>
      <c r="B639" s="201"/>
    </row>
    <row r="640" spans="1:2" x14ac:dyDescent="0.25">
      <c r="A640" s="201"/>
      <c r="B640" s="201"/>
    </row>
    <row r="641" spans="1:2" x14ac:dyDescent="0.25">
      <c r="A641" s="201"/>
      <c r="B641" s="201"/>
    </row>
    <row r="642" spans="1:2" x14ac:dyDescent="0.25">
      <c r="A642" s="201"/>
      <c r="B642" s="201"/>
    </row>
    <row r="643" spans="1:2" x14ac:dyDescent="0.25">
      <c r="A643" s="201"/>
      <c r="B643" s="201"/>
    </row>
    <row r="644" spans="1:2" x14ac:dyDescent="0.25">
      <c r="A644" s="201"/>
      <c r="B644" s="201"/>
    </row>
    <row r="645" spans="1:2" x14ac:dyDescent="0.25">
      <c r="A645" s="201"/>
      <c r="B645" s="201"/>
    </row>
    <row r="646" spans="1:2" x14ac:dyDescent="0.25">
      <c r="A646" s="201"/>
      <c r="B646" s="201"/>
    </row>
    <row r="647" spans="1:2" x14ac:dyDescent="0.25">
      <c r="A647" s="201"/>
      <c r="B647" s="201"/>
    </row>
    <row r="648" spans="1:2" x14ac:dyDescent="0.25">
      <c r="A648" s="201"/>
      <c r="B648" s="201"/>
    </row>
    <row r="649" spans="1:2" x14ac:dyDescent="0.25">
      <c r="A649" s="201"/>
      <c r="B649" s="201"/>
    </row>
    <row r="650" spans="1:2" x14ac:dyDescent="0.25">
      <c r="A650" s="201"/>
      <c r="B650" s="201"/>
    </row>
    <row r="651" spans="1:2" x14ac:dyDescent="0.25">
      <c r="A651" s="201"/>
      <c r="B651" s="201"/>
    </row>
    <row r="652" spans="1:2" x14ac:dyDescent="0.25">
      <c r="A652" s="201"/>
      <c r="B652" s="201"/>
    </row>
    <row r="653" spans="1:2" x14ac:dyDescent="0.25">
      <c r="A653" s="201"/>
      <c r="B653" s="201"/>
    </row>
    <row r="654" spans="1:2" x14ac:dyDescent="0.25">
      <c r="A654" s="201"/>
      <c r="B654" s="201"/>
    </row>
    <row r="655" spans="1:2" x14ac:dyDescent="0.25">
      <c r="A655" s="201"/>
      <c r="B655" s="201"/>
    </row>
    <row r="656" spans="1:2" x14ac:dyDescent="0.25">
      <c r="A656" s="201"/>
      <c r="B656" s="201"/>
    </row>
    <row r="657" spans="1:2" x14ac:dyDescent="0.25">
      <c r="A657" s="201"/>
      <c r="B657" s="201"/>
    </row>
    <row r="658" spans="1:2" x14ac:dyDescent="0.25">
      <c r="A658" s="201"/>
      <c r="B658" s="201"/>
    </row>
    <row r="659" spans="1:2" x14ac:dyDescent="0.25">
      <c r="A659" s="201"/>
      <c r="B659" s="201"/>
    </row>
    <row r="660" spans="1:2" x14ac:dyDescent="0.25">
      <c r="A660" s="201"/>
      <c r="B660" s="201"/>
    </row>
    <row r="661" spans="1:2" x14ac:dyDescent="0.25">
      <c r="A661" s="201"/>
      <c r="B661" s="201"/>
    </row>
    <row r="662" spans="1:2" x14ac:dyDescent="0.25">
      <c r="A662" s="201"/>
      <c r="B662" s="201"/>
    </row>
    <row r="663" spans="1:2" x14ac:dyDescent="0.25">
      <c r="A663" s="201"/>
      <c r="B663" s="201"/>
    </row>
    <row r="664" spans="1:2" x14ac:dyDescent="0.25">
      <c r="A664" s="201"/>
      <c r="B664" s="201"/>
    </row>
    <row r="665" spans="1:2" x14ac:dyDescent="0.25">
      <c r="A665" s="201"/>
      <c r="B665" s="201"/>
    </row>
    <row r="666" spans="1:2" x14ac:dyDescent="0.25">
      <c r="A666" s="201"/>
      <c r="B666" s="201"/>
    </row>
    <row r="667" spans="1:2" x14ac:dyDescent="0.25">
      <c r="A667" s="201"/>
      <c r="B667" s="201"/>
    </row>
    <row r="668" spans="1:2" x14ac:dyDescent="0.25">
      <c r="A668" s="201"/>
      <c r="B668" s="201"/>
    </row>
    <row r="669" spans="1:2" x14ac:dyDescent="0.25">
      <c r="A669" s="201"/>
      <c r="B669" s="201"/>
    </row>
    <row r="670" spans="1:2" x14ac:dyDescent="0.25">
      <c r="A670" s="201"/>
      <c r="B670" s="201"/>
    </row>
    <row r="671" spans="1:2" x14ac:dyDescent="0.25">
      <c r="A671" s="201"/>
      <c r="B671" s="201"/>
    </row>
    <row r="672" spans="1:2" x14ac:dyDescent="0.25">
      <c r="A672" s="201"/>
      <c r="B672" s="201"/>
    </row>
    <row r="673" spans="1:2" x14ac:dyDescent="0.25">
      <c r="A673" s="201"/>
      <c r="B673" s="201"/>
    </row>
    <row r="674" spans="1:2" x14ac:dyDescent="0.25">
      <c r="A674" s="201"/>
      <c r="B674" s="201"/>
    </row>
    <row r="675" spans="1:2" x14ac:dyDescent="0.25">
      <c r="A675" s="201"/>
      <c r="B675" s="201"/>
    </row>
    <row r="676" spans="1:2" x14ac:dyDescent="0.25">
      <c r="A676" s="201"/>
      <c r="B676" s="201"/>
    </row>
    <row r="677" spans="1:2" x14ac:dyDescent="0.25">
      <c r="A677" s="201"/>
      <c r="B677" s="201"/>
    </row>
    <row r="678" spans="1:2" x14ac:dyDescent="0.25">
      <c r="A678" s="201"/>
      <c r="B678" s="201"/>
    </row>
    <row r="679" spans="1:2" x14ac:dyDescent="0.25">
      <c r="A679" s="201"/>
      <c r="B679" s="201"/>
    </row>
    <row r="680" spans="1:2" x14ac:dyDescent="0.25">
      <c r="A680" s="201"/>
      <c r="B680" s="201"/>
    </row>
    <row r="681" spans="1:2" x14ac:dyDescent="0.25">
      <c r="A681" s="201"/>
      <c r="B681" s="201"/>
    </row>
    <row r="682" spans="1:2" x14ac:dyDescent="0.25">
      <c r="A682" s="201"/>
      <c r="B682" s="201"/>
    </row>
    <row r="683" spans="1:2" x14ac:dyDescent="0.25">
      <c r="A683" s="201"/>
      <c r="B683" s="201"/>
    </row>
    <row r="684" spans="1:2" x14ac:dyDescent="0.25">
      <c r="A684" s="201"/>
      <c r="B684" s="201"/>
    </row>
    <row r="685" spans="1:2" x14ac:dyDescent="0.25">
      <c r="A685" s="201"/>
      <c r="B685" s="201"/>
    </row>
    <row r="686" spans="1:2" x14ac:dyDescent="0.25">
      <c r="A686" s="201"/>
      <c r="B686" s="201"/>
    </row>
    <row r="687" spans="1:2" x14ac:dyDescent="0.25">
      <c r="A687" s="201"/>
      <c r="B687" s="201"/>
    </row>
    <row r="688" spans="1:2" x14ac:dyDescent="0.25">
      <c r="A688" s="201"/>
      <c r="B688" s="201"/>
    </row>
    <row r="689" spans="1:2" x14ac:dyDescent="0.25">
      <c r="A689" s="201"/>
      <c r="B689" s="201"/>
    </row>
    <row r="690" spans="1:2" x14ac:dyDescent="0.25">
      <c r="A690" s="201"/>
      <c r="B690" s="201"/>
    </row>
    <row r="691" spans="1:2" x14ac:dyDescent="0.25">
      <c r="A691" s="201"/>
      <c r="B691" s="201"/>
    </row>
    <row r="692" spans="1:2" x14ac:dyDescent="0.25">
      <c r="A692" s="201"/>
      <c r="B692" s="201"/>
    </row>
    <row r="693" spans="1:2" x14ac:dyDescent="0.25">
      <c r="A693" s="201"/>
      <c r="B693" s="201"/>
    </row>
    <row r="694" spans="1:2" x14ac:dyDescent="0.25">
      <c r="A694" s="201"/>
      <c r="B694" s="201"/>
    </row>
    <row r="695" spans="1:2" x14ac:dyDescent="0.25">
      <c r="A695" s="201"/>
      <c r="B695" s="201"/>
    </row>
    <row r="696" spans="1:2" x14ac:dyDescent="0.25">
      <c r="A696" s="201"/>
      <c r="B696" s="201"/>
    </row>
    <row r="697" spans="1:2" x14ac:dyDescent="0.25">
      <c r="A697" s="201"/>
      <c r="B697" s="201"/>
    </row>
    <row r="698" spans="1:2" x14ac:dyDescent="0.25">
      <c r="A698" s="201"/>
      <c r="B698" s="201"/>
    </row>
    <row r="699" spans="1:2" x14ac:dyDescent="0.25">
      <c r="A699" s="201"/>
      <c r="B699" s="201"/>
    </row>
    <row r="700" spans="1:2" x14ac:dyDescent="0.25">
      <c r="A700" s="201"/>
      <c r="B700" s="201"/>
    </row>
    <row r="701" spans="1:2" x14ac:dyDescent="0.25">
      <c r="A701" s="201"/>
      <c r="B701" s="201"/>
    </row>
    <row r="702" spans="1:2" x14ac:dyDescent="0.25">
      <c r="A702" s="201"/>
      <c r="B702" s="201"/>
    </row>
    <row r="703" spans="1:2" x14ac:dyDescent="0.25">
      <c r="A703" s="201"/>
      <c r="B703" s="201"/>
    </row>
    <row r="704" spans="1:2" x14ac:dyDescent="0.25">
      <c r="A704" s="201"/>
      <c r="B704" s="201"/>
    </row>
    <row r="705" spans="1:2" x14ac:dyDescent="0.25">
      <c r="A705" s="201"/>
      <c r="B705" s="201"/>
    </row>
    <row r="706" spans="1:2" x14ac:dyDescent="0.25">
      <c r="A706" s="201"/>
      <c r="B706" s="201"/>
    </row>
    <row r="707" spans="1:2" x14ac:dyDescent="0.25">
      <c r="A707" s="201"/>
      <c r="B707" s="201"/>
    </row>
    <row r="708" spans="1:2" x14ac:dyDescent="0.25">
      <c r="A708" s="201"/>
      <c r="B708" s="201"/>
    </row>
    <row r="709" spans="1:2" x14ac:dyDescent="0.25">
      <c r="A709" s="201"/>
      <c r="B709" s="201"/>
    </row>
    <row r="710" spans="1:2" x14ac:dyDescent="0.25">
      <c r="A710" s="201"/>
      <c r="B710" s="201"/>
    </row>
    <row r="711" spans="1:2" x14ac:dyDescent="0.25">
      <c r="A711" s="201"/>
      <c r="B711" s="201"/>
    </row>
    <row r="712" spans="1:2" x14ac:dyDescent="0.25">
      <c r="A712" s="201"/>
      <c r="B712" s="201"/>
    </row>
    <row r="713" spans="1:2" x14ac:dyDescent="0.25">
      <c r="A713" s="201"/>
      <c r="B713" s="201"/>
    </row>
    <row r="714" spans="1:2" x14ac:dyDescent="0.25">
      <c r="A714" s="201"/>
      <c r="B714" s="201"/>
    </row>
    <row r="715" spans="1:2" x14ac:dyDescent="0.25">
      <c r="A715" s="201"/>
      <c r="B715" s="201"/>
    </row>
    <row r="716" spans="1:2" x14ac:dyDescent="0.25">
      <c r="A716" s="201"/>
      <c r="B716" s="201"/>
    </row>
    <row r="717" spans="1:2" x14ac:dyDescent="0.25">
      <c r="A717" s="201"/>
      <c r="B717" s="201"/>
    </row>
    <row r="718" spans="1:2" x14ac:dyDescent="0.25">
      <c r="A718" s="201"/>
      <c r="B718" s="201"/>
    </row>
    <row r="719" spans="1:2" x14ac:dyDescent="0.25">
      <c r="A719" s="201"/>
      <c r="B719" s="201"/>
    </row>
    <row r="720" spans="1:2" x14ac:dyDescent="0.25">
      <c r="A720" s="201"/>
      <c r="B720" s="201"/>
    </row>
    <row r="721" spans="1:2" x14ac:dyDescent="0.25">
      <c r="A721" s="201"/>
      <c r="B721" s="201"/>
    </row>
    <row r="722" spans="1:2" x14ac:dyDescent="0.25">
      <c r="A722" s="201"/>
      <c r="B722" s="201"/>
    </row>
    <row r="723" spans="1:2" x14ac:dyDescent="0.25">
      <c r="A723" s="201"/>
      <c r="B723" s="201"/>
    </row>
    <row r="724" spans="1:2" x14ac:dyDescent="0.25">
      <c r="A724" s="201"/>
      <c r="B724" s="201"/>
    </row>
    <row r="725" spans="1:2" x14ac:dyDescent="0.25">
      <c r="A725" s="201"/>
      <c r="B725" s="201"/>
    </row>
    <row r="726" spans="1:2" x14ac:dyDescent="0.25">
      <c r="A726" s="201"/>
      <c r="B726" s="201"/>
    </row>
    <row r="727" spans="1:2" x14ac:dyDescent="0.25">
      <c r="A727" s="201"/>
      <c r="B727" s="201"/>
    </row>
    <row r="728" spans="1:2" x14ac:dyDescent="0.25">
      <c r="A728" s="201"/>
      <c r="B728" s="201"/>
    </row>
    <row r="729" spans="1:2" x14ac:dyDescent="0.25">
      <c r="A729" s="201"/>
      <c r="B729" s="201"/>
    </row>
    <row r="730" spans="1:2" x14ac:dyDescent="0.25">
      <c r="A730" s="201"/>
      <c r="B730" s="201"/>
    </row>
    <row r="731" spans="1:2" x14ac:dyDescent="0.25">
      <c r="A731" s="201"/>
      <c r="B731" s="201"/>
    </row>
    <row r="732" spans="1:2" x14ac:dyDescent="0.25">
      <c r="A732" s="201"/>
      <c r="B732" s="201"/>
    </row>
    <row r="733" spans="1:2" x14ac:dyDescent="0.25">
      <c r="A733" s="201"/>
      <c r="B733" s="201"/>
    </row>
    <row r="734" spans="1:2" x14ac:dyDescent="0.25">
      <c r="A734" s="201"/>
      <c r="B734" s="201"/>
    </row>
    <row r="735" spans="1:2" x14ac:dyDescent="0.25">
      <c r="A735" s="201"/>
      <c r="B735" s="201"/>
    </row>
    <row r="736" spans="1:2" x14ac:dyDescent="0.25">
      <c r="A736" s="201"/>
      <c r="B736" s="201"/>
    </row>
    <row r="737" spans="1:2" x14ac:dyDescent="0.25">
      <c r="A737" s="201"/>
      <c r="B737" s="201"/>
    </row>
    <row r="738" spans="1:2" x14ac:dyDescent="0.25">
      <c r="A738" s="201"/>
      <c r="B738" s="201"/>
    </row>
    <row r="739" spans="1:2" x14ac:dyDescent="0.25">
      <c r="A739" s="201"/>
      <c r="B739" s="201"/>
    </row>
    <row r="740" spans="1:2" x14ac:dyDescent="0.25">
      <c r="A740" s="201"/>
      <c r="B740" s="201"/>
    </row>
    <row r="741" spans="1:2" x14ac:dyDescent="0.25">
      <c r="A741" s="201"/>
      <c r="B741" s="201"/>
    </row>
    <row r="742" spans="1:2" x14ac:dyDescent="0.25">
      <c r="A742" s="201"/>
      <c r="B742" s="201"/>
    </row>
    <row r="743" spans="1:2" x14ac:dyDescent="0.25">
      <c r="A743" s="201"/>
      <c r="B743" s="201"/>
    </row>
    <row r="744" spans="1:2" x14ac:dyDescent="0.25">
      <c r="A744" s="201"/>
      <c r="B744" s="201"/>
    </row>
    <row r="745" spans="1:2" x14ac:dyDescent="0.25">
      <c r="A745" s="201"/>
      <c r="B745" s="201"/>
    </row>
    <row r="746" spans="1:2" x14ac:dyDescent="0.25">
      <c r="A746" s="201"/>
      <c r="B746" s="201"/>
    </row>
    <row r="747" spans="1:2" x14ac:dyDescent="0.25">
      <c r="A747" s="201"/>
      <c r="B747" s="201"/>
    </row>
    <row r="748" spans="1:2" x14ac:dyDescent="0.25">
      <c r="A748" s="201"/>
      <c r="B748" s="201"/>
    </row>
    <row r="749" spans="1:2" x14ac:dyDescent="0.25">
      <c r="A749" s="201"/>
      <c r="B749" s="201"/>
    </row>
    <row r="750" spans="1:2" x14ac:dyDescent="0.25">
      <c r="A750" s="201"/>
      <c r="B750" s="201"/>
    </row>
    <row r="751" spans="1:2" x14ac:dyDescent="0.25">
      <c r="A751" s="201"/>
      <c r="B751" s="201"/>
    </row>
    <row r="752" spans="1:2" x14ac:dyDescent="0.25">
      <c r="A752" s="201"/>
      <c r="B752" s="201"/>
    </row>
    <row r="753" spans="1:2" x14ac:dyDescent="0.25">
      <c r="A753" s="201"/>
      <c r="B753" s="201"/>
    </row>
    <row r="754" spans="1:2" x14ac:dyDescent="0.25">
      <c r="A754" s="201"/>
      <c r="B754" s="201"/>
    </row>
    <row r="755" spans="1:2" x14ac:dyDescent="0.25">
      <c r="A755" s="201"/>
      <c r="B755" s="201"/>
    </row>
    <row r="756" spans="1:2" x14ac:dyDescent="0.25">
      <c r="A756" s="201"/>
      <c r="B756" s="201"/>
    </row>
    <row r="757" spans="1:2" x14ac:dyDescent="0.25">
      <c r="A757" s="201"/>
      <c r="B757" s="201"/>
    </row>
    <row r="758" spans="1:2" x14ac:dyDescent="0.25">
      <c r="A758" s="201"/>
      <c r="B758" s="201"/>
    </row>
    <row r="759" spans="1:2" x14ac:dyDescent="0.25">
      <c r="A759" s="201"/>
      <c r="B759" s="201"/>
    </row>
    <row r="760" spans="1:2" x14ac:dyDescent="0.25">
      <c r="A760" s="201"/>
      <c r="B760" s="201"/>
    </row>
    <row r="761" spans="1:2" x14ac:dyDescent="0.25">
      <c r="A761" s="201"/>
      <c r="B761" s="201"/>
    </row>
    <row r="762" spans="1:2" x14ac:dyDescent="0.25">
      <c r="A762" s="201"/>
      <c r="B762" s="201"/>
    </row>
    <row r="763" spans="1:2" x14ac:dyDescent="0.25">
      <c r="A763" s="201"/>
      <c r="B763" s="201"/>
    </row>
    <row r="764" spans="1:2" x14ac:dyDescent="0.25">
      <c r="A764" s="201"/>
      <c r="B764" s="201"/>
    </row>
    <row r="765" spans="1:2" x14ac:dyDescent="0.25">
      <c r="A765" s="201"/>
      <c r="B765" s="201"/>
    </row>
    <row r="766" spans="1:2" x14ac:dyDescent="0.25">
      <c r="A766" s="201"/>
      <c r="B766" s="201"/>
    </row>
    <row r="767" spans="1:2" x14ac:dyDescent="0.25">
      <c r="A767" s="201"/>
      <c r="B767" s="201"/>
    </row>
    <row r="768" spans="1:2" x14ac:dyDescent="0.25">
      <c r="A768" s="201"/>
      <c r="B768" s="201"/>
    </row>
    <row r="769" spans="1:2" x14ac:dyDescent="0.25">
      <c r="A769" s="201"/>
      <c r="B769" s="201"/>
    </row>
    <row r="770" spans="1:2" x14ac:dyDescent="0.25">
      <c r="A770" s="201"/>
      <c r="B770" s="201"/>
    </row>
    <row r="771" spans="1:2" x14ac:dyDescent="0.25">
      <c r="A771" s="201"/>
      <c r="B771" s="201"/>
    </row>
    <row r="772" spans="1:2" x14ac:dyDescent="0.25">
      <c r="A772" s="201"/>
      <c r="B772" s="201"/>
    </row>
    <row r="773" spans="1:2" x14ac:dyDescent="0.25">
      <c r="A773" s="201"/>
      <c r="B773" s="201"/>
    </row>
    <row r="774" spans="1:2" x14ac:dyDescent="0.25">
      <c r="A774" s="201"/>
      <c r="B774" s="201"/>
    </row>
    <row r="775" spans="1:2" x14ac:dyDescent="0.25">
      <c r="A775" s="201"/>
      <c r="B775" s="201"/>
    </row>
    <row r="776" spans="1:2" x14ac:dyDescent="0.25">
      <c r="A776" s="201"/>
      <c r="B776" s="201"/>
    </row>
    <row r="777" spans="1:2" x14ac:dyDescent="0.25">
      <c r="A777" s="201"/>
      <c r="B777" s="201"/>
    </row>
    <row r="778" spans="1:2" x14ac:dyDescent="0.25">
      <c r="A778" s="201"/>
      <c r="B778" s="201"/>
    </row>
    <row r="779" spans="1:2" x14ac:dyDescent="0.25">
      <c r="A779" s="201"/>
      <c r="B779" s="201"/>
    </row>
    <row r="780" spans="1:2" x14ac:dyDescent="0.25">
      <c r="A780" s="201"/>
      <c r="B780" s="201"/>
    </row>
    <row r="781" spans="1:2" x14ac:dyDescent="0.25">
      <c r="A781" s="201"/>
      <c r="B781" s="201"/>
    </row>
    <row r="782" spans="1:2" x14ac:dyDescent="0.25">
      <c r="A782" s="201"/>
      <c r="B782" s="201"/>
    </row>
    <row r="783" spans="1:2" x14ac:dyDescent="0.25">
      <c r="A783" s="201"/>
      <c r="B783" s="201"/>
    </row>
    <row r="784" spans="1:2" x14ac:dyDescent="0.25">
      <c r="A784" s="201"/>
      <c r="B784" s="201"/>
    </row>
    <row r="785" spans="1:2" x14ac:dyDescent="0.25">
      <c r="A785" s="201"/>
      <c r="B785" s="201"/>
    </row>
    <row r="786" spans="1:2" x14ac:dyDescent="0.25">
      <c r="A786" s="201"/>
      <c r="B786" s="201"/>
    </row>
    <row r="787" spans="1:2" x14ac:dyDescent="0.25">
      <c r="A787" s="201"/>
      <c r="B787" s="201"/>
    </row>
    <row r="788" spans="1:2" x14ac:dyDescent="0.25">
      <c r="A788" s="201"/>
      <c r="B788" s="201"/>
    </row>
    <row r="789" spans="1:2" x14ac:dyDescent="0.25">
      <c r="A789" s="201"/>
      <c r="B789" s="201"/>
    </row>
    <row r="790" spans="1:2" x14ac:dyDescent="0.25">
      <c r="A790" s="201"/>
      <c r="B790" s="201"/>
    </row>
    <row r="791" spans="1:2" x14ac:dyDescent="0.25">
      <c r="A791" s="201"/>
      <c r="B791" s="201"/>
    </row>
    <row r="792" spans="1:2" x14ac:dyDescent="0.25">
      <c r="A792" s="201"/>
      <c r="B792" s="201"/>
    </row>
    <row r="793" spans="1:2" x14ac:dyDescent="0.25">
      <c r="A793" s="201"/>
      <c r="B793" s="201"/>
    </row>
    <row r="794" spans="1:2" x14ac:dyDescent="0.25">
      <c r="A794" s="201"/>
      <c r="B794" s="201"/>
    </row>
    <row r="795" spans="1:2" x14ac:dyDescent="0.25">
      <c r="A795" s="201"/>
      <c r="B795" s="201"/>
    </row>
    <row r="796" spans="1:2" x14ac:dyDescent="0.25">
      <c r="A796" s="201"/>
      <c r="B796" s="201"/>
    </row>
    <row r="797" spans="1:2" x14ac:dyDescent="0.25">
      <c r="A797" s="201"/>
      <c r="B797" s="201"/>
    </row>
    <row r="798" spans="1:2" x14ac:dyDescent="0.25">
      <c r="A798" s="201"/>
      <c r="B798" s="201"/>
    </row>
    <row r="799" spans="1:2" x14ac:dyDescent="0.25">
      <c r="A799" s="201"/>
      <c r="B799" s="201"/>
    </row>
    <row r="800" spans="1:2" x14ac:dyDescent="0.25">
      <c r="A800" s="201"/>
      <c r="B800" s="201"/>
    </row>
    <row r="801" spans="1:2" x14ac:dyDescent="0.25">
      <c r="A801" s="201"/>
      <c r="B801" s="201"/>
    </row>
    <row r="802" spans="1:2" x14ac:dyDescent="0.25">
      <c r="A802" s="201"/>
      <c r="B802" s="201"/>
    </row>
    <row r="803" spans="1:2" x14ac:dyDescent="0.25">
      <c r="A803" s="201"/>
      <c r="B803" s="201"/>
    </row>
    <row r="804" spans="1:2" x14ac:dyDescent="0.25">
      <c r="A804" s="201"/>
      <c r="B804" s="201"/>
    </row>
    <row r="805" spans="1:2" x14ac:dyDescent="0.25">
      <c r="A805" s="201"/>
      <c r="B805" s="201"/>
    </row>
    <row r="806" spans="1:2" x14ac:dyDescent="0.25">
      <c r="A806" s="201"/>
      <c r="B806" s="201"/>
    </row>
    <row r="807" spans="1:2" x14ac:dyDescent="0.25">
      <c r="A807" s="201"/>
      <c r="B807" s="201"/>
    </row>
    <row r="808" spans="1:2" x14ac:dyDescent="0.25">
      <c r="A808" s="201"/>
      <c r="B808" s="201"/>
    </row>
    <row r="809" spans="1:2" x14ac:dyDescent="0.25">
      <c r="A809" s="201"/>
      <c r="B809" s="201"/>
    </row>
    <row r="810" spans="1:2" x14ac:dyDescent="0.25">
      <c r="A810" s="201"/>
      <c r="B810" s="201"/>
    </row>
    <row r="811" spans="1:2" x14ac:dyDescent="0.25">
      <c r="A811" s="201"/>
      <c r="B811" s="201"/>
    </row>
    <row r="812" spans="1:2" x14ac:dyDescent="0.25">
      <c r="A812" s="201"/>
      <c r="B812" s="201"/>
    </row>
    <row r="813" spans="1:2" x14ac:dyDescent="0.25">
      <c r="A813" s="201"/>
      <c r="B813" s="201"/>
    </row>
    <row r="814" spans="1:2" x14ac:dyDescent="0.25">
      <c r="A814" s="201"/>
      <c r="B814" s="201"/>
    </row>
    <row r="815" spans="1:2" x14ac:dyDescent="0.25">
      <c r="A815" s="201"/>
      <c r="B815" s="201"/>
    </row>
    <row r="816" spans="1:2" x14ac:dyDescent="0.25">
      <c r="A816" s="201"/>
      <c r="B816" s="201"/>
    </row>
    <row r="817" spans="1:2" x14ac:dyDescent="0.25">
      <c r="A817" s="201"/>
      <c r="B817" s="201"/>
    </row>
    <row r="818" spans="1:2" x14ac:dyDescent="0.25">
      <c r="A818" s="201"/>
      <c r="B818" s="201"/>
    </row>
    <row r="819" spans="1:2" x14ac:dyDescent="0.25">
      <c r="A819" s="201"/>
      <c r="B819" s="201"/>
    </row>
    <row r="820" spans="1:2" x14ac:dyDescent="0.25">
      <c r="A820" s="201"/>
      <c r="B820" s="201"/>
    </row>
    <row r="821" spans="1:2" x14ac:dyDescent="0.25">
      <c r="A821" s="201"/>
      <c r="B821" s="201"/>
    </row>
    <row r="822" spans="1:2" x14ac:dyDescent="0.25">
      <c r="A822" s="201"/>
      <c r="B822" s="201"/>
    </row>
    <row r="823" spans="1:2" x14ac:dyDescent="0.25">
      <c r="A823" s="201"/>
      <c r="B823" s="201"/>
    </row>
    <row r="824" spans="1:2" x14ac:dyDescent="0.25">
      <c r="A824" s="201"/>
      <c r="B824" s="201"/>
    </row>
    <row r="825" spans="1:2" x14ac:dyDescent="0.25">
      <c r="A825" s="201"/>
      <c r="B825" s="201"/>
    </row>
    <row r="826" spans="1:2" x14ac:dyDescent="0.25">
      <c r="A826" s="201"/>
      <c r="B826" s="201"/>
    </row>
    <row r="827" spans="1:2" x14ac:dyDescent="0.25">
      <c r="A827" s="201"/>
      <c r="B827" s="201"/>
    </row>
    <row r="828" spans="1:2" x14ac:dyDescent="0.25">
      <c r="A828" s="201"/>
      <c r="B828" s="201"/>
    </row>
    <row r="829" spans="1:2" x14ac:dyDescent="0.25">
      <c r="A829" s="201"/>
      <c r="B829" s="201"/>
    </row>
    <row r="830" spans="1:2" x14ac:dyDescent="0.25">
      <c r="A830" s="201"/>
      <c r="B830" s="201"/>
    </row>
    <row r="831" spans="1:2" x14ac:dyDescent="0.25">
      <c r="A831" s="201"/>
      <c r="B831" s="201"/>
    </row>
    <row r="832" spans="1:2" x14ac:dyDescent="0.25">
      <c r="A832" s="201"/>
      <c r="B832" s="201"/>
    </row>
    <row r="833" spans="1:2" x14ac:dyDescent="0.25">
      <c r="A833" s="201"/>
      <c r="B833" s="201"/>
    </row>
    <row r="834" spans="1:2" x14ac:dyDescent="0.25">
      <c r="A834" s="201"/>
      <c r="B834" s="201"/>
    </row>
    <row r="835" spans="1:2" x14ac:dyDescent="0.25">
      <c r="A835" s="201"/>
      <c r="B835" s="201"/>
    </row>
    <row r="836" spans="1:2" x14ac:dyDescent="0.25">
      <c r="A836" s="201"/>
      <c r="B836" s="201"/>
    </row>
    <row r="837" spans="1:2" x14ac:dyDescent="0.25">
      <c r="A837" s="201"/>
      <c r="B837" s="201"/>
    </row>
    <row r="838" spans="1:2" x14ac:dyDescent="0.25">
      <c r="A838" s="201"/>
      <c r="B838" s="201"/>
    </row>
    <row r="839" spans="1:2" x14ac:dyDescent="0.25">
      <c r="A839" s="201"/>
      <c r="B839" s="201"/>
    </row>
    <row r="840" spans="1:2" x14ac:dyDescent="0.25">
      <c r="A840" s="201"/>
      <c r="B840" s="201"/>
    </row>
    <row r="841" spans="1:2" x14ac:dyDescent="0.25">
      <c r="A841" s="201"/>
      <c r="B841" s="201"/>
    </row>
    <row r="842" spans="1:2" x14ac:dyDescent="0.25">
      <c r="A842" s="201"/>
      <c r="B842" s="201"/>
    </row>
    <row r="843" spans="1:2" x14ac:dyDescent="0.25">
      <c r="A843" s="201"/>
      <c r="B843" s="201"/>
    </row>
    <row r="844" spans="1:2" x14ac:dyDescent="0.25">
      <c r="A844" s="201"/>
      <c r="B844" s="201"/>
    </row>
    <row r="845" spans="1:2" x14ac:dyDescent="0.25">
      <c r="A845" s="201"/>
      <c r="B845" s="201"/>
    </row>
    <row r="846" spans="1:2" x14ac:dyDescent="0.25">
      <c r="A846" s="201"/>
      <c r="B846" s="201"/>
    </row>
    <row r="847" spans="1:2" x14ac:dyDescent="0.25">
      <c r="A847" s="201"/>
      <c r="B847" s="201"/>
    </row>
    <row r="848" spans="1:2" x14ac:dyDescent="0.25">
      <c r="A848" s="201"/>
      <c r="B848" s="201"/>
    </row>
    <row r="849" spans="1:2" x14ac:dyDescent="0.25">
      <c r="A849" s="201"/>
      <c r="B849" s="201"/>
    </row>
    <row r="850" spans="1:2" x14ac:dyDescent="0.25">
      <c r="A850" s="201"/>
      <c r="B850" s="201"/>
    </row>
    <row r="851" spans="1:2" x14ac:dyDescent="0.25">
      <c r="A851" s="201"/>
      <c r="B851" s="201"/>
    </row>
    <row r="852" spans="1:2" x14ac:dyDescent="0.25">
      <c r="A852" s="201"/>
      <c r="B852" s="201"/>
    </row>
    <row r="853" spans="1:2" x14ac:dyDescent="0.25">
      <c r="A853" s="201"/>
      <c r="B853" s="201"/>
    </row>
    <row r="854" spans="1:2" x14ac:dyDescent="0.25">
      <c r="A854" s="201"/>
      <c r="B854" s="201"/>
    </row>
    <row r="855" spans="1:2" x14ac:dyDescent="0.25">
      <c r="A855" s="201"/>
      <c r="B855" s="201"/>
    </row>
    <row r="856" spans="1:2" x14ac:dyDescent="0.25">
      <c r="A856" s="201"/>
      <c r="B856" s="201"/>
    </row>
    <row r="857" spans="1:2" x14ac:dyDescent="0.25">
      <c r="A857" s="201"/>
      <c r="B857" s="201"/>
    </row>
    <row r="858" spans="1:2" x14ac:dyDescent="0.25">
      <c r="A858" s="201"/>
      <c r="B858" s="201"/>
    </row>
    <row r="859" spans="1:2" x14ac:dyDescent="0.25">
      <c r="A859" s="201"/>
      <c r="B859" s="201"/>
    </row>
    <row r="860" spans="1:2" x14ac:dyDescent="0.25">
      <c r="A860" s="201"/>
      <c r="B860" s="201"/>
    </row>
    <row r="861" spans="1:2" x14ac:dyDescent="0.25">
      <c r="A861" s="201"/>
      <c r="B861" s="201"/>
    </row>
    <row r="862" spans="1:2" x14ac:dyDescent="0.25">
      <c r="A862" s="201"/>
      <c r="B862" s="201"/>
    </row>
    <row r="863" spans="1:2" x14ac:dyDescent="0.25">
      <c r="A863" s="201"/>
      <c r="B863" s="201"/>
    </row>
    <row r="864" spans="1:2" x14ac:dyDescent="0.25">
      <c r="A864" s="201"/>
      <c r="B864" s="201"/>
    </row>
    <row r="865" spans="1:2" x14ac:dyDescent="0.25">
      <c r="A865" s="201"/>
      <c r="B865" s="201"/>
    </row>
    <row r="866" spans="1:2" x14ac:dyDescent="0.25">
      <c r="A866" s="201"/>
      <c r="B866" s="201"/>
    </row>
    <row r="867" spans="1:2" x14ac:dyDescent="0.25">
      <c r="A867" s="201"/>
      <c r="B867" s="201"/>
    </row>
    <row r="868" spans="1:2" x14ac:dyDescent="0.25">
      <c r="A868" s="201"/>
      <c r="B868" s="201"/>
    </row>
    <row r="869" spans="1:2" x14ac:dyDescent="0.25">
      <c r="A869" s="201"/>
      <c r="B869" s="201"/>
    </row>
    <row r="870" spans="1:2" x14ac:dyDescent="0.25">
      <c r="A870" s="201"/>
      <c r="B870" s="201"/>
    </row>
    <row r="871" spans="1:2" x14ac:dyDescent="0.25">
      <c r="A871" s="201"/>
      <c r="B871" s="201"/>
    </row>
    <row r="872" spans="1:2" x14ac:dyDescent="0.25">
      <c r="A872" s="201"/>
      <c r="B872" s="201"/>
    </row>
    <row r="873" spans="1:2" x14ac:dyDescent="0.25">
      <c r="A873" s="201"/>
      <c r="B873" s="201"/>
    </row>
    <row r="874" spans="1:2" x14ac:dyDescent="0.25">
      <c r="A874" s="201"/>
      <c r="B874" s="201"/>
    </row>
    <row r="875" spans="1:2" x14ac:dyDescent="0.25">
      <c r="A875" s="201"/>
      <c r="B875" s="201"/>
    </row>
    <row r="876" spans="1:2" x14ac:dyDescent="0.25">
      <c r="A876" s="201"/>
      <c r="B876" s="201"/>
    </row>
    <row r="877" spans="1:2" x14ac:dyDescent="0.25">
      <c r="A877" s="201"/>
      <c r="B877" s="201"/>
    </row>
    <row r="878" spans="1:2" x14ac:dyDescent="0.25">
      <c r="A878" s="201"/>
      <c r="B878" s="201"/>
    </row>
    <row r="879" spans="1:2" x14ac:dyDescent="0.25">
      <c r="A879" s="201"/>
      <c r="B879" s="201"/>
    </row>
    <row r="880" spans="1:2" x14ac:dyDescent="0.25">
      <c r="A880" s="201"/>
      <c r="B880" s="201"/>
    </row>
    <row r="881" spans="1:2" x14ac:dyDescent="0.25">
      <c r="A881" s="201"/>
      <c r="B881" s="201"/>
    </row>
    <row r="882" spans="1:2" x14ac:dyDescent="0.25">
      <c r="A882" s="201"/>
      <c r="B882" s="201"/>
    </row>
    <row r="883" spans="1:2" x14ac:dyDescent="0.25">
      <c r="A883" s="201"/>
      <c r="B883" s="201"/>
    </row>
    <row r="884" spans="1:2" x14ac:dyDescent="0.25">
      <c r="A884" s="201"/>
      <c r="B884" s="201"/>
    </row>
    <row r="885" spans="1:2" x14ac:dyDescent="0.25">
      <c r="A885" s="201"/>
      <c r="B885" s="201"/>
    </row>
    <row r="886" spans="1:2" x14ac:dyDescent="0.25">
      <c r="A886" s="201"/>
      <c r="B886" s="201"/>
    </row>
    <row r="887" spans="1:2" x14ac:dyDescent="0.25">
      <c r="A887" s="201"/>
      <c r="B887" s="201"/>
    </row>
    <row r="888" spans="1:2" x14ac:dyDescent="0.25">
      <c r="A888" s="201"/>
      <c r="B888" s="201"/>
    </row>
    <row r="889" spans="1:2" x14ac:dyDescent="0.25">
      <c r="A889" s="201"/>
      <c r="B889" s="201"/>
    </row>
    <row r="890" spans="1:2" x14ac:dyDescent="0.25">
      <c r="A890" s="201"/>
      <c r="B890" s="201"/>
    </row>
    <row r="891" spans="1:2" x14ac:dyDescent="0.25">
      <c r="A891" s="201"/>
      <c r="B891" s="201"/>
    </row>
    <row r="892" spans="1:2" x14ac:dyDescent="0.25">
      <c r="A892" s="201"/>
      <c r="B892" s="201"/>
    </row>
    <row r="893" spans="1:2" x14ac:dyDescent="0.25">
      <c r="A893" s="201"/>
      <c r="B893" s="201"/>
    </row>
    <row r="894" spans="1:2" x14ac:dyDescent="0.25">
      <c r="A894" s="201"/>
      <c r="B894" s="201"/>
    </row>
    <row r="895" spans="1:2" x14ac:dyDescent="0.25">
      <c r="A895" s="201"/>
      <c r="B895" s="201"/>
    </row>
    <row r="896" spans="1:2" x14ac:dyDescent="0.25">
      <c r="A896" s="201"/>
      <c r="B896" s="201"/>
    </row>
    <row r="897" spans="1:2" x14ac:dyDescent="0.25">
      <c r="A897" s="201"/>
      <c r="B897" s="201"/>
    </row>
    <row r="898" spans="1:2" x14ac:dyDescent="0.25">
      <c r="A898" s="201"/>
      <c r="B898" s="201"/>
    </row>
    <row r="899" spans="1:2" x14ac:dyDescent="0.25">
      <c r="A899" s="201"/>
      <c r="B899" s="201"/>
    </row>
    <row r="900" spans="1:2" x14ac:dyDescent="0.25">
      <c r="A900" s="201"/>
      <c r="B900" s="201"/>
    </row>
    <row r="901" spans="1:2" x14ac:dyDescent="0.25">
      <c r="A901" s="201"/>
      <c r="B901" s="201"/>
    </row>
    <row r="902" spans="1:2" x14ac:dyDescent="0.25">
      <c r="A902" s="201"/>
      <c r="B902" s="201"/>
    </row>
    <row r="903" spans="1:2" x14ac:dyDescent="0.25">
      <c r="A903" s="201"/>
      <c r="B903" s="201"/>
    </row>
    <row r="904" spans="1:2" x14ac:dyDescent="0.25">
      <c r="A904" s="201"/>
      <c r="B904" s="201"/>
    </row>
    <row r="905" spans="1:2" x14ac:dyDescent="0.25">
      <c r="A905" s="201"/>
      <c r="B905" s="201"/>
    </row>
    <row r="906" spans="1:2" x14ac:dyDescent="0.25">
      <c r="A906" s="201"/>
      <c r="B906" s="201"/>
    </row>
    <row r="907" spans="1:2" x14ac:dyDescent="0.25">
      <c r="A907" s="201"/>
      <c r="B907" s="201"/>
    </row>
    <row r="908" spans="1:2" x14ac:dyDescent="0.25">
      <c r="A908" s="201"/>
      <c r="B908" s="201"/>
    </row>
    <row r="909" spans="1:2" x14ac:dyDescent="0.25">
      <c r="A909" s="201"/>
      <c r="B909" s="201"/>
    </row>
    <row r="910" spans="1:2" x14ac:dyDescent="0.25">
      <c r="A910" s="201"/>
      <c r="B910" s="201"/>
    </row>
    <row r="911" spans="1:2" x14ac:dyDescent="0.25">
      <c r="A911" s="201"/>
      <c r="B911" s="201"/>
    </row>
    <row r="912" spans="1:2" x14ac:dyDescent="0.25">
      <c r="A912" s="201"/>
      <c r="B912" s="201"/>
    </row>
    <row r="913" spans="1:2" x14ac:dyDescent="0.25">
      <c r="A913" s="201"/>
      <c r="B913" s="201"/>
    </row>
    <row r="914" spans="1:2" x14ac:dyDescent="0.25">
      <c r="A914" s="201"/>
      <c r="B914" s="201"/>
    </row>
    <row r="915" spans="1:2" x14ac:dyDescent="0.25">
      <c r="A915" s="201"/>
      <c r="B915" s="201"/>
    </row>
    <row r="916" spans="1:2" x14ac:dyDescent="0.25">
      <c r="A916" s="201"/>
      <c r="B916" s="201"/>
    </row>
    <row r="917" spans="1:2" x14ac:dyDescent="0.25">
      <c r="A917" s="201"/>
      <c r="B917" s="201"/>
    </row>
    <row r="918" spans="1:2" x14ac:dyDescent="0.25">
      <c r="A918" s="201"/>
      <c r="B918" s="201"/>
    </row>
    <row r="919" spans="1:2" x14ac:dyDescent="0.25">
      <c r="A919" s="201"/>
      <c r="B919" s="201"/>
    </row>
    <row r="920" spans="1:2" x14ac:dyDescent="0.25">
      <c r="A920" s="201"/>
      <c r="B920" s="201"/>
    </row>
    <row r="921" spans="1:2" x14ac:dyDescent="0.25">
      <c r="A921" s="201"/>
      <c r="B921" s="201"/>
    </row>
    <row r="922" spans="1:2" x14ac:dyDescent="0.25">
      <c r="A922" s="201"/>
      <c r="B922" s="201"/>
    </row>
    <row r="923" spans="1:2" x14ac:dyDescent="0.25">
      <c r="A923" s="201"/>
      <c r="B923" s="201"/>
    </row>
    <row r="924" spans="1:2" x14ac:dyDescent="0.25">
      <c r="A924" s="201"/>
      <c r="B924" s="201"/>
    </row>
    <row r="925" spans="1:2" x14ac:dyDescent="0.25">
      <c r="A925" s="201"/>
      <c r="B925" s="201"/>
    </row>
    <row r="926" spans="1:2" x14ac:dyDescent="0.25">
      <c r="A926" s="201"/>
      <c r="B926" s="201"/>
    </row>
    <row r="927" spans="1:2" x14ac:dyDescent="0.25">
      <c r="A927" s="201"/>
      <c r="B927" s="201"/>
    </row>
    <row r="928" spans="1:2" x14ac:dyDescent="0.25">
      <c r="A928" s="201"/>
      <c r="B928" s="201"/>
    </row>
    <row r="929" spans="1:2" x14ac:dyDescent="0.25">
      <c r="A929" s="201"/>
      <c r="B929" s="201"/>
    </row>
    <row r="930" spans="1:2" x14ac:dyDescent="0.25">
      <c r="A930" s="201"/>
      <c r="B930" s="201"/>
    </row>
    <row r="931" spans="1:2" x14ac:dyDescent="0.25">
      <c r="A931" s="201"/>
      <c r="B931" s="201"/>
    </row>
    <row r="932" spans="1:2" x14ac:dyDescent="0.25">
      <c r="A932" s="201"/>
      <c r="B932" s="201"/>
    </row>
    <row r="933" spans="1:2" x14ac:dyDescent="0.25">
      <c r="A933" s="201"/>
      <c r="B933" s="201"/>
    </row>
    <row r="934" spans="1:2" x14ac:dyDescent="0.25">
      <c r="A934" s="201"/>
      <c r="B934" s="201"/>
    </row>
    <row r="935" spans="1:2" x14ac:dyDescent="0.25">
      <c r="A935" s="201"/>
      <c r="B935" s="201"/>
    </row>
    <row r="936" spans="1:2" x14ac:dyDescent="0.25">
      <c r="A936" s="201"/>
      <c r="B936" s="201"/>
    </row>
    <row r="937" spans="1:2" x14ac:dyDescent="0.25">
      <c r="A937" s="201"/>
      <c r="B937" s="201"/>
    </row>
    <row r="938" spans="1:2" x14ac:dyDescent="0.25">
      <c r="A938" s="201"/>
      <c r="B938" s="201"/>
    </row>
    <row r="939" spans="1:2" x14ac:dyDescent="0.25">
      <c r="A939" s="201"/>
      <c r="B939" s="201"/>
    </row>
    <row r="940" spans="1:2" x14ac:dyDescent="0.25">
      <c r="A940" s="201"/>
      <c r="B940" s="201"/>
    </row>
    <row r="941" spans="1:2" x14ac:dyDescent="0.25">
      <c r="A941" s="201"/>
      <c r="B941" s="201"/>
    </row>
    <row r="942" spans="1:2" x14ac:dyDescent="0.25">
      <c r="A942" s="201"/>
      <c r="B942" s="201"/>
    </row>
    <row r="943" spans="1:2" x14ac:dyDescent="0.25">
      <c r="A943" s="201"/>
      <c r="B943" s="201"/>
    </row>
    <row r="944" spans="1:2" x14ac:dyDescent="0.25">
      <c r="A944" s="201"/>
      <c r="B944" s="201"/>
    </row>
    <row r="945" spans="1:2" x14ac:dyDescent="0.25">
      <c r="A945" s="201"/>
      <c r="B945" s="201"/>
    </row>
    <row r="946" spans="1:2" x14ac:dyDescent="0.25">
      <c r="A946" s="201"/>
      <c r="B946" s="201"/>
    </row>
    <row r="947" spans="1:2" x14ac:dyDescent="0.25">
      <c r="A947" s="201"/>
      <c r="B947" s="201"/>
    </row>
    <row r="948" spans="1:2" x14ac:dyDescent="0.25">
      <c r="A948" s="201"/>
      <c r="B948" s="201"/>
    </row>
    <row r="949" spans="1:2" x14ac:dyDescent="0.25">
      <c r="A949" s="201"/>
      <c r="B949" s="201"/>
    </row>
    <row r="950" spans="1:2" x14ac:dyDescent="0.25">
      <c r="A950" s="201"/>
      <c r="B950" s="201"/>
    </row>
    <row r="951" spans="1:2" x14ac:dyDescent="0.25">
      <c r="A951" s="201"/>
      <c r="B951" s="201"/>
    </row>
    <row r="952" spans="1:2" x14ac:dyDescent="0.25">
      <c r="A952" s="201"/>
      <c r="B952" s="201"/>
    </row>
    <row r="953" spans="1:2" x14ac:dyDescent="0.25">
      <c r="A953" s="201"/>
      <c r="B953" s="201"/>
    </row>
    <row r="954" spans="1:2" x14ac:dyDescent="0.25">
      <c r="A954" s="201"/>
      <c r="B954" s="201"/>
    </row>
    <row r="955" spans="1:2" x14ac:dyDescent="0.25">
      <c r="A955" s="201"/>
      <c r="B955" s="201"/>
    </row>
    <row r="956" spans="1:2" x14ac:dyDescent="0.25">
      <c r="A956" s="201"/>
      <c r="B956" s="201"/>
    </row>
    <row r="957" spans="1:2" x14ac:dyDescent="0.25">
      <c r="A957" s="201"/>
      <c r="B957" s="201"/>
    </row>
    <row r="958" spans="1:2" x14ac:dyDescent="0.25">
      <c r="A958" s="201"/>
      <c r="B958" s="201"/>
    </row>
    <row r="959" spans="1:2" x14ac:dyDescent="0.25">
      <c r="A959" s="201"/>
      <c r="B959" s="201"/>
    </row>
    <row r="960" spans="1:2" x14ac:dyDescent="0.25">
      <c r="A960" s="201"/>
      <c r="B960" s="201"/>
    </row>
    <row r="961" spans="1:2" x14ac:dyDescent="0.25">
      <c r="A961" s="201"/>
      <c r="B961" s="201"/>
    </row>
    <row r="962" spans="1:2" x14ac:dyDescent="0.25">
      <c r="A962" s="201"/>
      <c r="B962" s="201"/>
    </row>
    <row r="963" spans="1:2" x14ac:dyDescent="0.25">
      <c r="A963" s="201"/>
      <c r="B963" s="201"/>
    </row>
    <row r="964" spans="1:2" x14ac:dyDescent="0.25">
      <c r="A964" s="201"/>
      <c r="B964" s="201"/>
    </row>
    <row r="965" spans="1:2" x14ac:dyDescent="0.25">
      <c r="A965" s="201"/>
      <c r="B965" s="201"/>
    </row>
    <row r="966" spans="1:2" x14ac:dyDescent="0.25">
      <c r="A966" s="201"/>
      <c r="B966" s="201"/>
    </row>
    <row r="967" spans="1:2" x14ac:dyDescent="0.25">
      <c r="A967" s="201"/>
      <c r="B967" s="201"/>
    </row>
    <row r="968" spans="1:2" x14ac:dyDescent="0.25">
      <c r="A968" s="201"/>
      <c r="B968" s="201"/>
    </row>
    <row r="969" spans="1:2" x14ac:dyDescent="0.25">
      <c r="A969" s="201"/>
      <c r="B969" s="201"/>
    </row>
    <row r="970" spans="1:2" x14ac:dyDescent="0.25">
      <c r="A970" s="201"/>
      <c r="B970" s="201"/>
    </row>
    <row r="971" spans="1:2" x14ac:dyDescent="0.25">
      <c r="A971" s="201"/>
      <c r="B971" s="201"/>
    </row>
    <row r="972" spans="1:2" x14ac:dyDescent="0.25">
      <c r="A972" s="201"/>
      <c r="B972" s="201"/>
    </row>
    <row r="973" spans="1:2" x14ac:dyDescent="0.25">
      <c r="A973" s="201"/>
      <c r="B973" s="201"/>
    </row>
    <row r="974" spans="1:2" x14ac:dyDescent="0.25">
      <c r="A974" s="201"/>
      <c r="B974" s="201"/>
    </row>
    <row r="975" spans="1:2" x14ac:dyDescent="0.25">
      <c r="A975" s="201"/>
      <c r="B975" s="201"/>
    </row>
    <row r="976" spans="1:2" x14ac:dyDescent="0.25">
      <c r="A976" s="201"/>
      <c r="B976" s="201"/>
    </row>
    <row r="977" spans="1:2" x14ac:dyDescent="0.25">
      <c r="A977" s="201"/>
      <c r="B977" s="201"/>
    </row>
    <row r="978" spans="1:2" x14ac:dyDescent="0.25">
      <c r="A978" s="201"/>
      <c r="B978" s="201"/>
    </row>
    <row r="979" spans="1:2" x14ac:dyDescent="0.25">
      <c r="A979" s="201"/>
      <c r="B979" s="201"/>
    </row>
    <row r="980" spans="1:2" x14ac:dyDescent="0.25">
      <c r="A980" s="201"/>
      <c r="B980" s="201"/>
    </row>
    <row r="981" spans="1:2" x14ac:dyDescent="0.25">
      <c r="A981" s="201"/>
      <c r="B981" s="201"/>
    </row>
    <row r="982" spans="1:2" x14ac:dyDescent="0.25">
      <c r="A982" s="201"/>
      <c r="B982" s="201"/>
    </row>
    <row r="983" spans="1:2" x14ac:dyDescent="0.25">
      <c r="A983" s="201"/>
      <c r="B983" s="201"/>
    </row>
    <row r="984" spans="1:2" x14ac:dyDescent="0.25">
      <c r="A984" s="201"/>
      <c r="B984" s="201"/>
    </row>
    <row r="985" spans="1:2" x14ac:dyDescent="0.25">
      <c r="A985" s="201"/>
      <c r="B985" s="201"/>
    </row>
    <row r="986" spans="1:2" x14ac:dyDescent="0.25">
      <c r="A986" s="201"/>
      <c r="B986" s="201"/>
    </row>
    <row r="987" spans="1:2" x14ac:dyDescent="0.25">
      <c r="A987" s="201"/>
      <c r="B987" s="201"/>
    </row>
    <row r="988" spans="1:2" x14ac:dyDescent="0.25">
      <c r="A988" s="201"/>
      <c r="B988" s="201"/>
    </row>
    <row r="989" spans="1:2" x14ac:dyDescent="0.25">
      <c r="A989" s="201"/>
      <c r="B989" s="201"/>
    </row>
    <row r="990" spans="1:2" x14ac:dyDescent="0.25">
      <c r="A990" s="201"/>
      <c r="B990" s="201"/>
    </row>
    <row r="991" spans="1:2" x14ac:dyDescent="0.25">
      <c r="A991" s="201"/>
      <c r="B991" s="201"/>
    </row>
    <row r="992" spans="1:2" x14ac:dyDescent="0.25">
      <c r="A992" s="201"/>
      <c r="B992" s="201"/>
    </row>
    <row r="993" spans="1:2" x14ac:dyDescent="0.25">
      <c r="A993" s="201"/>
      <c r="B993" s="201"/>
    </row>
    <row r="994" spans="1:2" x14ac:dyDescent="0.25">
      <c r="A994" s="201"/>
      <c r="B994" s="201"/>
    </row>
    <row r="995" spans="1:2" x14ac:dyDescent="0.25">
      <c r="A995" s="201"/>
      <c r="B995" s="201"/>
    </row>
    <row r="996" spans="1:2" x14ac:dyDescent="0.25">
      <c r="A996" s="201"/>
      <c r="B996" s="201"/>
    </row>
    <row r="997" spans="1:2" x14ac:dyDescent="0.25">
      <c r="A997" s="201"/>
      <c r="B997" s="201"/>
    </row>
    <row r="998" spans="1:2" x14ac:dyDescent="0.25">
      <c r="A998" s="201"/>
      <c r="B998" s="201"/>
    </row>
    <row r="999" spans="1:2" x14ac:dyDescent="0.25">
      <c r="A999" s="201"/>
      <c r="B999" s="201"/>
    </row>
    <row r="1000" spans="1:2" x14ac:dyDescent="0.25">
      <c r="A1000" s="201"/>
      <c r="B1000" s="201"/>
    </row>
    <row r="1001" spans="1:2" x14ac:dyDescent="0.25">
      <c r="A1001" s="201"/>
      <c r="B1001" s="201"/>
    </row>
    <row r="1002" spans="1:2" x14ac:dyDescent="0.25">
      <c r="A1002" s="201"/>
      <c r="B1002" s="201"/>
    </row>
    <row r="1003" spans="1:2" x14ac:dyDescent="0.25">
      <c r="A1003" s="201"/>
      <c r="B1003" s="201"/>
    </row>
    <row r="1004" spans="1:2" x14ac:dyDescent="0.25">
      <c r="A1004" s="201"/>
      <c r="B1004" s="201"/>
    </row>
    <row r="1005" spans="1:2" x14ac:dyDescent="0.25">
      <c r="A1005" s="201"/>
      <c r="B1005" s="201"/>
    </row>
    <row r="1006" spans="1:2" x14ac:dyDescent="0.25">
      <c r="A1006" s="201"/>
      <c r="B1006" s="201"/>
    </row>
    <row r="1007" spans="1:2" x14ac:dyDescent="0.25">
      <c r="A1007" s="201"/>
      <c r="B1007" s="201"/>
    </row>
    <row r="1008" spans="1:2" x14ac:dyDescent="0.25">
      <c r="A1008" s="201"/>
      <c r="B1008" s="201"/>
    </row>
    <row r="1009" spans="1:2" x14ac:dyDescent="0.25">
      <c r="A1009" s="201"/>
      <c r="B1009" s="201"/>
    </row>
    <row r="1010" spans="1:2" x14ac:dyDescent="0.25">
      <c r="A1010" s="201"/>
      <c r="B1010" s="201"/>
    </row>
    <row r="1011" spans="1:2" x14ac:dyDescent="0.25">
      <c r="A1011" s="201"/>
      <c r="B1011" s="201"/>
    </row>
    <row r="1012" spans="1:2" x14ac:dyDescent="0.25">
      <c r="A1012" s="201"/>
      <c r="B1012" s="201"/>
    </row>
    <row r="1013" spans="1:2" x14ac:dyDescent="0.25">
      <c r="A1013" s="201"/>
      <c r="B1013" s="201"/>
    </row>
    <row r="1014" spans="1:2" x14ac:dyDescent="0.25">
      <c r="A1014" s="201"/>
      <c r="B1014" s="201"/>
    </row>
    <row r="1015" spans="1:2" x14ac:dyDescent="0.25">
      <c r="A1015" s="201"/>
      <c r="B1015" s="201"/>
    </row>
    <row r="1016" spans="1:2" x14ac:dyDescent="0.25">
      <c r="A1016" s="201"/>
      <c r="B1016" s="201"/>
    </row>
    <row r="1017" spans="1:2" x14ac:dyDescent="0.25">
      <c r="A1017" s="201"/>
      <c r="B1017" s="201"/>
    </row>
    <row r="1018" spans="1:2" x14ac:dyDescent="0.25">
      <c r="A1018" s="201"/>
      <c r="B1018" s="201"/>
    </row>
    <row r="1019" spans="1:2" x14ac:dyDescent="0.25">
      <c r="A1019" s="201"/>
      <c r="B1019" s="201"/>
    </row>
    <row r="1020" spans="1:2" x14ac:dyDescent="0.25">
      <c r="A1020" s="201"/>
      <c r="B1020" s="201"/>
    </row>
    <row r="1021" spans="1:2" x14ac:dyDescent="0.25">
      <c r="A1021" s="201"/>
      <c r="B1021" s="201"/>
    </row>
    <row r="1022" spans="1:2" x14ac:dyDescent="0.25">
      <c r="A1022" s="201"/>
      <c r="B1022" s="201"/>
    </row>
    <row r="1023" spans="1:2" x14ac:dyDescent="0.25">
      <c r="A1023" s="201"/>
      <c r="B1023" s="201"/>
    </row>
    <row r="1024" spans="1:2" x14ac:dyDescent="0.25">
      <c r="A1024" s="201"/>
      <c r="B1024" s="201"/>
    </row>
    <row r="1025" spans="1:2" x14ac:dyDescent="0.25">
      <c r="A1025" s="201"/>
      <c r="B1025" s="201"/>
    </row>
    <row r="1026" spans="1:2" x14ac:dyDescent="0.25">
      <c r="A1026" s="201"/>
      <c r="B1026" s="201"/>
    </row>
    <row r="1027" spans="1:2" x14ac:dyDescent="0.25">
      <c r="A1027" s="201"/>
      <c r="B1027" s="201"/>
    </row>
    <row r="1028" spans="1:2" x14ac:dyDescent="0.25">
      <c r="A1028" s="201"/>
      <c r="B1028" s="201"/>
    </row>
    <row r="1029" spans="1:2" x14ac:dyDescent="0.25">
      <c r="A1029" s="201"/>
      <c r="B1029" s="201"/>
    </row>
    <row r="1030" spans="1:2" x14ac:dyDescent="0.25">
      <c r="A1030" s="201"/>
      <c r="B1030" s="201"/>
    </row>
    <row r="1031" spans="1:2" x14ac:dyDescent="0.25">
      <c r="A1031" s="201"/>
      <c r="B1031" s="201"/>
    </row>
    <row r="1032" spans="1:2" x14ac:dyDescent="0.25">
      <c r="A1032" s="201"/>
      <c r="B1032" s="201"/>
    </row>
    <row r="1033" spans="1:2" x14ac:dyDescent="0.25">
      <c r="A1033" s="201"/>
      <c r="B1033" s="201"/>
    </row>
    <row r="1034" spans="1:2" x14ac:dyDescent="0.25">
      <c r="A1034" s="201"/>
      <c r="B1034" s="201"/>
    </row>
    <row r="1035" spans="1:2" x14ac:dyDescent="0.25">
      <c r="A1035" s="201"/>
      <c r="B1035" s="201"/>
    </row>
    <row r="1036" spans="1:2" x14ac:dyDescent="0.25">
      <c r="A1036" s="201"/>
      <c r="B1036" s="201"/>
    </row>
    <row r="1037" spans="1:2" x14ac:dyDescent="0.25">
      <c r="A1037" s="201"/>
      <c r="B1037" s="201"/>
    </row>
    <row r="1038" spans="1:2" x14ac:dyDescent="0.25">
      <c r="A1038" s="201"/>
      <c r="B1038" s="201"/>
    </row>
    <row r="1039" spans="1:2" x14ac:dyDescent="0.25">
      <c r="A1039" s="201"/>
      <c r="B1039" s="201"/>
    </row>
    <row r="1040" spans="1:2" x14ac:dyDescent="0.25">
      <c r="A1040" s="201"/>
      <c r="B1040" s="201"/>
    </row>
    <row r="1041" spans="1:2" x14ac:dyDescent="0.25">
      <c r="A1041" s="201"/>
      <c r="B1041" s="201"/>
    </row>
    <row r="1042" spans="1:2" x14ac:dyDescent="0.25">
      <c r="A1042" s="201"/>
      <c r="B1042" s="201"/>
    </row>
    <row r="1043" spans="1:2" x14ac:dyDescent="0.25">
      <c r="A1043" s="201"/>
      <c r="B1043" s="201"/>
    </row>
    <row r="1044" spans="1:2" x14ac:dyDescent="0.25">
      <c r="A1044" s="201"/>
      <c r="B1044" s="201"/>
    </row>
    <row r="1045" spans="1:2" x14ac:dyDescent="0.25">
      <c r="A1045" s="201"/>
      <c r="B1045" s="201"/>
    </row>
    <row r="1046" spans="1:2" x14ac:dyDescent="0.25">
      <c r="A1046" s="201"/>
      <c r="B1046" s="201"/>
    </row>
    <row r="1047" spans="1:2" x14ac:dyDescent="0.25">
      <c r="A1047" s="201"/>
      <c r="B1047" s="201"/>
    </row>
    <row r="1048" spans="1:2" x14ac:dyDescent="0.25">
      <c r="A1048" s="201"/>
      <c r="B1048" s="201"/>
    </row>
    <row r="1049" spans="1:2" x14ac:dyDescent="0.25">
      <c r="A1049" s="201"/>
      <c r="B1049" s="201"/>
    </row>
    <row r="1050" spans="1:2" x14ac:dyDescent="0.25">
      <c r="A1050" s="201"/>
      <c r="B1050" s="201"/>
    </row>
    <row r="1051" spans="1:2" x14ac:dyDescent="0.25">
      <c r="A1051" s="201"/>
      <c r="B1051" s="201"/>
    </row>
    <row r="1052" spans="1:2" x14ac:dyDescent="0.25">
      <c r="A1052" s="201"/>
      <c r="B1052" s="201"/>
    </row>
    <row r="1053" spans="1:2" x14ac:dyDescent="0.25">
      <c r="A1053" s="201"/>
      <c r="B1053" s="201"/>
    </row>
    <row r="1054" spans="1:2" x14ac:dyDescent="0.25">
      <c r="A1054" s="201"/>
      <c r="B1054" s="201"/>
    </row>
    <row r="1055" spans="1:2" x14ac:dyDescent="0.25">
      <c r="A1055" s="201"/>
      <c r="B1055" s="201"/>
    </row>
    <row r="1056" spans="1:2" x14ac:dyDescent="0.25">
      <c r="A1056" s="201"/>
      <c r="B1056" s="201"/>
    </row>
    <row r="1057" spans="1:2" x14ac:dyDescent="0.25">
      <c r="A1057" s="201"/>
      <c r="B1057" s="201"/>
    </row>
    <row r="1058" spans="1:2" x14ac:dyDescent="0.25">
      <c r="A1058" s="201"/>
      <c r="B1058" s="201"/>
    </row>
    <row r="1059" spans="1:2" x14ac:dyDescent="0.25">
      <c r="A1059" s="201"/>
      <c r="B1059" s="201"/>
    </row>
    <row r="1060" spans="1:2" x14ac:dyDescent="0.25">
      <c r="A1060" s="201"/>
      <c r="B1060" s="201"/>
    </row>
    <row r="1061" spans="1:2" x14ac:dyDescent="0.25">
      <c r="A1061" s="201"/>
      <c r="B1061" s="201"/>
    </row>
    <row r="1062" spans="1:2" x14ac:dyDescent="0.25">
      <c r="A1062" s="201"/>
      <c r="B1062" s="201"/>
    </row>
    <row r="1063" spans="1:2" x14ac:dyDescent="0.25">
      <c r="A1063" s="201"/>
      <c r="B1063" s="201"/>
    </row>
    <row r="1064" spans="1:2" x14ac:dyDescent="0.25">
      <c r="A1064" s="201"/>
      <c r="B1064" s="201"/>
    </row>
    <row r="1065" spans="1:2" x14ac:dyDescent="0.25">
      <c r="A1065" s="201"/>
      <c r="B1065" s="201"/>
    </row>
    <row r="1066" spans="1:2" x14ac:dyDescent="0.25">
      <c r="A1066" s="201"/>
      <c r="B1066" s="201"/>
    </row>
    <row r="1067" spans="1:2" x14ac:dyDescent="0.25">
      <c r="A1067" s="201"/>
      <c r="B1067" s="201"/>
    </row>
    <row r="1068" spans="1:2" x14ac:dyDescent="0.25">
      <c r="A1068" s="201"/>
      <c r="B1068" s="201"/>
    </row>
    <row r="1069" spans="1:2" x14ac:dyDescent="0.25">
      <c r="A1069" s="201"/>
      <c r="B1069" s="201"/>
    </row>
    <row r="1070" spans="1:2" x14ac:dyDescent="0.25">
      <c r="A1070" s="201"/>
      <c r="B1070" s="201"/>
    </row>
    <row r="1071" spans="1:2" x14ac:dyDescent="0.25">
      <c r="A1071" s="201"/>
      <c r="B1071" s="201"/>
    </row>
    <row r="1072" spans="1:2" x14ac:dyDescent="0.25">
      <c r="A1072" s="201"/>
      <c r="B1072" s="201"/>
    </row>
    <row r="1073" spans="1:2" x14ac:dyDescent="0.25">
      <c r="A1073" s="201"/>
      <c r="B1073" s="201"/>
    </row>
    <row r="1074" spans="1:2" x14ac:dyDescent="0.25">
      <c r="A1074" s="201"/>
      <c r="B1074" s="201"/>
    </row>
    <row r="1075" spans="1:2" x14ac:dyDescent="0.25">
      <c r="A1075" s="201"/>
      <c r="B1075" s="201"/>
    </row>
    <row r="1076" spans="1:2" x14ac:dyDescent="0.25">
      <c r="A1076" s="201"/>
      <c r="B1076" s="201"/>
    </row>
    <row r="1077" spans="1:2" x14ac:dyDescent="0.25">
      <c r="A1077" s="201"/>
      <c r="B1077" s="201"/>
    </row>
    <row r="1078" spans="1:2" x14ac:dyDescent="0.25">
      <c r="A1078" s="201"/>
      <c r="B1078" s="201"/>
    </row>
    <row r="1079" spans="1:2" x14ac:dyDescent="0.25">
      <c r="A1079" s="201"/>
      <c r="B1079" s="201"/>
    </row>
    <row r="1080" spans="1:2" x14ac:dyDescent="0.25">
      <c r="A1080" s="201"/>
      <c r="B1080" s="201"/>
    </row>
    <row r="1081" spans="1:2" x14ac:dyDescent="0.25">
      <c r="A1081" s="201"/>
      <c r="B1081" s="201"/>
    </row>
    <row r="1082" spans="1:2" x14ac:dyDescent="0.25">
      <c r="A1082" s="201"/>
      <c r="B1082" s="201"/>
    </row>
    <row r="1083" spans="1:2" x14ac:dyDescent="0.25">
      <c r="A1083" s="201"/>
      <c r="B1083" s="201"/>
    </row>
    <row r="1084" spans="1:2" x14ac:dyDescent="0.25">
      <c r="A1084" s="201"/>
      <c r="B1084" s="201"/>
    </row>
    <row r="1085" spans="1:2" x14ac:dyDescent="0.25">
      <c r="A1085" s="201"/>
      <c r="B1085" s="201"/>
    </row>
    <row r="1086" spans="1:2" x14ac:dyDescent="0.25">
      <c r="A1086" s="201"/>
      <c r="B1086" s="201"/>
    </row>
    <row r="1087" spans="1:2" x14ac:dyDescent="0.25">
      <c r="A1087" s="201"/>
      <c r="B1087" s="201"/>
    </row>
    <row r="1088" spans="1:2" x14ac:dyDescent="0.25">
      <c r="A1088" s="201"/>
      <c r="B1088" s="201"/>
    </row>
    <row r="1089" spans="1:2" x14ac:dyDescent="0.25">
      <c r="A1089" s="201"/>
      <c r="B1089" s="201"/>
    </row>
    <row r="1090" spans="1:2" x14ac:dyDescent="0.25">
      <c r="A1090" s="201"/>
      <c r="B1090" s="201"/>
    </row>
    <row r="1091" spans="1:2" x14ac:dyDescent="0.25">
      <c r="A1091" s="201"/>
      <c r="B1091" s="201"/>
    </row>
    <row r="1092" spans="1:2" x14ac:dyDescent="0.25">
      <c r="A1092" s="201"/>
      <c r="B1092" s="201"/>
    </row>
    <row r="1093" spans="1:2" x14ac:dyDescent="0.25">
      <c r="A1093" s="201"/>
      <c r="B1093" s="201"/>
    </row>
    <row r="1094" spans="1:2" x14ac:dyDescent="0.25">
      <c r="A1094" s="201"/>
      <c r="B1094" s="201"/>
    </row>
    <row r="1095" spans="1:2" x14ac:dyDescent="0.25">
      <c r="A1095" s="201"/>
      <c r="B1095" s="201"/>
    </row>
    <row r="1096" spans="1:2" x14ac:dyDescent="0.25">
      <c r="A1096" s="201"/>
      <c r="B1096" s="201"/>
    </row>
    <row r="1097" spans="1:2" x14ac:dyDescent="0.25">
      <c r="A1097" s="201"/>
      <c r="B1097" s="201"/>
    </row>
    <row r="1098" spans="1:2" x14ac:dyDescent="0.25">
      <c r="A1098" s="201"/>
      <c r="B1098" s="201"/>
    </row>
    <row r="1099" spans="1:2" x14ac:dyDescent="0.25">
      <c r="A1099" s="201"/>
      <c r="B1099" s="201"/>
    </row>
    <row r="1100" spans="1:2" x14ac:dyDescent="0.25">
      <c r="A1100" s="201"/>
      <c r="B1100" s="201"/>
    </row>
    <row r="1101" spans="1:2" x14ac:dyDescent="0.25">
      <c r="A1101" s="201"/>
      <c r="B1101" s="201"/>
    </row>
    <row r="1102" spans="1:2" x14ac:dyDescent="0.25">
      <c r="A1102" s="201"/>
      <c r="B1102" s="201"/>
    </row>
    <row r="1103" spans="1:2" x14ac:dyDescent="0.25">
      <c r="A1103" s="201"/>
      <c r="B1103" s="201"/>
    </row>
    <row r="1104" spans="1:2" x14ac:dyDescent="0.25">
      <c r="A1104" s="201"/>
      <c r="B1104" s="201"/>
    </row>
    <row r="1105" spans="1:2" x14ac:dyDescent="0.25">
      <c r="A1105" s="201"/>
      <c r="B1105" s="201"/>
    </row>
    <row r="1106" spans="1:2" x14ac:dyDescent="0.25">
      <c r="A1106" s="201"/>
      <c r="B1106" s="201"/>
    </row>
    <row r="1107" spans="1:2" x14ac:dyDescent="0.25">
      <c r="A1107" s="201"/>
      <c r="B1107" s="201"/>
    </row>
    <row r="1108" spans="1:2" x14ac:dyDescent="0.25">
      <c r="A1108" s="201"/>
      <c r="B1108" s="201"/>
    </row>
    <row r="1109" spans="1:2" x14ac:dyDescent="0.25">
      <c r="A1109" s="201"/>
      <c r="B1109" s="201"/>
    </row>
    <row r="1110" spans="1:2" x14ac:dyDescent="0.25">
      <c r="A1110" s="201"/>
      <c r="B1110" s="201"/>
    </row>
    <row r="1111" spans="1:2" x14ac:dyDescent="0.25">
      <c r="A1111" s="201"/>
      <c r="B1111" s="201"/>
    </row>
    <row r="1112" spans="1:2" x14ac:dyDescent="0.25">
      <c r="A1112" s="201"/>
      <c r="B1112" s="201"/>
    </row>
    <row r="1113" spans="1:2" x14ac:dyDescent="0.25">
      <c r="A1113" s="201"/>
      <c r="B1113" s="201"/>
    </row>
    <row r="1114" spans="1:2" x14ac:dyDescent="0.25">
      <c r="A1114" s="201"/>
      <c r="B1114" s="201"/>
    </row>
    <row r="1115" spans="1:2" x14ac:dyDescent="0.25">
      <c r="A1115" s="201"/>
      <c r="B1115" s="201"/>
    </row>
    <row r="1116" spans="1:2" x14ac:dyDescent="0.25">
      <c r="A1116" s="201"/>
      <c r="B1116" s="201"/>
    </row>
    <row r="1117" spans="1:2" x14ac:dyDescent="0.25">
      <c r="A1117" s="201"/>
      <c r="B1117" s="201"/>
    </row>
    <row r="1118" spans="1:2" x14ac:dyDescent="0.25">
      <c r="A1118" s="201"/>
      <c r="B1118" s="201"/>
    </row>
    <row r="1119" spans="1:2" x14ac:dyDescent="0.25">
      <c r="A1119" s="201"/>
      <c r="B1119" s="201"/>
    </row>
    <row r="1120" spans="1:2" x14ac:dyDescent="0.25">
      <c r="A1120" s="201"/>
      <c r="B1120" s="201"/>
    </row>
    <row r="1121" spans="1:2" x14ac:dyDescent="0.25">
      <c r="A1121" s="201"/>
      <c r="B1121" s="201"/>
    </row>
    <row r="1122" spans="1:2" x14ac:dyDescent="0.25">
      <c r="A1122" s="201"/>
      <c r="B1122" s="201"/>
    </row>
    <row r="1123" spans="1:2" x14ac:dyDescent="0.25">
      <c r="A1123" s="201"/>
      <c r="B1123" s="201"/>
    </row>
    <row r="1124" spans="1:2" x14ac:dyDescent="0.25">
      <c r="A1124" s="201"/>
      <c r="B1124" s="201"/>
    </row>
    <row r="1125" spans="1:2" x14ac:dyDescent="0.25">
      <c r="A1125" s="201"/>
      <c r="B1125" s="201"/>
    </row>
    <row r="1126" spans="1:2" x14ac:dyDescent="0.25">
      <c r="A1126" s="201"/>
      <c r="B1126" s="201"/>
    </row>
    <row r="1127" spans="1:2" x14ac:dyDescent="0.25">
      <c r="A1127" s="201"/>
      <c r="B1127" s="201"/>
    </row>
    <row r="1128" spans="1:2" x14ac:dyDescent="0.25">
      <c r="A1128" s="201"/>
      <c r="B1128" s="201"/>
    </row>
    <row r="1129" spans="1:2" x14ac:dyDescent="0.25">
      <c r="A1129" s="201"/>
      <c r="B1129" s="201"/>
    </row>
    <row r="1130" spans="1:2" x14ac:dyDescent="0.25">
      <c r="A1130" s="201"/>
      <c r="B1130" s="201"/>
    </row>
    <row r="1131" spans="1:2" x14ac:dyDescent="0.25">
      <c r="A1131" s="201"/>
      <c r="B1131" s="201"/>
    </row>
    <row r="1132" spans="1:2" x14ac:dyDescent="0.25">
      <c r="A1132" s="201"/>
      <c r="B1132" s="201"/>
    </row>
    <row r="1133" spans="1:2" x14ac:dyDescent="0.25">
      <c r="A1133" s="201"/>
      <c r="B1133" s="201"/>
    </row>
    <row r="1134" spans="1:2" x14ac:dyDescent="0.25">
      <c r="A1134" s="201"/>
      <c r="B1134" s="201"/>
    </row>
    <row r="1135" spans="1:2" x14ac:dyDescent="0.25">
      <c r="A1135" s="201"/>
      <c r="B1135" s="201"/>
    </row>
    <row r="1136" spans="1:2" x14ac:dyDescent="0.25">
      <c r="A1136" s="201"/>
      <c r="B1136" s="201"/>
    </row>
    <row r="1137" spans="1:2" x14ac:dyDescent="0.25">
      <c r="A1137" s="201"/>
      <c r="B1137" s="201"/>
    </row>
    <row r="1138" spans="1:2" x14ac:dyDescent="0.25">
      <c r="A1138" s="201"/>
      <c r="B1138" s="201"/>
    </row>
    <row r="1139" spans="1:2" x14ac:dyDescent="0.25">
      <c r="A1139" s="201"/>
      <c r="B1139" s="201"/>
    </row>
    <row r="1140" spans="1:2" x14ac:dyDescent="0.25">
      <c r="A1140" s="201"/>
      <c r="B1140" s="201"/>
    </row>
    <row r="1141" spans="1:2" x14ac:dyDescent="0.25">
      <c r="A1141" s="201"/>
      <c r="B1141" s="201"/>
    </row>
    <row r="1142" spans="1:2" x14ac:dyDescent="0.25">
      <c r="A1142" s="201"/>
      <c r="B1142" s="201"/>
    </row>
    <row r="1143" spans="1:2" x14ac:dyDescent="0.25">
      <c r="A1143" s="201"/>
      <c r="B1143" s="201"/>
    </row>
    <row r="1144" spans="1:2" x14ac:dyDescent="0.25">
      <c r="A1144" s="201"/>
      <c r="B1144" s="201"/>
    </row>
    <row r="1145" spans="1:2" x14ac:dyDescent="0.25">
      <c r="A1145" s="201"/>
      <c r="B1145" s="201"/>
    </row>
    <row r="1146" spans="1:2" x14ac:dyDescent="0.25">
      <c r="A1146" s="201"/>
      <c r="B1146" s="201"/>
    </row>
    <row r="1147" spans="1:2" x14ac:dyDescent="0.25">
      <c r="A1147" s="201"/>
      <c r="B1147" s="201"/>
    </row>
    <row r="1148" spans="1:2" x14ac:dyDescent="0.25">
      <c r="A1148" s="201"/>
      <c r="B1148" s="201"/>
    </row>
    <row r="1149" spans="1:2" x14ac:dyDescent="0.25">
      <c r="A1149" s="201"/>
      <c r="B1149" s="201"/>
    </row>
    <row r="1150" spans="1:2" x14ac:dyDescent="0.25">
      <c r="A1150" s="201"/>
      <c r="B1150" s="201"/>
    </row>
    <row r="1151" spans="1:2" x14ac:dyDescent="0.25">
      <c r="A1151" s="201"/>
      <c r="B1151" s="201"/>
    </row>
    <row r="1152" spans="1:2" x14ac:dyDescent="0.25">
      <c r="A1152" s="201"/>
      <c r="B1152" s="201"/>
    </row>
    <row r="1153" spans="1:2" x14ac:dyDescent="0.25">
      <c r="A1153" s="201"/>
      <c r="B1153" s="201"/>
    </row>
    <row r="1154" spans="1:2" x14ac:dyDescent="0.25">
      <c r="A1154" s="201"/>
      <c r="B1154" s="201"/>
    </row>
    <row r="1155" spans="1:2" x14ac:dyDescent="0.25">
      <c r="A1155" s="201"/>
      <c r="B1155" s="201"/>
    </row>
    <row r="1156" spans="1:2" x14ac:dyDescent="0.25">
      <c r="A1156" s="201"/>
      <c r="B1156" s="201"/>
    </row>
    <row r="1157" spans="1:2" x14ac:dyDescent="0.25">
      <c r="A1157" s="201"/>
      <c r="B1157" s="201"/>
    </row>
    <row r="1158" spans="1:2" x14ac:dyDescent="0.25">
      <c r="A1158" s="201"/>
      <c r="B1158" s="201"/>
    </row>
    <row r="1159" spans="1:2" x14ac:dyDescent="0.25">
      <c r="A1159" s="201"/>
      <c r="B1159" s="201"/>
    </row>
    <row r="1160" spans="1:2" x14ac:dyDescent="0.25">
      <c r="A1160" s="201"/>
      <c r="B1160" s="201"/>
    </row>
    <row r="1161" spans="1:2" x14ac:dyDescent="0.25">
      <c r="A1161" s="201"/>
      <c r="B1161" s="201"/>
    </row>
    <row r="1162" spans="1:2" x14ac:dyDescent="0.25">
      <c r="A1162" s="201"/>
      <c r="B1162" s="201"/>
    </row>
    <row r="1163" spans="1:2" x14ac:dyDescent="0.25">
      <c r="A1163" s="201"/>
      <c r="B1163" s="201"/>
    </row>
    <row r="1164" spans="1:2" x14ac:dyDescent="0.25">
      <c r="A1164" s="201"/>
      <c r="B1164" s="201"/>
    </row>
    <row r="1165" spans="1:2" x14ac:dyDescent="0.25">
      <c r="A1165" s="201"/>
      <c r="B1165" s="201"/>
    </row>
    <row r="1166" spans="1:2" x14ac:dyDescent="0.25">
      <c r="A1166" s="201"/>
      <c r="B1166" s="201"/>
    </row>
    <row r="1167" spans="1:2" x14ac:dyDescent="0.25">
      <c r="A1167" s="201"/>
      <c r="B1167" s="201"/>
    </row>
    <row r="1168" spans="1:2" x14ac:dyDescent="0.25">
      <c r="A1168" s="201"/>
      <c r="B1168" s="201"/>
    </row>
    <row r="1169" spans="1:2" x14ac:dyDescent="0.25">
      <c r="A1169" s="201"/>
      <c r="B1169" s="201"/>
    </row>
    <row r="1170" spans="1:2" x14ac:dyDescent="0.25">
      <c r="A1170" s="201"/>
      <c r="B1170" s="201"/>
    </row>
    <row r="1171" spans="1:2" x14ac:dyDescent="0.25">
      <c r="A1171" s="201"/>
      <c r="B1171" s="201"/>
    </row>
    <row r="1172" spans="1:2" x14ac:dyDescent="0.25">
      <c r="A1172" s="201"/>
      <c r="B1172" s="201"/>
    </row>
    <row r="1173" spans="1:2" x14ac:dyDescent="0.25">
      <c r="A1173" s="201"/>
      <c r="B1173" s="201"/>
    </row>
    <row r="1174" spans="1:2" x14ac:dyDescent="0.25">
      <c r="A1174" s="201"/>
      <c r="B1174" s="201"/>
    </row>
    <row r="1175" spans="1:2" x14ac:dyDescent="0.25">
      <c r="A1175" s="201"/>
      <c r="B1175" s="201"/>
    </row>
    <row r="1176" spans="1:2" x14ac:dyDescent="0.25">
      <c r="A1176" s="201"/>
      <c r="B1176" s="201"/>
    </row>
    <row r="1177" spans="1:2" x14ac:dyDescent="0.25">
      <c r="A1177" s="201"/>
      <c r="B1177" s="201"/>
    </row>
    <row r="1178" spans="1:2" x14ac:dyDescent="0.25">
      <c r="A1178" s="201"/>
      <c r="B1178" s="201"/>
    </row>
    <row r="1179" spans="1:2" x14ac:dyDescent="0.25">
      <c r="A1179" s="201"/>
      <c r="B1179" s="201"/>
    </row>
    <row r="1180" spans="1:2" x14ac:dyDescent="0.25">
      <c r="A1180" s="201"/>
      <c r="B1180" s="201"/>
    </row>
    <row r="1181" spans="1:2" x14ac:dyDescent="0.25">
      <c r="A1181" s="201"/>
      <c r="B1181" s="201"/>
    </row>
    <row r="1182" spans="1:2" x14ac:dyDescent="0.25">
      <c r="A1182" s="201"/>
      <c r="B1182" s="201"/>
    </row>
    <row r="1183" spans="1:2" x14ac:dyDescent="0.25">
      <c r="A1183" s="201"/>
      <c r="B1183" s="201"/>
    </row>
    <row r="1184" spans="1:2" x14ac:dyDescent="0.25">
      <c r="A1184" s="201"/>
      <c r="B1184" s="201"/>
    </row>
    <row r="1185" spans="1:2" x14ac:dyDescent="0.25">
      <c r="A1185" s="201"/>
      <c r="B1185" s="201"/>
    </row>
    <row r="1186" spans="1:2" x14ac:dyDescent="0.25">
      <c r="A1186" s="201"/>
      <c r="B1186" s="201"/>
    </row>
    <row r="1187" spans="1:2" x14ac:dyDescent="0.25">
      <c r="A1187" s="201"/>
      <c r="B1187" s="201"/>
    </row>
    <row r="1188" spans="1:2" x14ac:dyDescent="0.25">
      <c r="A1188" s="201"/>
      <c r="B1188" s="201"/>
    </row>
    <row r="1189" spans="1:2" x14ac:dyDescent="0.25">
      <c r="A1189" s="201"/>
      <c r="B1189" s="201"/>
    </row>
    <row r="1190" spans="1:2" x14ac:dyDescent="0.25">
      <c r="A1190" s="201"/>
      <c r="B1190" s="201"/>
    </row>
    <row r="1191" spans="1:2" x14ac:dyDescent="0.25">
      <c r="A1191" s="201"/>
      <c r="B1191" s="201"/>
    </row>
    <row r="1192" spans="1:2" x14ac:dyDescent="0.25">
      <c r="A1192" s="201"/>
      <c r="B1192" s="201"/>
    </row>
    <row r="1193" spans="1:2" x14ac:dyDescent="0.25">
      <c r="A1193" s="201"/>
      <c r="B1193" s="201"/>
    </row>
    <row r="1194" spans="1:2" x14ac:dyDescent="0.25">
      <c r="A1194" s="201"/>
      <c r="B1194" s="201"/>
    </row>
    <row r="1195" spans="1:2" x14ac:dyDescent="0.25">
      <c r="A1195" s="201"/>
      <c r="B1195" s="201"/>
    </row>
    <row r="1196" spans="1:2" x14ac:dyDescent="0.25">
      <c r="A1196" s="201"/>
      <c r="B1196" s="201"/>
    </row>
    <row r="1197" spans="1:2" x14ac:dyDescent="0.25">
      <c r="A1197" s="201"/>
      <c r="B1197" s="201"/>
    </row>
    <row r="1198" spans="1:2" x14ac:dyDescent="0.25">
      <c r="A1198" s="201"/>
      <c r="B1198" s="201"/>
    </row>
    <row r="1199" spans="1:2" x14ac:dyDescent="0.25">
      <c r="A1199" s="201"/>
      <c r="B1199" s="201"/>
    </row>
    <row r="1200" spans="1:2" x14ac:dyDescent="0.25">
      <c r="A1200" s="201"/>
      <c r="B1200" s="201"/>
    </row>
    <row r="1201" spans="1:2" x14ac:dyDescent="0.25">
      <c r="A1201" s="201"/>
      <c r="B1201" s="201"/>
    </row>
    <row r="1202" spans="1:2" x14ac:dyDescent="0.25">
      <c r="A1202" s="201"/>
      <c r="B1202" s="201"/>
    </row>
    <row r="1203" spans="1:2" x14ac:dyDescent="0.25">
      <c r="A1203" s="201"/>
      <c r="B1203" s="201"/>
    </row>
    <row r="1204" spans="1:2" x14ac:dyDescent="0.25">
      <c r="A1204" s="201"/>
      <c r="B1204" s="201"/>
    </row>
    <row r="1205" spans="1:2" x14ac:dyDescent="0.25">
      <c r="A1205" s="201"/>
      <c r="B1205" s="201"/>
    </row>
    <row r="1206" spans="1:2" x14ac:dyDescent="0.25">
      <c r="A1206" s="201"/>
      <c r="B1206" s="201"/>
    </row>
    <row r="1207" spans="1:2" x14ac:dyDescent="0.25">
      <c r="A1207" s="201"/>
      <c r="B1207" s="201"/>
    </row>
    <row r="1208" spans="1:2" x14ac:dyDescent="0.25">
      <c r="A1208" s="201"/>
      <c r="B1208" s="201"/>
    </row>
    <row r="1209" spans="1:2" x14ac:dyDescent="0.25">
      <c r="A1209" s="201"/>
      <c r="B1209" s="201"/>
    </row>
    <row r="1210" spans="1:2" x14ac:dyDescent="0.25">
      <c r="A1210" s="201"/>
      <c r="B1210" s="201"/>
    </row>
    <row r="1211" spans="1:2" x14ac:dyDescent="0.25">
      <c r="A1211" s="201"/>
      <c r="B1211" s="201"/>
    </row>
    <row r="1212" spans="1:2" x14ac:dyDescent="0.25">
      <c r="A1212" s="201"/>
      <c r="B1212" s="201"/>
    </row>
    <row r="1213" spans="1:2" x14ac:dyDescent="0.25">
      <c r="A1213" s="201"/>
      <c r="B1213" s="201"/>
    </row>
    <row r="1214" spans="1:2" x14ac:dyDescent="0.25">
      <c r="A1214" s="201"/>
      <c r="B1214" s="201"/>
    </row>
    <row r="1215" spans="1:2" x14ac:dyDescent="0.25">
      <c r="A1215" s="201"/>
      <c r="B1215" s="201"/>
    </row>
    <row r="1216" spans="1:2" x14ac:dyDescent="0.25">
      <c r="A1216" s="201"/>
      <c r="B1216" s="201"/>
    </row>
    <row r="1217" spans="1:2" x14ac:dyDescent="0.25">
      <c r="A1217" s="201"/>
      <c r="B1217" s="201"/>
    </row>
    <row r="1218" spans="1:2" x14ac:dyDescent="0.25">
      <c r="A1218" s="201"/>
      <c r="B1218" s="201"/>
    </row>
    <row r="1219" spans="1:2" x14ac:dyDescent="0.25">
      <c r="A1219" s="201"/>
      <c r="B1219" s="201"/>
    </row>
    <row r="1220" spans="1:2" x14ac:dyDescent="0.25">
      <c r="A1220" s="201"/>
      <c r="B1220" s="201"/>
    </row>
    <row r="1221" spans="1:2" x14ac:dyDescent="0.25">
      <c r="A1221" s="201"/>
      <c r="B1221" s="201"/>
    </row>
    <row r="1222" spans="1:2" x14ac:dyDescent="0.25">
      <c r="A1222" s="201"/>
      <c r="B1222" s="201"/>
    </row>
    <row r="1223" spans="1:2" x14ac:dyDescent="0.25">
      <c r="A1223" s="201"/>
      <c r="B1223" s="201"/>
    </row>
    <row r="1224" spans="1:2" x14ac:dyDescent="0.25">
      <c r="A1224" s="201"/>
      <c r="B1224" s="201"/>
    </row>
    <row r="1225" spans="1:2" x14ac:dyDescent="0.25">
      <c r="A1225" s="201"/>
      <c r="B1225" s="201"/>
    </row>
    <row r="1226" spans="1:2" x14ac:dyDescent="0.25">
      <c r="A1226" s="201"/>
      <c r="B1226" s="201"/>
    </row>
    <row r="1227" spans="1:2" x14ac:dyDescent="0.25">
      <c r="A1227" s="201"/>
      <c r="B1227" s="201"/>
    </row>
    <row r="1228" spans="1:2" x14ac:dyDescent="0.25">
      <c r="A1228" s="201"/>
      <c r="B1228" s="201"/>
    </row>
    <row r="1229" spans="1:2" x14ac:dyDescent="0.25">
      <c r="A1229" s="201"/>
      <c r="B1229" s="201"/>
    </row>
    <row r="1230" spans="1:2" x14ac:dyDescent="0.25">
      <c r="A1230" s="201"/>
      <c r="B1230" s="201"/>
    </row>
    <row r="1231" spans="1:2" x14ac:dyDescent="0.25">
      <c r="A1231" s="201"/>
      <c r="B1231" s="201"/>
    </row>
    <row r="1232" spans="1:2" x14ac:dyDescent="0.25">
      <c r="A1232" s="201"/>
      <c r="B1232" s="201"/>
    </row>
    <row r="1233" spans="1:2" x14ac:dyDescent="0.25">
      <c r="A1233" s="201"/>
      <c r="B1233" s="201"/>
    </row>
    <row r="1234" spans="1:2" x14ac:dyDescent="0.25">
      <c r="A1234" s="201"/>
      <c r="B1234" s="201"/>
    </row>
    <row r="1235" spans="1:2" x14ac:dyDescent="0.25">
      <c r="A1235" s="201"/>
      <c r="B1235" s="201"/>
    </row>
    <row r="1236" spans="1:2" x14ac:dyDescent="0.25">
      <c r="A1236" s="201"/>
      <c r="B1236" s="201"/>
    </row>
    <row r="1237" spans="1:2" x14ac:dyDescent="0.25">
      <c r="A1237" s="201"/>
      <c r="B1237" s="201"/>
    </row>
    <row r="1238" spans="1:2" x14ac:dyDescent="0.25">
      <c r="A1238" s="201"/>
      <c r="B1238" s="201"/>
    </row>
    <row r="1239" spans="1:2" x14ac:dyDescent="0.25">
      <c r="A1239" s="201"/>
      <c r="B1239" s="201"/>
    </row>
    <row r="1240" spans="1:2" x14ac:dyDescent="0.25">
      <c r="A1240" s="201"/>
      <c r="B1240" s="201"/>
    </row>
    <row r="1241" spans="1:2" x14ac:dyDescent="0.25">
      <c r="A1241" s="201"/>
      <c r="B1241" s="201"/>
    </row>
    <row r="1242" spans="1:2" x14ac:dyDescent="0.25">
      <c r="A1242" s="201"/>
      <c r="B1242" s="201"/>
    </row>
    <row r="1243" spans="1:2" x14ac:dyDescent="0.25">
      <c r="A1243" s="201"/>
      <c r="B1243" s="201"/>
    </row>
    <row r="1244" spans="1:2" x14ac:dyDescent="0.25">
      <c r="A1244" s="201"/>
      <c r="B1244" s="201"/>
    </row>
    <row r="1245" spans="1:2" x14ac:dyDescent="0.25">
      <c r="A1245" s="201"/>
      <c r="B1245" s="201"/>
    </row>
    <row r="1246" spans="1:2" x14ac:dyDescent="0.25">
      <c r="A1246" s="201"/>
      <c r="B1246" s="201"/>
    </row>
    <row r="1247" spans="1:2" x14ac:dyDescent="0.25">
      <c r="A1247" s="201"/>
      <c r="B1247" s="201"/>
    </row>
    <row r="1248" spans="1:2" x14ac:dyDescent="0.25">
      <c r="A1248" s="201"/>
      <c r="B1248" s="201"/>
    </row>
    <row r="1249" spans="1:2" x14ac:dyDescent="0.25">
      <c r="A1249" s="201"/>
      <c r="B1249" s="201"/>
    </row>
    <row r="1250" spans="1:2" x14ac:dyDescent="0.25">
      <c r="A1250" s="201"/>
      <c r="B1250" s="201"/>
    </row>
    <row r="1251" spans="1:2" x14ac:dyDescent="0.25">
      <c r="A1251" s="201"/>
      <c r="B1251" s="201"/>
    </row>
    <row r="1252" spans="1:2" x14ac:dyDescent="0.25">
      <c r="A1252" s="201"/>
      <c r="B1252" s="201"/>
    </row>
    <row r="1253" spans="1:2" x14ac:dyDescent="0.25">
      <c r="A1253" s="201"/>
      <c r="B1253" s="201"/>
    </row>
    <row r="1254" spans="1:2" x14ac:dyDescent="0.25">
      <c r="A1254" s="201"/>
      <c r="B1254" s="201"/>
    </row>
    <row r="1255" spans="1:2" x14ac:dyDescent="0.25">
      <c r="A1255" s="201"/>
      <c r="B1255" s="201"/>
    </row>
    <row r="1256" spans="1:2" x14ac:dyDescent="0.25">
      <c r="A1256" s="201"/>
      <c r="B1256" s="201"/>
    </row>
    <row r="1257" spans="1:2" x14ac:dyDescent="0.25">
      <c r="A1257" s="201"/>
      <c r="B1257" s="201"/>
    </row>
    <row r="1258" spans="1:2" x14ac:dyDescent="0.25">
      <c r="A1258" s="201"/>
      <c r="B1258" s="201"/>
    </row>
    <row r="1259" spans="1:2" x14ac:dyDescent="0.25">
      <c r="A1259" s="201"/>
      <c r="B1259" s="201"/>
    </row>
    <row r="1260" spans="1:2" x14ac:dyDescent="0.25">
      <c r="A1260" s="201"/>
      <c r="B1260" s="201"/>
    </row>
    <row r="1261" spans="1:2" x14ac:dyDescent="0.25">
      <c r="A1261" s="201"/>
      <c r="B1261" s="201"/>
    </row>
    <row r="1262" spans="1:2" x14ac:dyDescent="0.25">
      <c r="A1262" s="201"/>
      <c r="B1262" s="201"/>
    </row>
    <row r="1263" spans="1:2" x14ac:dyDescent="0.25">
      <c r="A1263" s="201"/>
      <c r="B1263" s="201"/>
    </row>
    <row r="1264" spans="1:2" x14ac:dyDescent="0.25">
      <c r="A1264" s="201"/>
      <c r="B1264" s="201"/>
    </row>
    <row r="1265" spans="1:2" x14ac:dyDescent="0.25">
      <c r="A1265" s="201"/>
      <c r="B1265" s="201"/>
    </row>
    <row r="1266" spans="1:2" x14ac:dyDescent="0.25">
      <c r="A1266" s="201"/>
      <c r="B1266" s="201"/>
    </row>
    <row r="1267" spans="1:2" x14ac:dyDescent="0.25">
      <c r="A1267" s="201"/>
      <c r="B1267" s="201"/>
    </row>
    <row r="1268" spans="1:2" x14ac:dyDescent="0.25">
      <c r="A1268" s="201"/>
      <c r="B1268" s="201"/>
    </row>
    <row r="1269" spans="1:2" x14ac:dyDescent="0.25">
      <c r="A1269" s="201"/>
      <c r="B1269" s="201"/>
    </row>
    <row r="1270" spans="1:2" x14ac:dyDescent="0.25">
      <c r="A1270" s="201"/>
      <c r="B1270" s="201"/>
    </row>
    <row r="1271" spans="1:2" x14ac:dyDescent="0.25">
      <c r="A1271" s="201"/>
      <c r="B1271" s="201"/>
    </row>
    <row r="1272" spans="1:2" x14ac:dyDescent="0.25">
      <c r="A1272" s="201"/>
      <c r="B1272" s="201"/>
    </row>
    <row r="1273" spans="1:2" x14ac:dyDescent="0.25">
      <c r="A1273" s="201"/>
      <c r="B1273" s="201"/>
    </row>
    <row r="1274" spans="1:2" x14ac:dyDescent="0.25">
      <c r="A1274" s="201"/>
      <c r="B1274" s="201"/>
    </row>
    <row r="1275" spans="1:2" x14ac:dyDescent="0.25">
      <c r="A1275" s="201"/>
      <c r="B1275" s="201"/>
    </row>
    <row r="1276" spans="1:2" x14ac:dyDescent="0.25">
      <c r="A1276" s="201"/>
      <c r="B1276" s="201"/>
    </row>
    <row r="1277" spans="1:2" x14ac:dyDescent="0.25">
      <c r="A1277" s="201"/>
      <c r="B1277" s="201"/>
    </row>
    <row r="1278" spans="1:2" x14ac:dyDescent="0.25">
      <c r="A1278" s="201"/>
      <c r="B1278" s="201"/>
    </row>
    <row r="1279" spans="1:2" x14ac:dyDescent="0.25">
      <c r="A1279" s="201"/>
      <c r="B1279" s="201"/>
    </row>
    <row r="1280" spans="1:2" x14ac:dyDescent="0.25">
      <c r="A1280" s="201"/>
      <c r="B1280" s="201"/>
    </row>
    <row r="1281" spans="1:2" x14ac:dyDescent="0.25">
      <c r="A1281" s="201"/>
      <c r="B1281" s="201"/>
    </row>
    <row r="1282" spans="1:2" x14ac:dyDescent="0.25">
      <c r="A1282" s="201"/>
      <c r="B1282" s="201"/>
    </row>
    <row r="1283" spans="1:2" x14ac:dyDescent="0.25">
      <c r="A1283" s="201"/>
      <c r="B1283" s="201"/>
    </row>
    <row r="1284" spans="1:2" x14ac:dyDescent="0.25">
      <c r="A1284" s="201"/>
      <c r="B1284" s="201"/>
    </row>
    <row r="1285" spans="1:2" x14ac:dyDescent="0.25">
      <c r="A1285" s="201"/>
      <c r="B1285" s="201"/>
    </row>
    <row r="1286" spans="1:2" x14ac:dyDescent="0.25">
      <c r="A1286" s="201"/>
      <c r="B1286" s="201"/>
    </row>
    <row r="1287" spans="1:2" x14ac:dyDescent="0.25">
      <c r="A1287" s="201"/>
      <c r="B1287" s="201"/>
    </row>
    <row r="1288" spans="1:2" x14ac:dyDescent="0.25">
      <c r="A1288" s="201"/>
      <c r="B1288" s="201"/>
    </row>
    <row r="1289" spans="1:2" x14ac:dyDescent="0.25">
      <c r="A1289" s="201"/>
      <c r="B1289" s="201"/>
    </row>
    <row r="1290" spans="1:2" x14ac:dyDescent="0.25">
      <c r="A1290" s="201"/>
      <c r="B1290" s="201"/>
    </row>
    <row r="1291" spans="1:2" x14ac:dyDescent="0.25">
      <c r="A1291" s="201"/>
      <c r="B1291" s="201"/>
    </row>
    <row r="1292" spans="1:2" x14ac:dyDescent="0.25">
      <c r="A1292" s="201"/>
      <c r="B1292" s="201"/>
    </row>
    <row r="1293" spans="1:2" x14ac:dyDescent="0.25">
      <c r="A1293" s="201"/>
      <c r="B1293" s="201"/>
    </row>
    <row r="1294" spans="1:2" x14ac:dyDescent="0.25">
      <c r="A1294" s="201"/>
      <c r="B1294" s="201"/>
    </row>
    <row r="1295" spans="1:2" x14ac:dyDescent="0.25">
      <c r="A1295" s="201"/>
      <c r="B1295" s="201"/>
    </row>
    <row r="1296" spans="1:2" x14ac:dyDescent="0.25">
      <c r="A1296" s="201"/>
      <c r="B1296" s="201"/>
    </row>
    <row r="1297" spans="1:2" x14ac:dyDescent="0.25">
      <c r="A1297" s="201"/>
      <c r="B1297" s="201"/>
    </row>
    <row r="1298" spans="1:2" x14ac:dyDescent="0.25">
      <c r="A1298" s="201"/>
      <c r="B1298" s="201"/>
    </row>
    <row r="1299" spans="1:2" x14ac:dyDescent="0.25">
      <c r="A1299" s="201"/>
      <c r="B1299" s="201"/>
    </row>
    <row r="1300" spans="1:2" x14ac:dyDescent="0.25">
      <c r="A1300" s="201"/>
      <c r="B1300" s="201"/>
    </row>
    <row r="1301" spans="1:2" x14ac:dyDescent="0.25">
      <c r="A1301" s="201"/>
      <c r="B1301" s="201"/>
    </row>
    <row r="1302" spans="1:2" x14ac:dyDescent="0.25">
      <c r="A1302" s="201"/>
      <c r="B1302" s="201"/>
    </row>
    <row r="1303" spans="1:2" x14ac:dyDescent="0.25">
      <c r="A1303" s="201"/>
      <c r="B1303" s="201"/>
    </row>
    <row r="1304" spans="1:2" x14ac:dyDescent="0.25">
      <c r="A1304" s="201"/>
      <c r="B1304" s="201"/>
    </row>
    <row r="1305" spans="1:2" x14ac:dyDescent="0.25">
      <c r="A1305" s="201"/>
      <c r="B1305" s="201"/>
    </row>
    <row r="1306" spans="1:2" x14ac:dyDescent="0.25">
      <c r="A1306" s="201"/>
      <c r="B1306" s="201"/>
    </row>
    <row r="1307" spans="1:2" x14ac:dyDescent="0.25">
      <c r="A1307" s="201"/>
      <c r="B1307" s="201"/>
    </row>
    <row r="1308" spans="1:2" x14ac:dyDescent="0.25">
      <c r="A1308" s="201"/>
      <c r="B1308" s="201"/>
    </row>
    <row r="1309" spans="1:2" x14ac:dyDescent="0.25">
      <c r="A1309" s="201"/>
      <c r="B1309" s="201"/>
    </row>
    <row r="1310" spans="1:2" x14ac:dyDescent="0.25">
      <c r="A1310" s="201"/>
      <c r="B1310" s="201"/>
    </row>
    <row r="1311" spans="1:2" x14ac:dyDescent="0.25">
      <c r="A1311" s="201"/>
      <c r="B1311" s="201"/>
    </row>
    <row r="1312" spans="1:2" x14ac:dyDescent="0.25">
      <c r="A1312" s="201"/>
      <c r="B1312" s="201"/>
    </row>
    <row r="1313" spans="1:2" x14ac:dyDescent="0.25">
      <c r="A1313" s="201"/>
      <c r="B1313" s="201"/>
    </row>
    <row r="1314" spans="1:2" x14ac:dyDescent="0.25">
      <c r="A1314" s="201"/>
      <c r="B1314" s="201"/>
    </row>
    <row r="1315" spans="1:2" x14ac:dyDescent="0.25">
      <c r="A1315" s="201"/>
      <c r="B1315" s="201"/>
    </row>
    <row r="1316" spans="1:2" x14ac:dyDescent="0.25">
      <c r="A1316" s="201"/>
      <c r="B1316" s="201"/>
    </row>
    <row r="1317" spans="1:2" x14ac:dyDescent="0.25">
      <c r="A1317" s="201"/>
      <c r="B1317" s="201"/>
    </row>
    <row r="1318" spans="1:2" x14ac:dyDescent="0.25">
      <c r="A1318" s="201"/>
      <c r="B1318" s="201"/>
    </row>
    <row r="1319" spans="1:2" x14ac:dyDescent="0.25">
      <c r="A1319" s="201"/>
      <c r="B1319" s="201"/>
    </row>
    <row r="1320" spans="1:2" x14ac:dyDescent="0.25">
      <c r="A1320" s="201"/>
      <c r="B1320" s="201"/>
    </row>
    <row r="1321" spans="1:2" x14ac:dyDescent="0.25">
      <c r="A1321" s="201"/>
      <c r="B1321" s="201"/>
    </row>
    <row r="1322" spans="1:2" x14ac:dyDescent="0.25">
      <c r="A1322" s="201"/>
      <c r="B1322" s="201"/>
    </row>
    <row r="1323" spans="1:2" x14ac:dyDescent="0.25">
      <c r="A1323" s="201"/>
      <c r="B1323" s="201"/>
    </row>
    <row r="1324" spans="1:2" x14ac:dyDescent="0.25">
      <c r="A1324" s="201"/>
      <c r="B1324" s="201"/>
    </row>
    <row r="1325" spans="1:2" x14ac:dyDescent="0.25">
      <c r="A1325" s="201"/>
      <c r="B1325" s="201"/>
    </row>
    <row r="1326" spans="1:2" x14ac:dyDescent="0.25">
      <c r="A1326" s="201"/>
      <c r="B1326" s="201"/>
    </row>
    <row r="1327" spans="1:2" x14ac:dyDescent="0.25">
      <c r="A1327" s="201"/>
      <c r="B1327" s="201"/>
    </row>
    <row r="1328" spans="1:2" x14ac:dyDescent="0.25">
      <c r="A1328" s="201"/>
      <c r="B1328" s="201"/>
    </row>
    <row r="1329" spans="1:2" x14ac:dyDescent="0.25">
      <c r="A1329" s="201"/>
      <c r="B1329" s="201"/>
    </row>
    <row r="1330" spans="1:2" x14ac:dyDescent="0.25">
      <c r="A1330" s="201"/>
      <c r="B1330" s="201"/>
    </row>
    <row r="1331" spans="1:2" x14ac:dyDescent="0.25">
      <c r="A1331" s="201"/>
      <c r="B1331" s="201"/>
    </row>
    <row r="1332" spans="1:2" x14ac:dyDescent="0.25">
      <c r="A1332" s="201"/>
      <c r="B1332" s="201"/>
    </row>
    <row r="1333" spans="1:2" x14ac:dyDescent="0.25">
      <c r="A1333" s="201"/>
      <c r="B1333" s="201"/>
    </row>
    <row r="1334" spans="1:2" x14ac:dyDescent="0.25">
      <c r="A1334" s="201"/>
      <c r="B1334" s="201"/>
    </row>
    <row r="1335" spans="1:2" x14ac:dyDescent="0.25">
      <c r="A1335" s="201"/>
      <c r="B1335" s="201"/>
    </row>
    <row r="1336" spans="1:2" x14ac:dyDescent="0.25">
      <c r="A1336" s="201"/>
      <c r="B1336" s="201"/>
    </row>
    <row r="1337" spans="1:2" x14ac:dyDescent="0.25">
      <c r="A1337" s="201"/>
      <c r="B1337" s="201"/>
    </row>
    <row r="1338" spans="1:2" x14ac:dyDescent="0.25">
      <c r="A1338" s="201"/>
      <c r="B1338" s="201"/>
    </row>
    <row r="1339" spans="1:2" x14ac:dyDescent="0.25">
      <c r="A1339" s="201"/>
      <c r="B1339" s="201"/>
    </row>
    <row r="1340" spans="1:2" x14ac:dyDescent="0.25">
      <c r="A1340" s="201"/>
      <c r="B1340" s="201"/>
    </row>
    <row r="1341" spans="1:2" x14ac:dyDescent="0.25">
      <c r="A1341" s="201"/>
      <c r="B1341" s="201"/>
    </row>
    <row r="1342" spans="1:2" x14ac:dyDescent="0.25">
      <c r="A1342" s="201"/>
      <c r="B1342" s="201"/>
    </row>
    <row r="1343" spans="1:2" x14ac:dyDescent="0.25">
      <c r="A1343" s="201"/>
      <c r="B1343" s="201"/>
    </row>
    <row r="1344" spans="1:2" x14ac:dyDescent="0.25">
      <c r="A1344" s="201"/>
      <c r="B1344" s="201"/>
    </row>
    <row r="1345" spans="1:2" x14ac:dyDescent="0.25">
      <c r="A1345" s="201"/>
      <c r="B1345" s="201"/>
    </row>
    <row r="1346" spans="1:2" x14ac:dyDescent="0.25">
      <c r="A1346" s="201"/>
      <c r="B1346" s="201"/>
    </row>
    <row r="1347" spans="1:2" x14ac:dyDescent="0.25">
      <c r="A1347" s="201"/>
      <c r="B1347" s="201"/>
    </row>
    <row r="1348" spans="1:2" x14ac:dyDescent="0.25">
      <c r="A1348" s="201"/>
      <c r="B1348" s="201"/>
    </row>
    <row r="1349" spans="1:2" x14ac:dyDescent="0.25">
      <c r="A1349" s="201"/>
      <c r="B1349" s="201"/>
    </row>
    <row r="1350" spans="1:2" x14ac:dyDescent="0.25">
      <c r="A1350" s="201"/>
      <c r="B1350" s="201"/>
    </row>
    <row r="1351" spans="1:2" x14ac:dyDescent="0.25">
      <c r="A1351" s="201"/>
      <c r="B1351" s="201"/>
    </row>
    <row r="1352" spans="1:2" x14ac:dyDescent="0.25">
      <c r="A1352" s="201"/>
      <c r="B1352" s="201"/>
    </row>
    <row r="1353" spans="1:2" x14ac:dyDescent="0.25">
      <c r="A1353" s="201"/>
      <c r="B1353" s="201"/>
    </row>
    <row r="1354" spans="1:2" x14ac:dyDescent="0.25">
      <c r="A1354" s="201"/>
      <c r="B1354" s="201"/>
    </row>
    <row r="1355" spans="1:2" x14ac:dyDescent="0.25">
      <c r="A1355" s="201"/>
      <c r="B1355" s="201"/>
    </row>
    <row r="1356" spans="1:2" x14ac:dyDescent="0.25">
      <c r="A1356" s="201"/>
      <c r="B1356" s="201"/>
    </row>
    <row r="1357" spans="1:2" x14ac:dyDescent="0.25">
      <c r="A1357" s="201"/>
      <c r="B1357" s="201"/>
    </row>
    <row r="1358" spans="1:2" x14ac:dyDescent="0.25">
      <c r="A1358" s="201"/>
      <c r="B1358" s="201"/>
    </row>
    <row r="1359" spans="1:2" x14ac:dyDescent="0.25">
      <c r="A1359" s="201"/>
      <c r="B1359" s="201"/>
    </row>
    <row r="1360" spans="1:2" x14ac:dyDescent="0.25">
      <c r="A1360" s="201"/>
      <c r="B1360" s="201"/>
    </row>
    <row r="1361" spans="1:2" x14ac:dyDescent="0.25">
      <c r="A1361" s="201"/>
      <c r="B1361" s="201"/>
    </row>
    <row r="1362" spans="1:2" x14ac:dyDescent="0.25">
      <c r="A1362" s="201"/>
      <c r="B1362" s="201"/>
    </row>
    <row r="1363" spans="1:2" x14ac:dyDescent="0.25">
      <c r="A1363" s="201"/>
      <c r="B1363" s="201"/>
    </row>
    <row r="1364" spans="1:2" x14ac:dyDescent="0.25">
      <c r="A1364" s="201"/>
      <c r="B1364" s="201"/>
    </row>
    <row r="1365" spans="1:2" x14ac:dyDescent="0.25">
      <c r="A1365" s="201"/>
      <c r="B1365" s="201"/>
    </row>
    <row r="1366" spans="1:2" x14ac:dyDescent="0.25">
      <c r="A1366" s="201"/>
      <c r="B1366" s="201"/>
    </row>
    <row r="1367" spans="1:2" x14ac:dyDescent="0.25">
      <c r="A1367" s="201"/>
      <c r="B1367" s="201"/>
    </row>
    <row r="1368" spans="1:2" x14ac:dyDescent="0.25">
      <c r="A1368" s="201"/>
      <c r="B1368" s="201"/>
    </row>
    <row r="1369" spans="1:2" x14ac:dyDescent="0.25">
      <c r="A1369" s="201"/>
      <c r="B1369" s="201"/>
    </row>
    <row r="1370" spans="1:2" x14ac:dyDescent="0.25">
      <c r="A1370" s="201"/>
      <c r="B1370" s="201"/>
    </row>
    <row r="1371" spans="1:2" x14ac:dyDescent="0.25">
      <c r="A1371" s="201"/>
      <c r="B1371" s="201"/>
    </row>
    <row r="1372" spans="1:2" x14ac:dyDescent="0.25">
      <c r="A1372" s="201"/>
      <c r="B1372" s="201"/>
    </row>
    <row r="1373" spans="1:2" x14ac:dyDescent="0.25">
      <c r="A1373" s="201"/>
      <c r="B1373" s="201"/>
    </row>
    <row r="1374" spans="1:2" x14ac:dyDescent="0.25">
      <c r="A1374" s="201"/>
      <c r="B1374" s="201"/>
    </row>
    <row r="1375" spans="1:2" x14ac:dyDescent="0.25">
      <c r="A1375" s="201"/>
      <c r="B1375" s="201"/>
    </row>
    <row r="1376" spans="1:2" x14ac:dyDescent="0.25">
      <c r="A1376" s="201"/>
      <c r="B1376" s="201"/>
    </row>
    <row r="1377" spans="1:2" x14ac:dyDescent="0.25">
      <c r="A1377" s="201"/>
      <c r="B1377" s="201"/>
    </row>
    <row r="1378" spans="1:2" x14ac:dyDescent="0.25">
      <c r="A1378" s="201"/>
      <c r="B1378" s="201"/>
    </row>
    <row r="1379" spans="1:2" x14ac:dyDescent="0.25">
      <c r="A1379" s="201"/>
      <c r="B1379" s="201"/>
    </row>
    <row r="1380" spans="1:2" x14ac:dyDescent="0.25">
      <c r="A1380" s="201"/>
      <c r="B1380" s="201"/>
    </row>
    <row r="1381" spans="1:2" x14ac:dyDescent="0.25">
      <c r="A1381" s="201"/>
      <c r="B1381" s="201"/>
    </row>
    <row r="1382" spans="1:2" x14ac:dyDescent="0.25">
      <c r="A1382" s="201"/>
      <c r="B1382" s="201"/>
    </row>
    <row r="1383" spans="1:2" x14ac:dyDescent="0.25">
      <c r="A1383" s="201"/>
      <c r="B1383" s="201"/>
    </row>
    <row r="1384" spans="1:2" x14ac:dyDescent="0.25">
      <c r="A1384" s="201"/>
      <c r="B1384" s="201"/>
    </row>
    <row r="1385" spans="1:2" x14ac:dyDescent="0.25">
      <c r="A1385" s="201"/>
      <c r="B1385" s="201"/>
    </row>
    <row r="1386" spans="1:2" x14ac:dyDescent="0.25">
      <c r="A1386" s="201"/>
      <c r="B1386" s="201"/>
    </row>
    <row r="1387" spans="1:2" x14ac:dyDescent="0.25">
      <c r="A1387" s="201"/>
      <c r="B1387" s="201"/>
    </row>
    <row r="1388" spans="1:2" x14ac:dyDescent="0.25">
      <c r="A1388" s="201"/>
      <c r="B1388" s="201"/>
    </row>
    <row r="1389" spans="1:2" x14ac:dyDescent="0.25">
      <c r="A1389" s="201"/>
      <c r="B1389" s="201"/>
    </row>
    <row r="1390" spans="1:2" x14ac:dyDescent="0.25">
      <c r="A1390" s="201"/>
      <c r="B1390" s="201"/>
    </row>
    <row r="1391" spans="1:2" x14ac:dyDescent="0.25">
      <c r="A1391" s="201"/>
      <c r="B1391" s="201"/>
    </row>
    <row r="1392" spans="1:2" x14ac:dyDescent="0.25">
      <c r="A1392" s="201"/>
      <c r="B1392" s="201"/>
    </row>
    <row r="1393" spans="1:2" x14ac:dyDescent="0.25">
      <c r="A1393" s="201"/>
      <c r="B1393" s="201"/>
    </row>
    <row r="1394" spans="1:2" x14ac:dyDescent="0.25">
      <c r="A1394" s="201"/>
      <c r="B1394" s="201"/>
    </row>
    <row r="1395" spans="1:2" x14ac:dyDescent="0.25">
      <c r="A1395" s="201"/>
      <c r="B1395" s="201"/>
    </row>
    <row r="1396" spans="1:2" x14ac:dyDescent="0.25">
      <c r="A1396" s="201"/>
      <c r="B1396" s="201"/>
    </row>
    <row r="1397" spans="1:2" x14ac:dyDescent="0.25">
      <c r="A1397" s="201"/>
      <c r="B1397" s="201"/>
    </row>
    <row r="1398" spans="1:2" x14ac:dyDescent="0.25">
      <c r="A1398" s="201"/>
      <c r="B1398" s="201"/>
    </row>
    <row r="1399" spans="1:2" x14ac:dyDescent="0.25">
      <c r="A1399" s="201"/>
      <c r="B1399" s="201"/>
    </row>
    <row r="1400" spans="1:2" x14ac:dyDescent="0.25">
      <c r="A1400" s="201"/>
      <c r="B1400" s="201"/>
    </row>
    <row r="1401" spans="1:2" x14ac:dyDescent="0.25">
      <c r="A1401" s="201"/>
      <c r="B1401" s="201"/>
    </row>
    <row r="1402" spans="1:2" x14ac:dyDescent="0.25">
      <c r="A1402" s="201"/>
      <c r="B1402" s="201"/>
    </row>
    <row r="1403" spans="1:2" x14ac:dyDescent="0.25">
      <c r="A1403" s="201"/>
      <c r="B1403" s="201"/>
    </row>
    <row r="1404" spans="1:2" x14ac:dyDescent="0.25">
      <c r="A1404" s="201"/>
      <c r="B1404" s="201"/>
    </row>
    <row r="1405" spans="1:2" x14ac:dyDescent="0.25">
      <c r="A1405" s="201"/>
      <c r="B1405" s="201"/>
    </row>
    <row r="1406" spans="1:2" x14ac:dyDescent="0.25">
      <c r="A1406" s="201"/>
      <c r="B1406" s="201"/>
    </row>
    <row r="1407" spans="1:2" x14ac:dyDescent="0.25">
      <c r="A1407" s="201"/>
      <c r="B1407" s="201"/>
    </row>
    <row r="1408" spans="1:2" x14ac:dyDescent="0.25">
      <c r="A1408" s="201"/>
      <c r="B1408" s="201"/>
    </row>
    <row r="1409" spans="1:2" x14ac:dyDescent="0.25">
      <c r="A1409" s="201"/>
      <c r="B1409" s="201"/>
    </row>
    <row r="1410" spans="1:2" x14ac:dyDescent="0.25">
      <c r="A1410" s="201"/>
      <c r="B1410" s="201"/>
    </row>
    <row r="1411" spans="1:2" x14ac:dyDescent="0.25">
      <c r="A1411" s="201"/>
      <c r="B1411" s="201"/>
    </row>
    <row r="1412" spans="1:2" x14ac:dyDescent="0.25">
      <c r="A1412" s="201"/>
      <c r="B1412" s="201"/>
    </row>
    <row r="1413" spans="1:2" x14ac:dyDescent="0.25">
      <c r="A1413" s="201"/>
      <c r="B1413" s="201"/>
    </row>
    <row r="1414" spans="1:2" x14ac:dyDescent="0.25">
      <c r="A1414" s="201"/>
      <c r="B1414" s="201"/>
    </row>
    <row r="1415" spans="1:2" x14ac:dyDescent="0.25">
      <c r="A1415" s="201"/>
      <c r="B1415" s="201"/>
    </row>
    <row r="1416" spans="1:2" x14ac:dyDescent="0.25">
      <c r="A1416" s="201"/>
      <c r="B1416" s="201"/>
    </row>
    <row r="1417" spans="1:2" x14ac:dyDescent="0.25">
      <c r="A1417" s="201"/>
      <c r="B1417" s="201"/>
    </row>
    <row r="1418" spans="1:2" x14ac:dyDescent="0.25">
      <c r="A1418" s="201"/>
      <c r="B1418" s="201"/>
    </row>
    <row r="1419" spans="1:2" x14ac:dyDescent="0.25">
      <c r="A1419" s="201"/>
      <c r="B1419" s="201"/>
    </row>
    <row r="1420" spans="1:2" x14ac:dyDescent="0.25">
      <c r="A1420" s="201"/>
      <c r="B1420" s="201"/>
    </row>
    <row r="1421" spans="1:2" x14ac:dyDescent="0.25">
      <c r="A1421" s="201"/>
      <c r="B1421" s="201"/>
    </row>
    <row r="1422" spans="1:2" x14ac:dyDescent="0.25">
      <c r="A1422" s="201"/>
      <c r="B1422" s="201"/>
    </row>
    <row r="1423" spans="1:2" x14ac:dyDescent="0.25">
      <c r="A1423" s="201"/>
      <c r="B1423" s="201"/>
    </row>
    <row r="1424" spans="1:2" x14ac:dyDescent="0.25">
      <c r="A1424" s="201"/>
      <c r="B1424" s="201"/>
    </row>
    <row r="1425" spans="1:2" x14ac:dyDescent="0.25">
      <c r="A1425" s="201"/>
      <c r="B1425" s="201"/>
    </row>
    <row r="1426" spans="1:2" x14ac:dyDescent="0.25">
      <c r="A1426" s="201"/>
      <c r="B1426" s="201"/>
    </row>
    <row r="1427" spans="1:2" x14ac:dyDescent="0.25">
      <c r="A1427" s="201"/>
      <c r="B1427" s="201"/>
    </row>
    <row r="1428" spans="1:2" x14ac:dyDescent="0.25">
      <c r="A1428" s="201"/>
      <c r="B1428" s="201"/>
    </row>
    <row r="1429" spans="1:2" x14ac:dyDescent="0.25">
      <c r="A1429" s="201"/>
      <c r="B1429" s="201"/>
    </row>
    <row r="1430" spans="1:2" x14ac:dyDescent="0.25">
      <c r="A1430" s="201"/>
      <c r="B1430" s="201"/>
    </row>
    <row r="1431" spans="1:2" x14ac:dyDescent="0.25">
      <c r="A1431" s="201"/>
      <c r="B1431" s="201"/>
    </row>
    <row r="1432" spans="1:2" x14ac:dyDescent="0.25">
      <c r="A1432" s="201"/>
      <c r="B1432" s="201"/>
    </row>
    <row r="1433" spans="1:2" x14ac:dyDescent="0.25">
      <c r="A1433" s="201"/>
      <c r="B1433" s="201"/>
    </row>
    <row r="1434" spans="1:2" x14ac:dyDescent="0.25">
      <c r="A1434" s="201"/>
      <c r="B1434" s="201"/>
    </row>
    <row r="1435" spans="1:2" x14ac:dyDescent="0.25">
      <c r="A1435" s="201"/>
      <c r="B1435" s="201"/>
    </row>
    <row r="1436" spans="1:2" x14ac:dyDescent="0.25">
      <c r="A1436" s="201"/>
      <c r="B1436" s="201"/>
    </row>
    <row r="1437" spans="1:2" x14ac:dyDescent="0.25">
      <c r="A1437" s="201"/>
      <c r="B1437" s="201"/>
    </row>
    <row r="1438" spans="1:2" x14ac:dyDescent="0.25">
      <c r="A1438" s="201"/>
      <c r="B1438" s="201"/>
    </row>
    <row r="1439" spans="1:2" x14ac:dyDescent="0.25">
      <c r="A1439" s="201"/>
      <c r="B1439" s="201"/>
    </row>
    <row r="1440" spans="1:2" x14ac:dyDescent="0.25">
      <c r="A1440" s="201"/>
      <c r="B1440" s="201"/>
    </row>
    <row r="1441" spans="1:2" x14ac:dyDescent="0.25">
      <c r="A1441" s="201"/>
      <c r="B1441" s="201"/>
    </row>
    <row r="1442" spans="1:2" x14ac:dyDescent="0.25">
      <c r="A1442" s="201"/>
      <c r="B1442" s="201"/>
    </row>
    <row r="1443" spans="1:2" x14ac:dyDescent="0.25">
      <c r="A1443" s="201"/>
      <c r="B1443" s="201"/>
    </row>
    <row r="1444" spans="1:2" x14ac:dyDescent="0.25">
      <c r="A1444" s="201"/>
      <c r="B1444" s="201"/>
    </row>
    <row r="1445" spans="1:2" x14ac:dyDescent="0.25">
      <c r="A1445" s="201"/>
      <c r="B1445" s="201"/>
    </row>
    <row r="1446" spans="1:2" x14ac:dyDescent="0.25">
      <c r="A1446" s="201"/>
      <c r="B1446" s="201"/>
    </row>
    <row r="1447" spans="1:2" x14ac:dyDescent="0.25">
      <c r="A1447" s="201"/>
      <c r="B1447" s="201"/>
    </row>
    <row r="1448" spans="1:2" x14ac:dyDescent="0.25">
      <c r="A1448" s="201"/>
      <c r="B1448" s="201"/>
    </row>
    <row r="1449" spans="1:2" x14ac:dyDescent="0.25">
      <c r="A1449" s="201"/>
      <c r="B1449" s="201"/>
    </row>
    <row r="1450" spans="1:2" x14ac:dyDescent="0.25">
      <c r="A1450" s="201"/>
      <c r="B1450" s="201"/>
    </row>
    <row r="1451" spans="1:2" x14ac:dyDescent="0.25">
      <c r="A1451" s="201"/>
      <c r="B1451" s="201"/>
    </row>
    <row r="1452" spans="1:2" x14ac:dyDescent="0.25">
      <c r="A1452" s="201"/>
      <c r="B1452" s="201"/>
    </row>
    <row r="1453" spans="1:2" x14ac:dyDescent="0.25">
      <c r="A1453" s="201"/>
      <c r="B1453" s="201"/>
    </row>
    <row r="1454" spans="1:2" x14ac:dyDescent="0.25">
      <c r="A1454" s="201"/>
      <c r="B1454" s="201"/>
    </row>
    <row r="1455" spans="1:2" x14ac:dyDescent="0.25">
      <c r="A1455" s="201"/>
      <c r="B1455" s="201"/>
    </row>
    <row r="1456" spans="1:2" x14ac:dyDescent="0.25">
      <c r="A1456" s="201"/>
      <c r="B1456" s="201"/>
    </row>
    <row r="1457" spans="1:2" x14ac:dyDescent="0.25">
      <c r="A1457" s="201"/>
      <c r="B1457" s="201"/>
    </row>
    <row r="1458" spans="1:2" x14ac:dyDescent="0.25">
      <c r="A1458" s="201"/>
      <c r="B1458" s="201"/>
    </row>
    <row r="1459" spans="1:2" x14ac:dyDescent="0.25">
      <c r="A1459" s="201"/>
      <c r="B1459" s="201"/>
    </row>
    <row r="1460" spans="1:2" x14ac:dyDescent="0.25">
      <c r="A1460" s="201"/>
      <c r="B1460" s="201"/>
    </row>
    <row r="1461" spans="1:2" x14ac:dyDescent="0.25">
      <c r="A1461" s="201"/>
      <c r="B1461" s="201"/>
    </row>
    <row r="1462" spans="1:2" x14ac:dyDescent="0.25">
      <c r="A1462" s="201"/>
      <c r="B1462" s="201"/>
    </row>
    <row r="1463" spans="1:2" x14ac:dyDescent="0.25">
      <c r="A1463" s="201"/>
      <c r="B1463" s="201"/>
    </row>
    <row r="1464" spans="1:2" x14ac:dyDescent="0.25">
      <c r="A1464" s="201"/>
      <c r="B1464" s="201"/>
    </row>
    <row r="1465" spans="1:2" x14ac:dyDescent="0.25">
      <c r="A1465" s="201"/>
      <c r="B1465" s="201"/>
    </row>
    <row r="1466" spans="1:2" x14ac:dyDescent="0.25">
      <c r="A1466" s="201"/>
      <c r="B1466" s="201"/>
    </row>
    <row r="1467" spans="1:2" x14ac:dyDescent="0.25">
      <c r="A1467" s="201"/>
      <c r="B1467" s="201"/>
    </row>
    <row r="1468" spans="1:2" x14ac:dyDescent="0.25">
      <c r="A1468" s="201"/>
      <c r="B1468" s="201"/>
    </row>
    <row r="1469" spans="1:2" x14ac:dyDescent="0.25">
      <c r="A1469" s="201"/>
      <c r="B1469" s="201"/>
    </row>
    <row r="1470" spans="1:2" x14ac:dyDescent="0.25">
      <c r="A1470" s="201"/>
      <c r="B1470" s="201"/>
    </row>
    <row r="1471" spans="1:2" x14ac:dyDescent="0.25">
      <c r="A1471" s="201"/>
      <c r="B1471" s="201"/>
    </row>
    <row r="1472" spans="1:2" x14ac:dyDescent="0.25">
      <c r="A1472" s="201"/>
      <c r="B1472" s="201"/>
    </row>
    <row r="1473" spans="1:2" x14ac:dyDescent="0.25">
      <c r="A1473" s="201"/>
      <c r="B1473" s="201"/>
    </row>
    <row r="1474" spans="1:2" x14ac:dyDescent="0.25">
      <c r="A1474" s="201"/>
      <c r="B1474" s="201"/>
    </row>
    <row r="1475" spans="1:2" x14ac:dyDescent="0.25">
      <c r="A1475" s="201"/>
      <c r="B1475" s="201"/>
    </row>
    <row r="1476" spans="1:2" x14ac:dyDescent="0.25">
      <c r="A1476" s="201"/>
      <c r="B1476" s="201"/>
    </row>
    <row r="1477" spans="1:2" x14ac:dyDescent="0.25">
      <c r="A1477" s="201"/>
      <c r="B1477" s="201"/>
    </row>
    <row r="1478" spans="1:2" x14ac:dyDescent="0.25">
      <c r="A1478" s="201"/>
      <c r="B1478" s="201"/>
    </row>
    <row r="1479" spans="1:2" x14ac:dyDescent="0.25">
      <c r="A1479" s="201"/>
      <c r="B1479" s="201"/>
    </row>
    <row r="1480" spans="1:2" x14ac:dyDescent="0.25">
      <c r="A1480" s="201"/>
      <c r="B1480" s="201"/>
    </row>
    <row r="1481" spans="1:2" x14ac:dyDescent="0.25">
      <c r="A1481" s="201"/>
      <c r="B1481" s="201"/>
    </row>
    <row r="1482" spans="1:2" x14ac:dyDescent="0.25">
      <c r="A1482" s="201"/>
      <c r="B1482" s="201"/>
    </row>
    <row r="1483" spans="1:2" x14ac:dyDescent="0.25">
      <c r="A1483" s="201"/>
      <c r="B1483" s="201"/>
    </row>
    <row r="1484" spans="1:2" x14ac:dyDescent="0.25">
      <c r="A1484" s="201"/>
      <c r="B1484" s="201"/>
    </row>
    <row r="1485" spans="1:2" x14ac:dyDescent="0.25">
      <c r="A1485" s="201"/>
      <c r="B1485" s="201"/>
    </row>
    <row r="1486" spans="1:2" x14ac:dyDescent="0.25">
      <c r="A1486" s="201"/>
      <c r="B1486" s="201"/>
    </row>
    <row r="1487" spans="1:2" x14ac:dyDescent="0.25">
      <c r="A1487" s="201"/>
      <c r="B1487" s="201"/>
    </row>
    <row r="1488" spans="1:2" x14ac:dyDescent="0.25">
      <c r="A1488" s="201"/>
      <c r="B1488" s="201"/>
    </row>
    <row r="1489" spans="1:2" x14ac:dyDescent="0.25">
      <c r="A1489" s="201"/>
      <c r="B1489" s="201"/>
    </row>
    <row r="1490" spans="1:2" x14ac:dyDescent="0.25">
      <c r="A1490" s="201"/>
      <c r="B1490" s="201"/>
    </row>
    <row r="1491" spans="1:2" x14ac:dyDescent="0.25">
      <c r="A1491" s="201"/>
      <c r="B1491" s="201"/>
    </row>
    <row r="1492" spans="1:2" x14ac:dyDescent="0.25">
      <c r="A1492" s="201"/>
      <c r="B1492" s="201"/>
    </row>
    <row r="1493" spans="1:2" x14ac:dyDescent="0.25">
      <c r="A1493" s="201"/>
      <c r="B1493" s="201"/>
    </row>
    <row r="1494" spans="1:2" x14ac:dyDescent="0.25">
      <c r="A1494" s="201"/>
      <c r="B1494" s="201"/>
    </row>
    <row r="1495" spans="1:2" x14ac:dyDescent="0.25">
      <c r="A1495" s="201"/>
      <c r="B1495" s="201"/>
    </row>
    <row r="1496" spans="1:2" x14ac:dyDescent="0.25">
      <c r="A1496" s="201"/>
      <c r="B1496" s="201"/>
    </row>
    <row r="1497" spans="1:2" x14ac:dyDescent="0.25">
      <c r="A1497" s="201"/>
      <c r="B1497" s="201"/>
    </row>
    <row r="1498" spans="1:2" x14ac:dyDescent="0.25">
      <c r="A1498" s="201"/>
      <c r="B1498" s="201"/>
    </row>
    <row r="1499" spans="1:2" x14ac:dyDescent="0.25">
      <c r="A1499" s="201"/>
      <c r="B1499" s="201"/>
    </row>
    <row r="1500" spans="1:2" x14ac:dyDescent="0.25">
      <c r="A1500" s="201"/>
      <c r="B1500" s="201"/>
    </row>
    <row r="1501" spans="1:2" x14ac:dyDescent="0.25">
      <c r="A1501" s="201"/>
      <c r="B1501" s="201"/>
    </row>
    <row r="1502" spans="1:2" x14ac:dyDescent="0.25">
      <c r="A1502" s="201"/>
      <c r="B1502" s="201"/>
    </row>
    <row r="1503" spans="1:2" x14ac:dyDescent="0.25">
      <c r="A1503" s="201"/>
      <c r="B1503" s="201"/>
    </row>
    <row r="1504" spans="1:2" x14ac:dyDescent="0.25">
      <c r="A1504" s="201"/>
      <c r="B1504" s="201"/>
    </row>
    <row r="1505" spans="1:2" x14ac:dyDescent="0.25">
      <c r="A1505" s="201"/>
      <c r="B1505" s="201"/>
    </row>
    <row r="1506" spans="1:2" x14ac:dyDescent="0.25">
      <c r="A1506" s="201"/>
      <c r="B1506" s="201"/>
    </row>
    <row r="1507" spans="1:2" x14ac:dyDescent="0.25">
      <c r="A1507" s="201"/>
      <c r="B1507" s="201"/>
    </row>
    <row r="1508" spans="1:2" x14ac:dyDescent="0.25">
      <c r="A1508" s="201"/>
      <c r="B1508" s="201"/>
    </row>
    <row r="1509" spans="1:2" x14ac:dyDescent="0.25">
      <c r="A1509" s="201"/>
      <c r="B1509" s="201"/>
    </row>
    <row r="1510" spans="1:2" x14ac:dyDescent="0.25">
      <c r="A1510" s="201"/>
      <c r="B1510" s="201"/>
    </row>
    <row r="1511" spans="1:2" x14ac:dyDescent="0.25">
      <c r="A1511" s="201"/>
      <c r="B1511" s="201"/>
    </row>
    <row r="1512" spans="1:2" x14ac:dyDescent="0.25">
      <c r="A1512" s="201"/>
      <c r="B1512" s="201"/>
    </row>
    <row r="1513" spans="1:2" x14ac:dyDescent="0.25">
      <c r="A1513" s="201"/>
      <c r="B1513" s="201"/>
    </row>
    <row r="1514" spans="1:2" x14ac:dyDescent="0.25">
      <c r="A1514" s="201"/>
      <c r="B1514" s="201"/>
    </row>
    <row r="1515" spans="1:2" x14ac:dyDescent="0.25">
      <c r="A1515" s="201"/>
      <c r="B1515" s="201"/>
    </row>
    <row r="1516" spans="1:2" x14ac:dyDescent="0.25">
      <c r="A1516" s="201"/>
      <c r="B1516" s="201"/>
    </row>
    <row r="1517" spans="1:2" x14ac:dyDescent="0.25">
      <c r="A1517" s="201"/>
      <c r="B1517" s="201"/>
    </row>
    <row r="1518" spans="1:2" x14ac:dyDescent="0.25">
      <c r="A1518" s="201"/>
      <c r="B1518" s="201"/>
    </row>
    <row r="1519" spans="1:2" x14ac:dyDescent="0.25">
      <c r="A1519" s="201"/>
      <c r="B1519" s="201"/>
    </row>
    <row r="1520" spans="1:2" x14ac:dyDescent="0.25">
      <c r="A1520" s="201"/>
      <c r="B1520" s="201"/>
    </row>
    <row r="1521" spans="1:2" x14ac:dyDescent="0.25">
      <c r="A1521" s="201"/>
      <c r="B1521" s="201"/>
    </row>
    <row r="1522" spans="1:2" x14ac:dyDescent="0.25">
      <c r="A1522" s="201"/>
      <c r="B1522" s="201"/>
    </row>
    <row r="1523" spans="1:2" x14ac:dyDescent="0.25">
      <c r="A1523" s="201"/>
      <c r="B1523" s="201"/>
    </row>
    <row r="1524" spans="1:2" x14ac:dyDescent="0.25">
      <c r="A1524" s="201"/>
      <c r="B1524" s="201"/>
    </row>
    <row r="1525" spans="1:2" x14ac:dyDescent="0.25">
      <c r="A1525" s="201"/>
      <c r="B1525" s="201"/>
    </row>
    <row r="1526" spans="1:2" x14ac:dyDescent="0.25">
      <c r="A1526" s="201"/>
      <c r="B1526" s="201"/>
    </row>
    <row r="1527" spans="1:2" x14ac:dyDescent="0.25">
      <c r="A1527" s="201"/>
      <c r="B1527" s="201"/>
    </row>
    <row r="1528" spans="1:2" x14ac:dyDescent="0.25">
      <c r="A1528" s="201"/>
      <c r="B1528" s="201"/>
    </row>
    <row r="1529" spans="1:2" x14ac:dyDescent="0.25">
      <c r="A1529" s="201"/>
      <c r="B1529" s="201"/>
    </row>
    <row r="1530" spans="1:2" x14ac:dyDescent="0.25">
      <c r="A1530" s="201"/>
      <c r="B1530" s="201"/>
    </row>
    <row r="1531" spans="1:2" x14ac:dyDescent="0.25">
      <c r="A1531" s="201"/>
      <c r="B1531" s="201"/>
    </row>
    <row r="1532" spans="1:2" x14ac:dyDescent="0.25">
      <c r="A1532" s="201"/>
      <c r="B1532" s="201"/>
    </row>
    <row r="1533" spans="1:2" x14ac:dyDescent="0.25">
      <c r="A1533" s="201"/>
      <c r="B1533" s="201"/>
    </row>
    <row r="1534" spans="1:2" x14ac:dyDescent="0.25">
      <c r="A1534" s="201"/>
      <c r="B1534" s="201"/>
    </row>
    <row r="1535" spans="1:2" x14ac:dyDescent="0.25">
      <c r="A1535" s="201"/>
      <c r="B1535" s="201"/>
    </row>
    <row r="1536" spans="1:2" x14ac:dyDescent="0.25">
      <c r="A1536" s="201"/>
      <c r="B1536" s="201"/>
    </row>
    <row r="1537" spans="1:2" x14ac:dyDescent="0.25">
      <c r="A1537" s="201"/>
      <c r="B1537" s="201"/>
    </row>
    <row r="1538" spans="1:2" x14ac:dyDescent="0.25">
      <c r="A1538" s="201"/>
      <c r="B1538" s="201"/>
    </row>
    <row r="1539" spans="1:2" x14ac:dyDescent="0.25">
      <c r="A1539" s="201"/>
      <c r="B1539" s="201"/>
    </row>
    <row r="1540" spans="1:2" x14ac:dyDescent="0.25">
      <c r="A1540" s="201"/>
      <c r="B1540" s="201"/>
    </row>
    <row r="1541" spans="1:2" x14ac:dyDescent="0.25">
      <c r="A1541" s="201"/>
      <c r="B1541" s="201"/>
    </row>
    <row r="1542" spans="1:2" x14ac:dyDescent="0.25">
      <c r="A1542" s="201"/>
      <c r="B1542" s="201"/>
    </row>
    <row r="1543" spans="1:2" x14ac:dyDescent="0.25">
      <c r="A1543" s="201"/>
      <c r="B1543" s="201"/>
    </row>
    <row r="1544" spans="1:2" x14ac:dyDescent="0.25">
      <c r="A1544" s="201"/>
      <c r="B1544" s="201"/>
    </row>
    <row r="1545" spans="1:2" x14ac:dyDescent="0.25">
      <c r="A1545" s="201"/>
      <c r="B1545" s="201"/>
    </row>
    <row r="1546" spans="1:2" x14ac:dyDescent="0.25">
      <c r="A1546" s="201"/>
      <c r="B1546" s="201"/>
    </row>
    <row r="1547" spans="1:2" x14ac:dyDescent="0.25">
      <c r="A1547" s="201"/>
      <c r="B1547" s="201"/>
    </row>
    <row r="1548" spans="1:2" x14ac:dyDescent="0.25">
      <c r="A1548" s="201"/>
      <c r="B1548" s="201"/>
    </row>
    <row r="1549" spans="1:2" x14ac:dyDescent="0.25">
      <c r="A1549" s="201"/>
      <c r="B1549" s="201"/>
    </row>
    <row r="1550" spans="1:2" x14ac:dyDescent="0.25">
      <c r="A1550" s="201"/>
      <c r="B1550" s="201"/>
    </row>
    <row r="1551" spans="1:2" x14ac:dyDescent="0.25">
      <c r="A1551" s="201"/>
      <c r="B1551" s="201"/>
    </row>
    <row r="1552" spans="1:2" x14ac:dyDescent="0.25">
      <c r="A1552" s="201"/>
      <c r="B1552" s="201"/>
    </row>
    <row r="1553" spans="1:2" x14ac:dyDescent="0.25">
      <c r="A1553" s="201"/>
      <c r="B1553" s="201"/>
    </row>
    <row r="1554" spans="1:2" x14ac:dyDescent="0.25">
      <c r="A1554" s="201"/>
      <c r="B1554" s="201"/>
    </row>
    <row r="1555" spans="1:2" x14ac:dyDescent="0.25">
      <c r="A1555" s="201"/>
      <c r="B1555" s="201"/>
    </row>
    <row r="1556" spans="1:2" x14ac:dyDescent="0.25">
      <c r="A1556" s="201"/>
      <c r="B1556" s="201"/>
    </row>
    <row r="1557" spans="1:2" x14ac:dyDescent="0.25">
      <c r="A1557" s="201"/>
      <c r="B1557" s="201"/>
    </row>
    <row r="1558" spans="1:2" x14ac:dyDescent="0.25">
      <c r="A1558" s="201"/>
      <c r="B1558" s="201"/>
    </row>
    <row r="1559" spans="1:2" x14ac:dyDescent="0.25">
      <c r="A1559" s="201"/>
      <c r="B1559" s="201"/>
    </row>
    <row r="1560" spans="1:2" x14ac:dyDescent="0.25">
      <c r="A1560" s="201"/>
      <c r="B1560" s="201"/>
    </row>
    <row r="1561" spans="1:2" x14ac:dyDescent="0.25">
      <c r="A1561" s="201"/>
      <c r="B1561" s="201"/>
    </row>
    <row r="1562" spans="1:2" x14ac:dyDescent="0.25">
      <c r="A1562" s="201"/>
      <c r="B1562" s="201"/>
    </row>
    <row r="1563" spans="1:2" x14ac:dyDescent="0.25">
      <c r="A1563" s="201"/>
      <c r="B1563" s="201"/>
    </row>
    <row r="1564" spans="1:2" x14ac:dyDescent="0.25">
      <c r="A1564" s="201"/>
      <c r="B1564" s="201"/>
    </row>
    <row r="1565" spans="1:2" x14ac:dyDescent="0.25">
      <c r="A1565" s="201"/>
      <c r="B1565" s="201"/>
    </row>
    <row r="1566" spans="1:2" x14ac:dyDescent="0.25">
      <c r="A1566" s="201"/>
      <c r="B1566" s="201"/>
    </row>
    <row r="1567" spans="1:2" x14ac:dyDescent="0.25">
      <c r="A1567" s="201"/>
      <c r="B1567" s="201"/>
    </row>
    <row r="1568" spans="1:2" x14ac:dyDescent="0.25">
      <c r="A1568" s="201"/>
      <c r="B1568" s="201"/>
    </row>
    <row r="1569" spans="1:2" x14ac:dyDescent="0.25">
      <c r="A1569" s="201"/>
      <c r="B1569" s="201"/>
    </row>
    <row r="1570" spans="1:2" x14ac:dyDescent="0.25">
      <c r="A1570" s="201"/>
      <c r="B1570" s="201"/>
    </row>
    <row r="1571" spans="1:2" x14ac:dyDescent="0.25">
      <c r="A1571" s="201"/>
      <c r="B1571" s="201"/>
    </row>
    <row r="1572" spans="1:2" x14ac:dyDescent="0.25">
      <c r="A1572" s="201"/>
      <c r="B1572" s="201"/>
    </row>
    <row r="1573" spans="1:2" x14ac:dyDescent="0.25">
      <c r="A1573" s="201"/>
      <c r="B1573" s="201"/>
    </row>
    <row r="1574" spans="1:2" x14ac:dyDescent="0.25">
      <c r="A1574" s="201"/>
      <c r="B1574" s="201"/>
    </row>
    <row r="1575" spans="1:2" x14ac:dyDescent="0.25">
      <c r="A1575" s="201"/>
      <c r="B1575" s="201"/>
    </row>
    <row r="1576" spans="1:2" x14ac:dyDescent="0.25">
      <c r="A1576" s="201"/>
      <c r="B1576" s="201"/>
    </row>
    <row r="1577" spans="1:2" x14ac:dyDescent="0.25">
      <c r="A1577" s="201"/>
      <c r="B1577" s="201"/>
    </row>
    <row r="1578" spans="1:2" x14ac:dyDescent="0.25">
      <c r="A1578" s="201"/>
      <c r="B1578" s="201"/>
    </row>
    <row r="1579" spans="1:2" x14ac:dyDescent="0.25">
      <c r="A1579" s="201"/>
      <c r="B1579" s="201"/>
    </row>
    <row r="1580" spans="1:2" x14ac:dyDescent="0.25">
      <c r="A1580" s="201"/>
      <c r="B1580" s="201"/>
    </row>
    <row r="1581" spans="1:2" x14ac:dyDescent="0.25">
      <c r="A1581" s="201"/>
      <c r="B1581" s="201"/>
    </row>
    <row r="1582" spans="1:2" x14ac:dyDescent="0.25">
      <c r="A1582" s="201"/>
      <c r="B1582" s="201"/>
    </row>
    <row r="1583" spans="1:2" x14ac:dyDescent="0.25">
      <c r="A1583" s="201"/>
      <c r="B1583" s="201"/>
    </row>
    <row r="1584" spans="1:2" x14ac:dyDescent="0.25">
      <c r="A1584" s="201"/>
      <c r="B1584" s="201"/>
    </row>
    <row r="1585" spans="1:2" x14ac:dyDescent="0.25">
      <c r="A1585" s="201"/>
      <c r="B1585" s="201"/>
    </row>
    <row r="1586" spans="1:2" x14ac:dyDescent="0.25">
      <c r="A1586" s="201"/>
      <c r="B1586" s="201"/>
    </row>
    <row r="1587" spans="1:2" x14ac:dyDescent="0.25">
      <c r="A1587" s="201"/>
      <c r="B1587" s="201"/>
    </row>
    <row r="1588" spans="1:2" x14ac:dyDescent="0.25">
      <c r="A1588" s="201"/>
      <c r="B1588" s="201"/>
    </row>
    <row r="1589" spans="1:2" x14ac:dyDescent="0.25">
      <c r="A1589" s="201"/>
      <c r="B1589" s="201"/>
    </row>
    <row r="1590" spans="1:2" x14ac:dyDescent="0.25">
      <c r="A1590" s="201"/>
      <c r="B1590" s="201"/>
    </row>
    <row r="1591" spans="1:2" x14ac:dyDescent="0.25">
      <c r="A1591" s="201"/>
      <c r="B1591" s="201"/>
    </row>
    <row r="1592" spans="1:2" x14ac:dyDescent="0.25">
      <c r="A1592" s="201"/>
      <c r="B1592" s="201"/>
    </row>
    <row r="1593" spans="1:2" x14ac:dyDescent="0.25">
      <c r="A1593" s="201"/>
      <c r="B1593" s="201"/>
    </row>
    <row r="1594" spans="1:2" x14ac:dyDescent="0.25">
      <c r="A1594" s="201"/>
      <c r="B1594" s="201"/>
    </row>
    <row r="1595" spans="1:2" x14ac:dyDescent="0.25">
      <c r="A1595" s="201"/>
      <c r="B1595" s="201"/>
    </row>
    <row r="1596" spans="1:2" x14ac:dyDescent="0.25">
      <c r="A1596" s="201"/>
      <c r="B1596" s="201"/>
    </row>
    <row r="1597" spans="1:2" x14ac:dyDescent="0.25">
      <c r="A1597" s="201"/>
      <c r="B1597" s="201"/>
    </row>
    <row r="1598" spans="1:2" x14ac:dyDescent="0.25">
      <c r="A1598" s="201"/>
      <c r="B1598" s="201"/>
    </row>
    <row r="1599" spans="1:2" x14ac:dyDescent="0.25">
      <c r="A1599" s="201"/>
      <c r="B1599" s="201"/>
    </row>
    <row r="1600" spans="1:2" x14ac:dyDescent="0.25">
      <c r="A1600" s="201"/>
      <c r="B1600" s="201"/>
    </row>
    <row r="1601" spans="1:2" x14ac:dyDescent="0.25">
      <c r="A1601" s="201"/>
      <c r="B1601" s="201"/>
    </row>
    <row r="1602" spans="1:2" x14ac:dyDescent="0.25">
      <c r="A1602" s="201"/>
      <c r="B1602" s="201"/>
    </row>
    <row r="1603" spans="1:2" x14ac:dyDescent="0.25">
      <c r="A1603" s="201"/>
      <c r="B1603" s="201"/>
    </row>
    <row r="1604" spans="1:2" x14ac:dyDescent="0.25">
      <c r="A1604" s="201"/>
      <c r="B1604" s="201"/>
    </row>
    <row r="1605" spans="1:2" x14ac:dyDescent="0.25">
      <c r="A1605" s="201"/>
      <c r="B1605" s="201"/>
    </row>
    <row r="1606" spans="1:2" x14ac:dyDescent="0.25">
      <c r="A1606" s="201"/>
      <c r="B1606" s="201"/>
    </row>
    <row r="1607" spans="1:2" x14ac:dyDescent="0.25">
      <c r="A1607" s="201"/>
      <c r="B1607" s="201"/>
    </row>
    <row r="1608" spans="1:2" x14ac:dyDescent="0.25">
      <c r="A1608" s="201"/>
      <c r="B1608" s="201"/>
    </row>
    <row r="1609" spans="1:2" x14ac:dyDescent="0.25">
      <c r="A1609" s="201"/>
      <c r="B1609" s="201"/>
    </row>
    <row r="1610" spans="1:2" x14ac:dyDescent="0.25">
      <c r="A1610" s="201"/>
      <c r="B1610" s="201"/>
    </row>
    <row r="1611" spans="1:2" x14ac:dyDescent="0.25">
      <c r="A1611" s="201"/>
      <c r="B1611" s="201"/>
    </row>
    <row r="1612" spans="1:2" x14ac:dyDescent="0.25">
      <c r="A1612" s="201"/>
      <c r="B1612" s="201"/>
    </row>
    <row r="1613" spans="1:2" x14ac:dyDescent="0.25">
      <c r="A1613" s="201"/>
      <c r="B1613" s="201"/>
    </row>
    <row r="1614" spans="1:2" x14ac:dyDescent="0.25">
      <c r="A1614" s="201"/>
      <c r="B1614" s="201"/>
    </row>
    <row r="1615" spans="1:2" x14ac:dyDescent="0.25">
      <c r="A1615" s="201"/>
      <c r="B1615" s="201"/>
    </row>
    <row r="1616" spans="1:2" x14ac:dyDescent="0.25">
      <c r="A1616" s="201"/>
      <c r="B1616" s="201"/>
    </row>
    <row r="1617" spans="1:2" x14ac:dyDescent="0.25">
      <c r="A1617" s="201"/>
      <c r="B1617" s="201"/>
    </row>
    <row r="1618" spans="1:2" x14ac:dyDescent="0.25">
      <c r="A1618" s="201"/>
      <c r="B1618" s="201"/>
    </row>
    <row r="1619" spans="1:2" x14ac:dyDescent="0.25">
      <c r="A1619" s="201"/>
      <c r="B1619" s="201"/>
    </row>
    <row r="1620" spans="1:2" x14ac:dyDescent="0.25">
      <c r="A1620" s="201"/>
      <c r="B1620" s="201"/>
    </row>
    <row r="1621" spans="1:2" x14ac:dyDescent="0.25">
      <c r="A1621" s="201"/>
      <c r="B1621" s="201"/>
    </row>
    <row r="1622" spans="1:2" x14ac:dyDescent="0.25">
      <c r="A1622" s="201"/>
      <c r="B1622" s="201"/>
    </row>
    <row r="1623" spans="1:2" x14ac:dyDescent="0.25">
      <c r="A1623" s="201"/>
      <c r="B1623" s="201"/>
    </row>
    <row r="1624" spans="1:2" x14ac:dyDescent="0.25">
      <c r="A1624" s="201"/>
      <c r="B1624" s="201"/>
    </row>
    <row r="1625" spans="1:2" x14ac:dyDescent="0.25">
      <c r="A1625" s="201"/>
      <c r="B1625" s="201"/>
    </row>
    <row r="1626" spans="1:2" x14ac:dyDescent="0.25">
      <c r="A1626" s="201"/>
      <c r="B1626" s="201"/>
    </row>
    <row r="1627" spans="1:2" x14ac:dyDescent="0.25">
      <c r="A1627" s="201"/>
      <c r="B1627" s="201"/>
    </row>
    <row r="1628" spans="1:2" x14ac:dyDescent="0.25">
      <c r="A1628" s="201"/>
      <c r="B1628" s="201"/>
    </row>
    <row r="1629" spans="1:2" x14ac:dyDescent="0.25">
      <c r="A1629" s="201"/>
      <c r="B1629" s="201"/>
    </row>
    <row r="1630" spans="1:2" x14ac:dyDescent="0.25">
      <c r="A1630" s="201"/>
      <c r="B1630" s="201"/>
    </row>
    <row r="1631" spans="1:2" x14ac:dyDescent="0.25">
      <c r="A1631" s="201"/>
      <c r="B1631" s="201"/>
    </row>
    <row r="1632" spans="1:2" x14ac:dyDescent="0.25">
      <c r="A1632" s="201"/>
      <c r="B1632" s="201"/>
    </row>
    <row r="1633" spans="1:2" x14ac:dyDescent="0.25">
      <c r="A1633" s="201"/>
      <c r="B1633" s="201"/>
    </row>
    <row r="1634" spans="1:2" x14ac:dyDescent="0.25">
      <c r="A1634" s="201"/>
      <c r="B1634" s="201"/>
    </row>
    <row r="1635" spans="1:2" x14ac:dyDescent="0.25">
      <c r="A1635" s="201"/>
      <c r="B1635" s="201"/>
    </row>
    <row r="1636" spans="1:2" x14ac:dyDescent="0.25">
      <c r="A1636" s="201"/>
      <c r="B1636" s="201"/>
    </row>
    <row r="1637" spans="1:2" x14ac:dyDescent="0.25">
      <c r="A1637" s="201"/>
      <c r="B1637" s="201"/>
    </row>
    <row r="1638" spans="1:2" x14ac:dyDescent="0.25">
      <c r="A1638" s="201"/>
      <c r="B1638" s="201"/>
    </row>
    <row r="1639" spans="1:2" x14ac:dyDescent="0.25">
      <c r="A1639" s="201"/>
      <c r="B1639" s="201"/>
    </row>
    <row r="1640" spans="1:2" x14ac:dyDescent="0.25">
      <c r="A1640" s="201"/>
      <c r="B1640" s="201"/>
    </row>
    <row r="1641" spans="1:2" x14ac:dyDescent="0.25">
      <c r="A1641" s="201"/>
      <c r="B1641" s="201"/>
    </row>
    <row r="1642" spans="1:2" x14ac:dyDescent="0.25">
      <c r="A1642" s="201"/>
      <c r="B1642" s="201"/>
    </row>
    <row r="1643" spans="1:2" x14ac:dyDescent="0.25">
      <c r="A1643" s="201"/>
      <c r="B1643" s="201"/>
    </row>
    <row r="1644" spans="1:2" x14ac:dyDescent="0.25">
      <c r="A1644" s="201"/>
      <c r="B1644" s="201"/>
    </row>
    <row r="1645" spans="1:2" x14ac:dyDescent="0.25">
      <c r="A1645" s="201"/>
      <c r="B1645" s="201"/>
    </row>
    <row r="1646" spans="1:2" x14ac:dyDescent="0.25">
      <c r="A1646" s="201"/>
      <c r="B1646" s="201"/>
    </row>
    <row r="1647" spans="1:2" x14ac:dyDescent="0.25">
      <c r="A1647" s="201"/>
      <c r="B1647" s="201"/>
    </row>
    <row r="1648" spans="1:2" x14ac:dyDescent="0.25">
      <c r="A1648" s="201"/>
      <c r="B1648" s="201"/>
    </row>
    <row r="1649" spans="1:2" x14ac:dyDescent="0.25">
      <c r="A1649" s="201"/>
      <c r="B1649" s="201"/>
    </row>
    <row r="1650" spans="1:2" x14ac:dyDescent="0.25">
      <c r="A1650" s="201"/>
      <c r="B1650" s="201"/>
    </row>
    <row r="1651" spans="1:2" x14ac:dyDescent="0.25">
      <c r="A1651" s="201"/>
      <c r="B1651" s="201"/>
    </row>
    <row r="1652" spans="1:2" x14ac:dyDescent="0.25">
      <c r="A1652" s="201"/>
      <c r="B1652" s="201"/>
    </row>
    <row r="1653" spans="1:2" x14ac:dyDescent="0.25">
      <c r="A1653" s="201"/>
      <c r="B1653" s="201"/>
    </row>
    <row r="1654" spans="1:2" x14ac:dyDescent="0.25">
      <c r="A1654" s="201"/>
      <c r="B1654" s="201"/>
    </row>
    <row r="1655" spans="1:2" x14ac:dyDescent="0.25">
      <c r="A1655" s="201"/>
      <c r="B1655" s="201"/>
    </row>
    <row r="1656" spans="1:2" x14ac:dyDescent="0.25">
      <c r="A1656" s="201"/>
      <c r="B1656" s="201"/>
    </row>
    <row r="1657" spans="1:2" x14ac:dyDescent="0.25">
      <c r="A1657" s="201"/>
      <c r="B1657" s="201"/>
    </row>
    <row r="1658" spans="1:2" x14ac:dyDescent="0.25">
      <c r="A1658" s="201"/>
      <c r="B1658" s="201"/>
    </row>
    <row r="1659" spans="1:2" x14ac:dyDescent="0.25">
      <c r="A1659" s="201"/>
      <c r="B1659" s="201"/>
    </row>
    <row r="1660" spans="1:2" x14ac:dyDescent="0.25">
      <c r="A1660" s="201"/>
      <c r="B1660" s="201"/>
    </row>
    <row r="1661" spans="1:2" x14ac:dyDescent="0.25">
      <c r="A1661" s="201"/>
      <c r="B1661" s="201"/>
    </row>
    <row r="1662" spans="1:2" x14ac:dyDescent="0.25">
      <c r="A1662" s="201"/>
      <c r="B1662" s="201"/>
    </row>
    <row r="1663" spans="1:2" x14ac:dyDescent="0.25">
      <c r="A1663" s="201"/>
      <c r="B1663" s="201"/>
    </row>
    <row r="1664" spans="1:2" x14ac:dyDescent="0.25">
      <c r="A1664" s="201"/>
      <c r="B1664" s="201"/>
    </row>
    <row r="1665" spans="1:2" x14ac:dyDescent="0.25">
      <c r="A1665" s="201"/>
      <c r="B1665" s="201"/>
    </row>
    <row r="1666" spans="1:2" x14ac:dyDescent="0.25">
      <c r="A1666" s="201"/>
      <c r="B1666" s="201"/>
    </row>
    <row r="1667" spans="1:2" x14ac:dyDescent="0.25">
      <c r="A1667" s="201"/>
      <c r="B1667" s="201"/>
    </row>
    <row r="1668" spans="1:2" x14ac:dyDescent="0.25">
      <c r="A1668" s="201"/>
      <c r="B1668" s="201"/>
    </row>
    <row r="1669" spans="1:2" x14ac:dyDescent="0.25">
      <c r="A1669" s="201"/>
      <c r="B1669" s="201"/>
    </row>
    <row r="1670" spans="1:2" x14ac:dyDescent="0.25">
      <c r="A1670" s="201"/>
      <c r="B1670" s="201"/>
    </row>
    <row r="1671" spans="1:2" x14ac:dyDescent="0.25">
      <c r="A1671" s="201"/>
      <c r="B1671" s="201"/>
    </row>
    <row r="1672" spans="1:2" x14ac:dyDescent="0.25">
      <c r="A1672" s="201"/>
      <c r="B1672" s="201"/>
    </row>
    <row r="1673" spans="1:2" x14ac:dyDescent="0.25">
      <c r="A1673" s="201"/>
      <c r="B1673" s="201"/>
    </row>
    <row r="1674" spans="1:2" x14ac:dyDescent="0.25">
      <c r="A1674" s="201"/>
      <c r="B1674" s="201"/>
    </row>
    <row r="1675" spans="1:2" x14ac:dyDescent="0.25">
      <c r="A1675" s="201"/>
      <c r="B1675" s="201"/>
    </row>
    <row r="1676" spans="1:2" x14ac:dyDescent="0.25">
      <c r="A1676" s="201"/>
      <c r="B1676" s="201"/>
    </row>
    <row r="1677" spans="1:2" x14ac:dyDescent="0.25">
      <c r="A1677" s="201"/>
      <c r="B1677" s="201"/>
    </row>
    <row r="1678" spans="1:2" x14ac:dyDescent="0.25">
      <c r="A1678" s="201"/>
      <c r="B1678" s="201"/>
    </row>
    <row r="1679" spans="1:2" x14ac:dyDescent="0.25">
      <c r="A1679" s="201"/>
      <c r="B1679" s="201"/>
    </row>
    <row r="1680" spans="1:2" x14ac:dyDescent="0.25">
      <c r="A1680" s="201"/>
      <c r="B1680" s="201"/>
    </row>
    <row r="1681" spans="1:2" x14ac:dyDescent="0.25">
      <c r="A1681" s="201"/>
      <c r="B1681" s="201"/>
    </row>
    <row r="1682" spans="1:2" x14ac:dyDescent="0.25">
      <c r="A1682" s="201"/>
      <c r="B1682" s="201"/>
    </row>
    <row r="1683" spans="1:2" x14ac:dyDescent="0.25">
      <c r="A1683" s="201"/>
      <c r="B1683" s="201"/>
    </row>
    <row r="1684" spans="1:2" x14ac:dyDescent="0.25">
      <c r="A1684" s="201"/>
      <c r="B1684" s="201"/>
    </row>
    <row r="1685" spans="1:2" x14ac:dyDescent="0.25">
      <c r="A1685" s="201"/>
      <c r="B1685" s="201"/>
    </row>
    <row r="1686" spans="1:2" x14ac:dyDescent="0.25">
      <c r="A1686" s="201"/>
      <c r="B1686" s="201"/>
    </row>
    <row r="1687" spans="1:2" x14ac:dyDescent="0.25">
      <c r="A1687" s="201"/>
      <c r="B1687" s="201"/>
    </row>
    <row r="1688" spans="1:2" x14ac:dyDescent="0.25">
      <c r="A1688" s="201"/>
      <c r="B1688" s="201"/>
    </row>
    <row r="1689" spans="1:2" x14ac:dyDescent="0.25">
      <c r="A1689" s="201"/>
      <c r="B1689" s="201"/>
    </row>
    <row r="1690" spans="1:2" x14ac:dyDescent="0.25">
      <c r="A1690" s="201"/>
      <c r="B1690" s="201"/>
    </row>
    <row r="1691" spans="1:2" x14ac:dyDescent="0.25">
      <c r="A1691" s="201"/>
      <c r="B1691" s="201"/>
    </row>
    <row r="1692" spans="1:2" x14ac:dyDescent="0.25">
      <c r="A1692" s="201"/>
      <c r="B1692" s="201"/>
    </row>
    <row r="1693" spans="1:2" x14ac:dyDescent="0.25">
      <c r="A1693" s="201"/>
      <c r="B1693" s="201"/>
    </row>
    <row r="1694" spans="1:2" x14ac:dyDescent="0.25">
      <c r="A1694" s="201"/>
      <c r="B1694" s="201"/>
    </row>
    <row r="1695" spans="1:2" x14ac:dyDescent="0.25">
      <c r="A1695" s="201"/>
      <c r="B1695" s="201"/>
    </row>
    <row r="1696" spans="1:2" x14ac:dyDescent="0.25">
      <c r="A1696" s="201"/>
      <c r="B1696" s="201"/>
    </row>
    <row r="1697" spans="1:2" x14ac:dyDescent="0.25">
      <c r="A1697" s="201"/>
      <c r="B1697" s="201"/>
    </row>
    <row r="1698" spans="1:2" x14ac:dyDescent="0.25">
      <c r="A1698" s="201"/>
      <c r="B1698" s="201"/>
    </row>
    <row r="1699" spans="1:2" x14ac:dyDescent="0.25">
      <c r="A1699" s="201"/>
      <c r="B1699" s="201"/>
    </row>
    <row r="1700" spans="1:2" x14ac:dyDescent="0.25">
      <c r="A1700" s="201"/>
      <c r="B1700" s="201"/>
    </row>
    <row r="1701" spans="1:2" x14ac:dyDescent="0.25">
      <c r="A1701" s="201"/>
      <c r="B1701" s="201"/>
    </row>
    <row r="1702" spans="1:2" x14ac:dyDescent="0.25">
      <c r="A1702" s="201"/>
      <c r="B1702" s="201"/>
    </row>
    <row r="1703" spans="1:2" x14ac:dyDescent="0.25">
      <c r="A1703" s="201"/>
      <c r="B1703" s="201"/>
    </row>
    <row r="1704" spans="1:2" x14ac:dyDescent="0.25">
      <c r="A1704" s="201"/>
      <c r="B1704" s="201"/>
    </row>
    <row r="1705" spans="1:2" x14ac:dyDescent="0.25">
      <c r="A1705" s="201"/>
      <c r="B1705" s="201"/>
    </row>
    <row r="1706" spans="1:2" x14ac:dyDescent="0.25">
      <c r="A1706" s="201"/>
      <c r="B1706" s="201"/>
    </row>
    <row r="1707" spans="1:2" x14ac:dyDescent="0.25">
      <c r="A1707" s="201"/>
      <c r="B1707" s="201"/>
    </row>
    <row r="1708" spans="1:2" x14ac:dyDescent="0.25">
      <c r="A1708" s="201"/>
      <c r="B1708" s="201"/>
    </row>
    <row r="1709" spans="1:2" x14ac:dyDescent="0.25">
      <c r="A1709" s="201"/>
      <c r="B1709" s="201"/>
    </row>
    <row r="1710" spans="1:2" x14ac:dyDescent="0.25">
      <c r="A1710" s="201"/>
      <c r="B1710" s="201"/>
    </row>
    <row r="1711" spans="1:2" x14ac:dyDescent="0.25">
      <c r="A1711" s="201"/>
      <c r="B1711" s="201"/>
    </row>
    <row r="1712" spans="1:2" x14ac:dyDescent="0.25">
      <c r="A1712" s="201"/>
      <c r="B1712" s="201"/>
    </row>
    <row r="1713" spans="1:2" x14ac:dyDescent="0.25">
      <c r="A1713" s="201"/>
      <c r="B1713" s="201"/>
    </row>
    <row r="1714" spans="1:2" x14ac:dyDescent="0.25">
      <c r="A1714" s="201"/>
      <c r="B1714" s="201"/>
    </row>
    <row r="1715" spans="1:2" x14ac:dyDescent="0.25">
      <c r="A1715" s="201"/>
      <c r="B1715" s="201"/>
    </row>
    <row r="1716" spans="1:2" x14ac:dyDescent="0.25">
      <c r="A1716" s="201"/>
      <c r="B1716" s="201"/>
    </row>
    <row r="1717" spans="1:2" x14ac:dyDescent="0.25">
      <c r="A1717" s="201"/>
      <c r="B1717" s="201"/>
    </row>
    <row r="1718" spans="1:2" x14ac:dyDescent="0.25">
      <c r="A1718" s="201"/>
      <c r="B1718" s="201"/>
    </row>
    <row r="1719" spans="1:2" x14ac:dyDescent="0.25">
      <c r="A1719" s="201"/>
      <c r="B1719" s="201"/>
    </row>
    <row r="1720" spans="1:2" x14ac:dyDescent="0.25">
      <c r="A1720" s="201"/>
      <c r="B1720" s="201"/>
    </row>
    <row r="1721" spans="1:2" x14ac:dyDescent="0.25">
      <c r="A1721" s="201"/>
      <c r="B1721" s="201"/>
    </row>
    <row r="1722" spans="1:2" x14ac:dyDescent="0.25">
      <c r="A1722" s="201"/>
      <c r="B1722" s="201"/>
    </row>
    <row r="1723" spans="1:2" x14ac:dyDescent="0.25">
      <c r="A1723" s="201"/>
      <c r="B1723" s="201"/>
    </row>
    <row r="1724" spans="1:2" x14ac:dyDescent="0.25">
      <c r="A1724" s="201"/>
      <c r="B1724" s="201"/>
    </row>
    <row r="1725" spans="1:2" x14ac:dyDescent="0.25">
      <c r="A1725" s="201"/>
      <c r="B1725" s="201"/>
    </row>
    <row r="1726" spans="1:2" x14ac:dyDescent="0.25">
      <c r="A1726" s="201"/>
      <c r="B1726" s="201"/>
    </row>
    <row r="1727" spans="1:2" x14ac:dyDescent="0.25">
      <c r="A1727" s="201"/>
      <c r="B1727" s="201"/>
    </row>
    <row r="1728" spans="1:2" x14ac:dyDescent="0.25">
      <c r="A1728" s="201"/>
      <c r="B1728" s="201"/>
    </row>
    <row r="1729" spans="1:2" x14ac:dyDescent="0.25">
      <c r="A1729" s="201"/>
      <c r="B1729" s="201"/>
    </row>
    <row r="1730" spans="1:2" x14ac:dyDescent="0.25">
      <c r="A1730" s="201"/>
      <c r="B1730" s="201"/>
    </row>
    <row r="1731" spans="1:2" x14ac:dyDescent="0.25">
      <c r="A1731" s="201"/>
      <c r="B1731" s="201"/>
    </row>
    <row r="1732" spans="1:2" x14ac:dyDescent="0.25">
      <c r="A1732" s="201"/>
      <c r="B1732" s="201"/>
    </row>
    <row r="1733" spans="1:2" x14ac:dyDescent="0.25">
      <c r="A1733" s="201"/>
      <c r="B1733" s="201"/>
    </row>
    <row r="1734" spans="1:2" x14ac:dyDescent="0.25">
      <c r="A1734" s="201"/>
      <c r="B1734" s="201"/>
    </row>
    <row r="1735" spans="1:2" x14ac:dyDescent="0.25">
      <c r="A1735" s="201"/>
      <c r="B1735" s="201"/>
    </row>
    <row r="1736" spans="1:2" x14ac:dyDescent="0.25">
      <c r="A1736" s="201"/>
      <c r="B1736" s="201"/>
    </row>
    <row r="1737" spans="1:2" x14ac:dyDescent="0.25">
      <c r="A1737" s="201"/>
      <c r="B1737" s="201"/>
    </row>
    <row r="1738" spans="1:2" x14ac:dyDescent="0.25">
      <c r="A1738" s="201"/>
      <c r="B1738" s="201"/>
    </row>
    <row r="1739" spans="1:2" x14ac:dyDescent="0.25">
      <c r="A1739" s="201"/>
      <c r="B1739" s="201"/>
    </row>
    <row r="1740" spans="1:2" x14ac:dyDescent="0.25">
      <c r="A1740" s="201"/>
      <c r="B1740" s="201"/>
    </row>
    <row r="1741" spans="1:2" x14ac:dyDescent="0.25">
      <c r="A1741" s="201"/>
      <c r="B1741" s="201"/>
    </row>
    <row r="1742" spans="1:2" x14ac:dyDescent="0.25">
      <c r="A1742" s="201"/>
      <c r="B1742" s="201"/>
    </row>
    <row r="1743" spans="1:2" x14ac:dyDescent="0.25">
      <c r="A1743" s="201"/>
      <c r="B1743" s="201"/>
    </row>
    <row r="1744" spans="1:2" x14ac:dyDescent="0.25">
      <c r="A1744" s="201"/>
      <c r="B1744" s="201"/>
    </row>
    <row r="1745" spans="1:2" x14ac:dyDescent="0.25">
      <c r="A1745" s="201"/>
      <c r="B1745" s="201"/>
    </row>
    <row r="1746" spans="1:2" x14ac:dyDescent="0.25">
      <c r="A1746" s="201"/>
      <c r="B1746" s="201"/>
    </row>
    <row r="1747" spans="1:2" x14ac:dyDescent="0.25">
      <c r="A1747" s="201"/>
      <c r="B1747" s="201"/>
    </row>
    <row r="1748" spans="1:2" x14ac:dyDescent="0.25">
      <c r="A1748" s="201"/>
      <c r="B1748" s="201"/>
    </row>
    <row r="1749" spans="1:2" x14ac:dyDescent="0.25">
      <c r="A1749" s="201"/>
      <c r="B1749" s="201"/>
    </row>
    <row r="1750" spans="1:2" x14ac:dyDescent="0.25">
      <c r="A1750" s="201"/>
      <c r="B1750" s="201"/>
    </row>
    <row r="1751" spans="1:2" x14ac:dyDescent="0.25">
      <c r="A1751" s="201"/>
      <c r="B1751" s="201"/>
    </row>
    <row r="1752" spans="1:2" x14ac:dyDescent="0.25">
      <c r="A1752" s="201"/>
      <c r="B1752" s="201"/>
    </row>
    <row r="1753" spans="1:2" x14ac:dyDescent="0.25">
      <c r="A1753" s="201"/>
      <c r="B1753" s="201"/>
    </row>
    <row r="1754" spans="1:2" x14ac:dyDescent="0.25">
      <c r="A1754" s="201"/>
      <c r="B1754" s="201"/>
    </row>
    <row r="1755" spans="1:2" x14ac:dyDescent="0.25">
      <c r="A1755" s="201"/>
      <c r="B1755" s="201"/>
    </row>
    <row r="1756" spans="1:2" x14ac:dyDescent="0.25">
      <c r="A1756" s="201"/>
      <c r="B1756" s="201"/>
    </row>
    <row r="1757" spans="1:2" x14ac:dyDescent="0.25">
      <c r="A1757" s="201"/>
      <c r="B1757" s="201"/>
    </row>
    <row r="1758" spans="1:2" x14ac:dyDescent="0.25">
      <c r="A1758" s="201"/>
      <c r="B1758" s="201"/>
    </row>
    <row r="1759" spans="1:2" x14ac:dyDescent="0.25">
      <c r="A1759" s="201"/>
      <c r="B1759" s="201"/>
    </row>
    <row r="1760" spans="1:2" x14ac:dyDescent="0.25">
      <c r="A1760" s="201"/>
      <c r="B1760" s="201"/>
    </row>
    <row r="1761" spans="1:2" x14ac:dyDescent="0.25">
      <c r="A1761" s="201"/>
      <c r="B1761" s="201"/>
    </row>
    <row r="1762" spans="1:2" x14ac:dyDescent="0.25">
      <c r="A1762" s="201"/>
      <c r="B1762" s="201"/>
    </row>
    <row r="1763" spans="1:2" x14ac:dyDescent="0.25">
      <c r="A1763" s="201"/>
      <c r="B1763" s="201"/>
    </row>
    <row r="1764" spans="1:2" x14ac:dyDescent="0.25">
      <c r="A1764" s="201"/>
      <c r="B1764" s="201"/>
    </row>
    <row r="1765" spans="1:2" x14ac:dyDescent="0.25">
      <c r="A1765" s="201"/>
      <c r="B1765" s="201"/>
    </row>
    <row r="1766" spans="1:2" x14ac:dyDescent="0.25">
      <c r="A1766" s="201"/>
      <c r="B1766" s="201"/>
    </row>
    <row r="1767" spans="1:2" x14ac:dyDescent="0.25">
      <c r="A1767" s="201"/>
      <c r="B1767" s="201"/>
    </row>
    <row r="1768" spans="1:2" x14ac:dyDescent="0.25">
      <c r="A1768" s="201"/>
      <c r="B1768" s="201"/>
    </row>
    <row r="1769" spans="1:2" x14ac:dyDescent="0.25">
      <c r="A1769" s="201"/>
      <c r="B1769" s="201"/>
    </row>
    <row r="1770" spans="1:2" x14ac:dyDescent="0.25">
      <c r="A1770" s="201"/>
      <c r="B1770" s="201"/>
    </row>
    <row r="1771" spans="1:2" x14ac:dyDescent="0.25">
      <c r="A1771" s="201"/>
      <c r="B1771" s="201"/>
    </row>
    <row r="1772" spans="1:2" x14ac:dyDescent="0.25">
      <c r="A1772" s="201"/>
      <c r="B1772" s="201"/>
    </row>
    <row r="1773" spans="1:2" x14ac:dyDescent="0.25">
      <c r="A1773" s="201"/>
      <c r="B1773" s="201"/>
    </row>
    <row r="1774" spans="1:2" x14ac:dyDescent="0.25">
      <c r="A1774" s="201"/>
      <c r="B1774" s="201"/>
    </row>
    <row r="1775" spans="1:2" x14ac:dyDescent="0.25">
      <c r="A1775" s="201"/>
      <c r="B1775" s="201"/>
    </row>
    <row r="1776" spans="1:2" x14ac:dyDescent="0.25">
      <c r="A1776" s="201"/>
      <c r="B1776" s="201"/>
    </row>
    <row r="1777" spans="1:2" x14ac:dyDescent="0.25">
      <c r="A1777" s="201"/>
      <c r="B1777" s="201"/>
    </row>
    <row r="1778" spans="1:2" x14ac:dyDescent="0.25">
      <c r="A1778" s="201"/>
      <c r="B1778" s="201"/>
    </row>
    <row r="1779" spans="1:2" x14ac:dyDescent="0.25">
      <c r="A1779" s="201"/>
      <c r="B1779" s="201"/>
    </row>
    <row r="1780" spans="1:2" x14ac:dyDescent="0.25">
      <c r="A1780" s="201"/>
      <c r="B1780" s="201"/>
    </row>
    <row r="1781" spans="1:2" x14ac:dyDescent="0.25">
      <c r="A1781" s="201"/>
      <c r="B1781" s="201"/>
    </row>
    <row r="1782" spans="1:2" x14ac:dyDescent="0.25">
      <c r="A1782" s="201"/>
      <c r="B1782" s="201"/>
    </row>
    <row r="1783" spans="1:2" x14ac:dyDescent="0.25">
      <c r="A1783" s="201"/>
      <c r="B1783" s="201"/>
    </row>
    <row r="1784" spans="1:2" x14ac:dyDescent="0.25">
      <c r="A1784" s="201"/>
      <c r="B1784" s="201"/>
    </row>
    <row r="1785" spans="1:2" x14ac:dyDescent="0.25">
      <c r="A1785" s="201"/>
      <c r="B1785" s="201"/>
    </row>
    <row r="1786" spans="1:2" x14ac:dyDescent="0.25">
      <c r="A1786" s="201"/>
      <c r="B1786" s="201"/>
    </row>
    <row r="1787" spans="1:2" x14ac:dyDescent="0.25">
      <c r="A1787" s="201"/>
      <c r="B1787" s="201"/>
    </row>
    <row r="1788" spans="1:2" x14ac:dyDescent="0.25">
      <c r="A1788" s="201"/>
      <c r="B1788" s="201"/>
    </row>
    <row r="1789" spans="1:2" x14ac:dyDescent="0.25">
      <c r="A1789" s="201"/>
      <c r="B1789" s="201"/>
    </row>
    <row r="1790" spans="1:2" x14ac:dyDescent="0.25">
      <c r="A1790" s="201"/>
      <c r="B1790" s="201"/>
    </row>
    <row r="1791" spans="1:2" x14ac:dyDescent="0.25">
      <c r="A1791" s="201"/>
      <c r="B1791" s="201"/>
    </row>
    <row r="1792" spans="1:2" x14ac:dyDescent="0.25">
      <c r="A1792" s="201"/>
      <c r="B1792" s="201"/>
    </row>
    <row r="1793" spans="1:2" x14ac:dyDescent="0.25">
      <c r="A1793" s="201"/>
      <c r="B1793" s="201"/>
    </row>
    <row r="1794" spans="1:2" x14ac:dyDescent="0.25">
      <c r="A1794" s="201"/>
      <c r="B1794" s="201"/>
    </row>
    <row r="1795" spans="1:2" x14ac:dyDescent="0.25">
      <c r="A1795" s="201"/>
      <c r="B1795" s="201"/>
    </row>
    <row r="1796" spans="1:2" x14ac:dyDescent="0.25">
      <c r="A1796" s="201"/>
      <c r="B1796" s="201"/>
    </row>
    <row r="1797" spans="1:2" x14ac:dyDescent="0.25">
      <c r="A1797" s="201"/>
      <c r="B1797" s="201"/>
    </row>
    <row r="1798" spans="1:2" x14ac:dyDescent="0.25">
      <c r="A1798" s="201"/>
      <c r="B1798" s="201"/>
    </row>
    <row r="1799" spans="1:2" x14ac:dyDescent="0.25">
      <c r="A1799" s="201"/>
      <c r="B1799" s="201"/>
    </row>
    <row r="1800" spans="1:2" x14ac:dyDescent="0.25">
      <c r="A1800" s="201"/>
      <c r="B1800" s="201"/>
    </row>
    <row r="1801" spans="1:2" x14ac:dyDescent="0.25">
      <c r="A1801" s="201"/>
      <c r="B1801" s="201"/>
    </row>
    <row r="1802" spans="1:2" x14ac:dyDescent="0.25">
      <c r="A1802" s="201"/>
      <c r="B1802" s="201"/>
    </row>
    <row r="1803" spans="1:2" x14ac:dyDescent="0.25">
      <c r="A1803" s="201"/>
      <c r="B1803" s="201"/>
    </row>
    <row r="1804" spans="1:2" x14ac:dyDescent="0.25">
      <c r="A1804" s="201"/>
      <c r="B1804" s="201"/>
    </row>
    <row r="1805" spans="1:2" x14ac:dyDescent="0.25">
      <c r="A1805" s="201"/>
      <c r="B1805" s="201"/>
    </row>
    <row r="1806" spans="1:2" x14ac:dyDescent="0.25">
      <c r="A1806" s="201"/>
      <c r="B1806" s="201"/>
    </row>
    <row r="1807" spans="1:2" x14ac:dyDescent="0.25">
      <c r="A1807" s="201"/>
      <c r="B1807" s="201"/>
    </row>
    <row r="1808" spans="1:2" x14ac:dyDescent="0.25">
      <c r="A1808" s="201"/>
      <c r="B1808" s="201"/>
    </row>
    <row r="1809" spans="1:2" x14ac:dyDescent="0.25">
      <c r="A1809" s="201"/>
      <c r="B1809" s="201"/>
    </row>
    <row r="1810" spans="1:2" x14ac:dyDescent="0.25">
      <c r="A1810" s="201"/>
      <c r="B1810" s="201"/>
    </row>
    <row r="1811" spans="1:2" x14ac:dyDescent="0.25">
      <c r="A1811" s="201"/>
      <c r="B1811" s="201"/>
    </row>
    <row r="1812" spans="1:2" x14ac:dyDescent="0.25">
      <c r="A1812" s="201"/>
      <c r="B1812" s="201"/>
    </row>
    <row r="1813" spans="1:2" x14ac:dyDescent="0.25">
      <c r="A1813" s="201"/>
      <c r="B1813" s="201"/>
    </row>
    <row r="1814" spans="1:2" x14ac:dyDescent="0.25">
      <c r="A1814" s="201"/>
      <c r="B1814" s="201"/>
    </row>
    <row r="1815" spans="1:2" x14ac:dyDescent="0.25">
      <c r="A1815" s="201"/>
      <c r="B1815" s="201"/>
    </row>
    <row r="1816" spans="1:2" x14ac:dyDescent="0.25">
      <c r="A1816" s="201"/>
      <c r="B1816" s="201"/>
    </row>
    <row r="1817" spans="1:2" x14ac:dyDescent="0.25">
      <c r="A1817" s="201"/>
      <c r="B1817" s="201"/>
    </row>
    <row r="1818" spans="1:2" x14ac:dyDescent="0.25">
      <c r="A1818" s="201"/>
      <c r="B1818" s="201"/>
    </row>
    <row r="1819" spans="1:2" x14ac:dyDescent="0.25">
      <c r="A1819" s="201"/>
      <c r="B1819" s="201"/>
    </row>
    <row r="1820" spans="1:2" x14ac:dyDescent="0.25">
      <c r="A1820" s="201"/>
      <c r="B1820" s="201"/>
    </row>
    <row r="1821" spans="1:2" x14ac:dyDescent="0.25">
      <c r="A1821" s="201"/>
      <c r="B1821" s="201"/>
    </row>
    <row r="1822" spans="1:2" x14ac:dyDescent="0.25">
      <c r="A1822" s="201"/>
      <c r="B1822" s="201"/>
    </row>
    <row r="1823" spans="1:2" x14ac:dyDescent="0.25">
      <c r="A1823" s="201"/>
      <c r="B1823" s="201"/>
    </row>
    <row r="1824" spans="1:2" x14ac:dyDescent="0.25">
      <c r="A1824" s="201"/>
      <c r="B1824" s="201"/>
    </row>
    <row r="1825" spans="1:2" x14ac:dyDescent="0.25">
      <c r="A1825" s="201"/>
      <c r="B1825" s="201"/>
    </row>
    <row r="1826" spans="1:2" x14ac:dyDescent="0.25">
      <c r="A1826" s="201"/>
      <c r="B1826" s="201"/>
    </row>
    <row r="1827" spans="1:2" x14ac:dyDescent="0.25">
      <c r="A1827" s="201"/>
      <c r="B1827" s="201"/>
    </row>
    <row r="1828" spans="1:2" x14ac:dyDescent="0.25">
      <c r="A1828" s="201"/>
      <c r="B1828" s="201"/>
    </row>
    <row r="1829" spans="1:2" x14ac:dyDescent="0.25">
      <c r="A1829" s="201"/>
      <c r="B1829" s="201"/>
    </row>
    <row r="1830" spans="1:2" x14ac:dyDescent="0.25">
      <c r="A1830" s="201"/>
      <c r="B1830" s="201"/>
    </row>
    <row r="1831" spans="1:2" x14ac:dyDescent="0.25">
      <c r="A1831" s="201"/>
      <c r="B1831" s="201"/>
    </row>
    <row r="1832" spans="1:2" x14ac:dyDescent="0.25">
      <c r="A1832" s="201"/>
      <c r="B1832" s="201"/>
    </row>
    <row r="1833" spans="1:2" x14ac:dyDescent="0.25">
      <c r="A1833" s="201"/>
      <c r="B1833" s="201"/>
    </row>
    <row r="1834" spans="1:2" x14ac:dyDescent="0.25">
      <c r="A1834" s="201"/>
      <c r="B1834" s="201"/>
    </row>
    <row r="1835" spans="1:2" x14ac:dyDescent="0.25">
      <c r="A1835" s="201"/>
      <c r="B1835" s="201"/>
    </row>
    <row r="1836" spans="1:2" x14ac:dyDescent="0.25">
      <c r="A1836" s="201"/>
      <c r="B1836" s="201"/>
    </row>
    <row r="1837" spans="1:2" x14ac:dyDescent="0.25">
      <c r="A1837" s="201"/>
      <c r="B1837" s="201"/>
    </row>
    <row r="1838" spans="1:2" x14ac:dyDescent="0.25">
      <c r="A1838" s="201"/>
      <c r="B1838" s="201"/>
    </row>
    <row r="1839" spans="1:2" x14ac:dyDescent="0.25">
      <c r="A1839" s="201"/>
      <c r="B1839" s="201"/>
    </row>
    <row r="1840" spans="1:2" x14ac:dyDescent="0.25">
      <c r="A1840" s="201"/>
      <c r="B1840" s="201"/>
    </row>
    <row r="1841" spans="1:2" x14ac:dyDescent="0.25">
      <c r="A1841" s="201"/>
      <c r="B1841" s="201"/>
    </row>
    <row r="1842" spans="1:2" x14ac:dyDescent="0.25">
      <c r="A1842" s="201"/>
      <c r="B1842" s="201"/>
    </row>
    <row r="1843" spans="1:2" x14ac:dyDescent="0.25">
      <c r="A1843" s="201"/>
      <c r="B1843" s="201"/>
    </row>
    <row r="1844" spans="1:2" x14ac:dyDescent="0.25">
      <c r="A1844" s="201"/>
      <c r="B1844" s="201"/>
    </row>
    <row r="1845" spans="1:2" x14ac:dyDescent="0.25">
      <c r="A1845" s="201"/>
      <c r="B1845" s="201"/>
    </row>
    <row r="1846" spans="1:2" x14ac:dyDescent="0.25">
      <c r="A1846" s="201"/>
      <c r="B1846" s="201"/>
    </row>
    <row r="1847" spans="1:2" x14ac:dyDescent="0.25">
      <c r="A1847" s="201"/>
      <c r="B1847" s="201"/>
    </row>
    <row r="1848" spans="1:2" x14ac:dyDescent="0.25">
      <c r="A1848" s="201"/>
      <c r="B1848" s="201"/>
    </row>
    <row r="1849" spans="1:2" x14ac:dyDescent="0.25">
      <c r="A1849" s="201"/>
      <c r="B1849" s="201"/>
    </row>
    <row r="1850" spans="1:2" x14ac:dyDescent="0.25">
      <c r="A1850" s="201"/>
      <c r="B1850" s="201"/>
    </row>
    <row r="1851" spans="1:2" x14ac:dyDescent="0.25">
      <c r="A1851" s="201"/>
      <c r="B1851" s="201"/>
    </row>
    <row r="1852" spans="1:2" x14ac:dyDescent="0.25">
      <c r="A1852" s="201"/>
      <c r="B1852" s="201"/>
    </row>
    <row r="1853" spans="1:2" x14ac:dyDescent="0.25">
      <c r="A1853" s="201"/>
      <c r="B1853" s="201"/>
    </row>
    <row r="1854" spans="1:2" x14ac:dyDescent="0.25">
      <c r="A1854" s="201"/>
      <c r="B1854" s="201"/>
    </row>
    <row r="1855" spans="1:2" x14ac:dyDescent="0.25">
      <c r="A1855" s="201"/>
      <c r="B1855" s="201"/>
    </row>
    <row r="1856" spans="1:2" x14ac:dyDescent="0.25">
      <c r="A1856" s="201"/>
      <c r="B1856" s="201"/>
    </row>
    <row r="1857" spans="1:2" x14ac:dyDescent="0.25">
      <c r="A1857" s="201"/>
      <c r="B1857" s="201"/>
    </row>
    <row r="1858" spans="1:2" x14ac:dyDescent="0.25">
      <c r="A1858" s="201"/>
      <c r="B1858" s="201"/>
    </row>
    <row r="1859" spans="1:2" x14ac:dyDescent="0.25">
      <c r="A1859" s="201"/>
      <c r="B1859" s="201"/>
    </row>
    <row r="1860" spans="1:2" x14ac:dyDescent="0.25">
      <c r="A1860" s="201"/>
      <c r="B1860" s="201"/>
    </row>
    <row r="1861" spans="1:2" x14ac:dyDescent="0.25">
      <c r="A1861" s="201"/>
      <c r="B1861" s="201"/>
    </row>
    <row r="1862" spans="1:2" x14ac:dyDescent="0.25">
      <c r="A1862" s="201"/>
      <c r="B1862" s="201"/>
    </row>
    <row r="1863" spans="1:2" x14ac:dyDescent="0.25">
      <c r="A1863" s="201"/>
      <c r="B1863" s="201"/>
    </row>
    <row r="1864" spans="1:2" x14ac:dyDescent="0.25">
      <c r="A1864" s="201"/>
      <c r="B1864" s="201"/>
    </row>
    <row r="1865" spans="1:2" x14ac:dyDescent="0.25">
      <c r="A1865" s="201"/>
      <c r="B1865" s="201"/>
    </row>
    <row r="1866" spans="1:2" x14ac:dyDescent="0.25">
      <c r="A1866" s="201"/>
      <c r="B1866" s="201"/>
    </row>
    <row r="1867" spans="1:2" x14ac:dyDescent="0.25">
      <c r="A1867" s="201"/>
      <c r="B1867" s="201"/>
    </row>
    <row r="1868" spans="1:2" x14ac:dyDescent="0.25">
      <c r="A1868" s="201"/>
      <c r="B1868" s="201"/>
    </row>
    <row r="1869" spans="1:2" x14ac:dyDescent="0.25">
      <c r="A1869" s="201"/>
      <c r="B1869" s="201"/>
    </row>
    <row r="1870" spans="1:2" x14ac:dyDescent="0.25">
      <c r="A1870" s="201"/>
      <c r="B1870" s="201"/>
    </row>
    <row r="1871" spans="1:2" x14ac:dyDescent="0.25">
      <c r="A1871" s="201"/>
      <c r="B1871" s="201"/>
    </row>
    <row r="1872" spans="1:2" x14ac:dyDescent="0.25">
      <c r="A1872" s="201"/>
      <c r="B1872" s="201"/>
    </row>
    <row r="1873" spans="1:2" x14ac:dyDescent="0.25">
      <c r="A1873" s="201"/>
      <c r="B1873" s="201"/>
    </row>
    <row r="1874" spans="1:2" x14ac:dyDescent="0.25">
      <c r="A1874" s="201"/>
      <c r="B1874" s="201"/>
    </row>
    <row r="1875" spans="1:2" x14ac:dyDescent="0.25">
      <c r="A1875" s="201"/>
      <c r="B1875" s="201"/>
    </row>
    <row r="1876" spans="1:2" x14ac:dyDescent="0.25">
      <c r="A1876" s="201"/>
      <c r="B1876" s="201"/>
    </row>
    <row r="1877" spans="1:2" x14ac:dyDescent="0.25">
      <c r="A1877" s="201"/>
      <c r="B1877" s="201"/>
    </row>
    <row r="1878" spans="1:2" x14ac:dyDescent="0.25">
      <c r="A1878" s="201"/>
      <c r="B1878" s="201"/>
    </row>
    <row r="1879" spans="1:2" x14ac:dyDescent="0.25">
      <c r="A1879" s="201"/>
      <c r="B1879" s="201"/>
    </row>
    <row r="1880" spans="1:2" x14ac:dyDescent="0.25">
      <c r="A1880" s="201"/>
      <c r="B1880" s="201"/>
    </row>
    <row r="1881" spans="1:2" x14ac:dyDescent="0.25">
      <c r="A1881" s="201"/>
      <c r="B1881" s="201"/>
    </row>
    <row r="1882" spans="1:2" x14ac:dyDescent="0.25">
      <c r="A1882" s="201"/>
      <c r="B1882" s="201"/>
    </row>
    <row r="1883" spans="1:2" x14ac:dyDescent="0.25">
      <c r="A1883" s="201"/>
      <c r="B1883" s="201"/>
    </row>
    <row r="1884" spans="1:2" x14ac:dyDescent="0.25">
      <c r="A1884" s="201"/>
      <c r="B1884" s="201"/>
    </row>
    <row r="1885" spans="1:2" x14ac:dyDescent="0.25">
      <c r="A1885" s="201"/>
      <c r="B1885" s="201"/>
    </row>
    <row r="1886" spans="1:2" x14ac:dyDescent="0.25">
      <c r="A1886" s="201"/>
      <c r="B1886" s="201"/>
    </row>
    <row r="1887" spans="1:2" x14ac:dyDescent="0.25">
      <c r="A1887" s="201"/>
      <c r="B1887" s="201"/>
    </row>
    <row r="1888" spans="1:2" x14ac:dyDescent="0.25">
      <c r="A1888" s="201"/>
      <c r="B1888" s="201"/>
    </row>
    <row r="1889" spans="1:2" x14ac:dyDescent="0.25">
      <c r="A1889" s="201"/>
      <c r="B1889" s="201"/>
    </row>
    <row r="1890" spans="1:2" x14ac:dyDescent="0.25">
      <c r="A1890" s="201"/>
      <c r="B1890" s="201"/>
    </row>
    <row r="1891" spans="1:2" x14ac:dyDescent="0.25">
      <c r="A1891" s="201"/>
      <c r="B1891" s="201"/>
    </row>
    <row r="1892" spans="1:2" x14ac:dyDescent="0.25">
      <c r="A1892" s="201"/>
      <c r="B1892" s="201"/>
    </row>
    <row r="1893" spans="1:2" x14ac:dyDescent="0.25">
      <c r="A1893" s="201"/>
      <c r="B1893" s="201"/>
    </row>
    <row r="1894" spans="1:2" x14ac:dyDescent="0.25">
      <c r="A1894" s="201"/>
      <c r="B1894" s="201"/>
    </row>
    <row r="1895" spans="1:2" x14ac:dyDescent="0.25">
      <c r="A1895" s="201"/>
      <c r="B1895" s="201"/>
    </row>
    <row r="1896" spans="1:2" x14ac:dyDescent="0.25">
      <c r="A1896" s="201"/>
      <c r="B1896" s="201"/>
    </row>
    <row r="1897" spans="1:2" x14ac:dyDescent="0.25">
      <c r="A1897" s="201"/>
      <c r="B1897" s="201"/>
    </row>
    <row r="1898" spans="1:2" x14ac:dyDescent="0.25">
      <c r="A1898" s="201"/>
      <c r="B1898" s="201"/>
    </row>
    <row r="1899" spans="1:2" x14ac:dyDescent="0.25">
      <c r="A1899" s="201"/>
      <c r="B1899" s="201"/>
    </row>
    <row r="1900" spans="1:2" x14ac:dyDescent="0.25">
      <c r="A1900" s="201"/>
      <c r="B1900" s="201"/>
    </row>
    <row r="1901" spans="1:2" x14ac:dyDescent="0.25">
      <c r="A1901" s="201"/>
      <c r="B1901" s="201"/>
    </row>
    <row r="1902" spans="1:2" x14ac:dyDescent="0.25">
      <c r="A1902" s="201"/>
      <c r="B1902" s="201"/>
    </row>
    <row r="1903" spans="1:2" x14ac:dyDescent="0.25">
      <c r="A1903" s="201"/>
      <c r="B1903" s="201"/>
    </row>
    <row r="1904" spans="1:2" x14ac:dyDescent="0.25">
      <c r="A1904" s="201"/>
      <c r="B1904" s="201"/>
    </row>
    <row r="1905" spans="1:2" x14ac:dyDescent="0.25">
      <c r="A1905" s="201"/>
      <c r="B1905" s="201"/>
    </row>
    <row r="1906" spans="1:2" x14ac:dyDescent="0.25">
      <c r="A1906" s="201"/>
      <c r="B1906" s="201"/>
    </row>
    <row r="1907" spans="1:2" x14ac:dyDescent="0.25">
      <c r="A1907" s="201"/>
      <c r="B1907" s="201"/>
    </row>
    <row r="1908" spans="1:2" x14ac:dyDescent="0.25">
      <c r="A1908" s="201"/>
      <c r="B1908" s="201"/>
    </row>
    <row r="1909" spans="1:2" x14ac:dyDescent="0.25">
      <c r="A1909" s="201"/>
      <c r="B1909" s="201"/>
    </row>
    <row r="1910" spans="1:2" x14ac:dyDescent="0.25">
      <c r="A1910" s="201"/>
      <c r="B1910" s="201"/>
    </row>
    <row r="1911" spans="1:2" x14ac:dyDescent="0.25">
      <c r="A1911" s="201"/>
      <c r="B1911" s="201"/>
    </row>
    <row r="1912" spans="1:2" x14ac:dyDescent="0.25">
      <c r="A1912" s="201"/>
      <c r="B1912" s="201"/>
    </row>
    <row r="1913" spans="1:2" x14ac:dyDescent="0.25">
      <c r="A1913" s="201"/>
      <c r="B1913" s="201"/>
    </row>
    <row r="1914" spans="1:2" x14ac:dyDescent="0.25">
      <c r="A1914" s="201"/>
      <c r="B1914" s="201"/>
    </row>
    <row r="1915" spans="1:2" x14ac:dyDescent="0.25">
      <c r="A1915" s="201"/>
      <c r="B1915" s="201"/>
    </row>
    <row r="1916" spans="1:2" x14ac:dyDescent="0.25">
      <c r="A1916" s="201"/>
      <c r="B1916" s="201"/>
    </row>
    <row r="1917" spans="1:2" x14ac:dyDescent="0.25">
      <c r="A1917" s="201"/>
      <c r="B1917" s="201"/>
    </row>
    <row r="1918" spans="1:2" x14ac:dyDescent="0.25">
      <c r="A1918" s="201"/>
      <c r="B1918" s="201"/>
    </row>
    <row r="1919" spans="1:2" x14ac:dyDescent="0.25">
      <c r="A1919" s="201"/>
      <c r="B1919" s="201"/>
    </row>
    <row r="1920" spans="1:2" x14ac:dyDescent="0.25">
      <c r="A1920" s="201"/>
      <c r="B1920" s="201"/>
    </row>
    <row r="1921" spans="1:2" x14ac:dyDescent="0.25">
      <c r="A1921" s="201"/>
      <c r="B1921" s="201"/>
    </row>
    <row r="1922" spans="1:2" x14ac:dyDescent="0.25">
      <c r="A1922" s="201"/>
      <c r="B1922" s="201"/>
    </row>
    <row r="1923" spans="1:2" x14ac:dyDescent="0.25">
      <c r="A1923" s="201"/>
      <c r="B1923" s="201"/>
    </row>
    <row r="1924" spans="1:2" x14ac:dyDescent="0.25">
      <c r="A1924" s="201"/>
      <c r="B1924" s="201"/>
    </row>
    <row r="1925" spans="1:2" x14ac:dyDescent="0.25">
      <c r="A1925" s="201"/>
      <c r="B1925" s="201"/>
    </row>
    <row r="1926" spans="1:2" x14ac:dyDescent="0.25">
      <c r="A1926" s="201"/>
      <c r="B1926" s="201"/>
    </row>
    <row r="1927" spans="1:2" x14ac:dyDescent="0.25">
      <c r="A1927" s="201"/>
      <c r="B1927" s="201"/>
    </row>
    <row r="1928" spans="1:2" x14ac:dyDescent="0.25">
      <c r="A1928" s="201"/>
      <c r="B1928" s="201"/>
    </row>
    <row r="1929" spans="1:2" x14ac:dyDescent="0.25">
      <c r="A1929" s="201"/>
      <c r="B1929" s="201"/>
    </row>
    <row r="1930" spans="1:2" x14ac:dyDescent="0.25">
      <c r="A1930" s="201"/>
      <c r="B1930" s="201"/>
    </row>
    <row r="1931" spans="1:2" x14ac:dyDescent="0.25">
      <c r="A1931" s="201"/>
      <c r="B1931" s="201"/>
    </row>
    <row r="1932" spans="1:2" x14ac:dyDescent="0.25">
      <c r="A1932" s="201"/>
      <c r="B1932" s="201"/>
    </row>
    <row r="1933" spans="1:2" x14ac:dyDescent="0.25">
      <c r="A1933" s="201"/>
      <c r="B1933" s="201"/>
    </row>
    <row r="1934" spans="1:2" x14ac:dyDescent="0.25">
      <c r="A1934" s="201"/>
      <c r="B1934" s="201"/>
    </row>
    <row r="1935" spans="1:2" x14ac:dyDescent="0.25">
      <c r="A1935" s="201"/>
      <c r="B1935" s="201"/>
    </row>
    <row r="1936" spans="1:2" x14ac:dyDescent="0.25">
      <c r="A1936" s="201"/>
      <c r="B1936" s="201"/>
    </row>
    <row r="1937" spans="1:2" x14ac:dyDescent="0.25">
      <c r="A1937" s="201"/>
      <c r="B1937" s="201"/>
    </row>
    <row r="1938" spans="1:2" x14ac:dyDescent="0.25">
      <c r="A1938" s="201"/>
      <c r="B1938" s="201"/>
    </row>
    <row r="1939" spans="1:2" x14ac:dyDescent="0.25">
      <c r="A1939" s="201"/>
      <c r="B1939" s="201"/>
    </row>
    <row r="1940" spans="1:2" x14ac:dyDescent="0.25">
      <c r="A1940" s="201"/>
      <c r="B1940" s="201"/>
    </row>
    <row r="1941" spans="1:2" x14ac:dyDescent="0.25">
      <c r="A1941" s="201"/>
      <c r="B1941" s="201"/>
    </row>
    <row r="1942" spans="1:2" x14ac:dyDescent="0.25">
      <c r="A1942" s="201"/>
      <c r="B1942" s="201"/>
    </row>
    <row r="1943" spans="1:2" x14ac:dyDescent="0.25">
      <c r="A1943" s="201"/>
      <c r="B1943" s="201"/>
    </row>
    <row r="1944" spans="1:2" x14ac:dyDescent="0.25">
      <c r="A1944" s="201"/>
      <c r="B1944" s="201"/>
    </row>
    <row r="1945" spans="1:2" x14ac:dyDescent="0.25">
      <c r="A1945" s="201"/>
      <c r="B1945" s="201"/>
    </row>
    <row r="1946" spans="1:2" x14ac:dyDescent="0.25">
      <c r="A1946" s="201"/>
      <c r="B1946" s="201"/>
    </row>
    <row r="1947" spans="1:2" x14ac:dyDescent="0.25">
      <c r="A1947" s="201"/>
      <c r="B1947" s="201"/>
    </row>
    <row r="1948" spans="1:2" x14ac:dyDescent="0.25">
      <c r="A1948" s="201"/>
      <c r="B1948" s="201"/>
    </row>
    <row r="1949" spans="1:2" x14ac:dyDescent="0.25">
      <c r="A1949" s="201"/>
      <c r="B1949" s="201"/>
    </row>
    <row r="1950" spans="1:2" x14ac:dyDescent="0.25">
      <c r="A1950" s="201"/>
      <c r="B1950" s="201"/>
    </row>
    <row r="1951" spans="1:2" x14ac:dyDescent="0.25">
      <c r="A1951" s="201"/>
      <c r="B1951" s="201"/>
    </row>
    <row r="1952" spans="1:2" x14ac:dyDescent="0.25">
      <c r="A1952" s="201"/>
      <c r="B1952" s="201"/>
    </row>
    <row r="1953" spans="1:2" x14ac:dyDescent="0.25">
      <c r="A1953" s="201"/>
      <c r="B1953" s="201"/>
    </row>
    <row r="1954" spans="1:2" x14ac:dyDescent="0.25">
      <c r="A1954" s="201"/>
      <c r="B1954" s="201"/>
    </row>
    <row r="1955" spans="1:2" x14ac:dyDescent="0.25">
      <c r="A1955" s="201"/>
      <c r="B1955" s="201"/>
    </row>
    <row r="1956" spans="1:2" x14ac:dyDescent="0.25">
      <c r="A1956" s="201"/>
      <c r="B1956" s="201"/>
    </row>
    <row r="1957" spans="1:2" x14ac:dyDescent="0.25">
      <c r="A1957" s="201"/>
      <c r="B1957" s="201"/>
    </row>
    <row r="1958" spans="1:2" x14ac:dyDescent="0.25">
      <c r="A1958" s="201"/>
      <c r="B1958" s="201"/>
    </row>
    <row r="1959" spans="1:2" x14ac:dyDescent="0.25">
      <c r="A1959" s="201"/>
      <c r="B1959" s="201"/>
    </row>
    <row r="1960" spans="1:2" x14ac:dyDescent="0.25">
      <c r="A1960" s="201"/>
      <c r="B1960" s="201"/>
    </row>
    <row r="1961" spans="1:2" x14ac:dyDescent="0.25">
      <c r="A1961" s="201"/>
      <c r="B1961" s="201"/>
    </row>
    <row r="1962" spans="1:2" x14ac:dyDescent="0.25">
      <c r="A1962" s="201"/>
      <c r="B1962" s="201"/>
    </row>
    <row r="1963" spans="1:2" x14ac:dyDescent="0.25">
      <c r="A1963" s="201"/>
      <c r="B1963" s="201"/>
    </row>
    <row r="1964" spans="1:2" x14ac:dyDescent="0.25">
      <c r="A1964" s="201"/>
      <c r="B1964" s="201"/>
    </row>
    <row r="1965" spans="1:2" x14ac:dyDescent="0.25">
      <c r="A1965" s="201"/>
      <c r="B1965" s="201"/>
    </row>
    <row r="1966" spans="1:2" x14ac:dyDescent="0.25">
      <c r="A1966" s="201"/>
      <c r="B1966" s="201"/>
    </row>
    <row r="1967" spans="1:2" x14ac:dyDescent="0.25">
      <c r="A1967" s="201"/>
      <c r="B1967" s="201"/>
    </row>
    <row r="1968" spans="1:2" x14ac:dyDescent="0.25">
      <c r="A1968" s="201"/>
      <c r="B1968" s="201"/>
    </row>
    <row r="1969" spans="1:2" x14ac:dyDescent="0.25">
      <c r="A1969" s="201"/>
      <c r="B1969" s="201"/>
    </row>
    <row r="1970" spans="1:2" x14ac:dyDescent="0.25">
      <c r="A1970" s="201"/>
      <c r="B1970" s="201"/>
    </row>
    <row r="1971" spans="1:2" x14ac:dyDescent="0.25">
      <c r="A1971" s="201"/>
      <c r="B1971" s="201"/>
    </row>
    <row r="1972" spans="1:2" x14ac:dyDescent="0.25">
      <c r="A1972" s="201"/>
      <c r="B1972" s="201"/>
    </row>
    <row r="1973" spans="1:2" x14ac:dyDescent="0.25">
      <c r="A1973" s="201"/>
      <c r="B1973" s="201"/>
    </row>
    <row r="1974" spans="1:2" x14ac:dyDescent="0.25">
      <c r="A1974" s="201"/>
      <c r="B1974" s="201"/>
    </row>
    <row r="1975" spans="1:2" x14ac:dyDescent="0.25">
      <c r="A1975" s="201"/>
      <c r="B1975" s="201"/>
    </row>
    <row r="1976" spans="1:2" x14ac:dyDescent="0.25">
      <c r="A1976" s="201"/>
      <c r="B1976" s="201"/>
    </row>
    <row r="1977" spans="1:2" x14ac:dyDescent="0.25">
      <c r="A1977" s="201"/>
      <c r="B1977" s="201"/>
    </row>
    <row r="1978" spans="1:2" x14ac:dyDescent="0.25">
      <c r="A1978" s="201"/>
      <c r="B1978" s="201"/>
    </row>
    <row r="1979" spans="1:2" x14ac:dyDescent="0.25">
      <c r="A1979" s="201"/>
      <c r="B1979" s="201"/>
    </row>
    <row r="1980" spans="1:2" x14ac:dyDescent="0.25">
      <c r="A1980" s="201"/>
      <c r="B1980" s="201"/>
    </row>
    <row r="1981" spans="1:2" x14ac:dyDescent="0.25">
      <c r="A1981" s="201"/>
      <c r="B1981" s="201"/>
    </row>
    <row r="1982" spans="1:2" x14ac:dyDescent="0.25">
      <c r="A1982" s="201"/>
      <c r="B1982" s="201"/>
    </row>
    <row r="1983" spans="1:2" x14ac:dyDescent="0.25">
      <c r="A1983" s="201"/>
      <c r="B1983" s="201"/>
    </row>
    <row r="1984" spans="1:2" x14ac:dyDescent="0.25">
      <c r="A1984" s="201"/>
      <c r="B1984" s="201"/>
    </row>
    <row r="1985" spans="1:2" x14ac:dyDescent="0.25">
      <c r="A1985" s="201"/>
      <c r="B1985" s="201"/>
    </row>
    <row r="1986" spans="1:2" x14ac:dyDescent="0.25">
      <c r="A1986" s="201"/>
      <c r="B1986" s="201"/>
    </row>
    <row r="1987" spans="1:2" x14ac:dyDescent="0.25">
      <c r="A1987" s="201"/>
      <c r="B1987" s="201"/>
    </row>
    <row r="1988" spans="1:2" x14ac:dyDescent="0.25">
      <c r="A1988" s="201"/>
      <c r="B1988" s="201"/>
    </row>
    <row r="1989" spans="1:2" x14ac:dyDescent="0.25">
      <c r="A1989" s="201"/>
      <c r="B1989" s="201"/>
    </row>
    <row r="1990" spans="1:2" x14ac:dyDescent="0.25">
      <c r="A1990" s="201"/>
      <c r="B1990" s="201"/>
    </row>
    <row r="1991" spans="1:2" x14ac:dyDescent="0.25">
      <c r="A1991" s="201"/>
      <c r="B1991" s="201"/>
    </row>
    <row r="1992" spans="1:2" x14ac:dyDescent="0.25">
      <c r="A1992" s="201"/>
      <c r="B1992" s="201"/>
    </row>
    <row r="1993" spans="1:2" x14ac:dyDescent="0.25">
      <c r="A1993" s="201"/>
      <c r="B1993" s="201"/>
    </row>
    <row r="1994" spans="1:2" x14ac:dyDescent="0.25">
      <c r="A1994" s="201"/>
      <c r="B1994" s="201"/>
    </row>
    <row r="1995" spans="1:2" x14ac:dyDescent="0.25">
      <c r="A1995" s="201"/>
      <c r="B1995" s="201"/>
    </row>
    <row r="1996" spans="1:2" x14ac:dyDescent="0.25">
      <c r="A1996" s="201"/>
      <c r="B1996" s="201"/>
    </row>
    <row r="1997" spans="1:2" x14ac:dyDescent="0.25">
      <c r="A1997" s="201"/>
      <c r="B1997" s="201"/>
    </row>
    <row r="1998" spans="1:2" x14ac:dyDescent="0.25">
      <c r="A1998" s="201"/>
      <c r="B1998" s="201"/>
    </row>
    <row r="1999" spans="1:2" x14ac:dyDescent="0.25">
      <c r="A1999" s="201"/>
      <c r="B1999" s="201"/>
    </row>
    <row r="2000" spans="1:2" x14ac:dyDescent="0.25">
      <c r="A2000" s="201"/>
      <c r="B2000" s="201"/>
    </row>
    <row r="2001" spans="1:2" x14ac:dyDescent="0.25">
      <c r="A2001" s="201"/>
      <c r="B2001" s="201"/>
    </row>
    <row r="2002" spans="1:2" x14ac:dyDescent="0.25">
      <c r="A2002" s="201"/>
      <c r="B2002" s="201"/>
    </row>
    <row r="2003" spans="1:2" x14ac:dyDescent="0.25">
      <c r="A2003" s="201"/>
      <c r="B2003" s="201"/>
    </row>
    <row r="2004" spans="1:2" x14ac:dyDescent="0.25">
      <c r="A2004" s="201"/>
      <c r="B2004" s="201"/>
    </row>
    <row r="2005" spans="1:2" x14ac:dyDescent="0.25">
      <c r="A2005" s="201"/>
      <c r="B2005" s="201"/>
    </row>
    <row r="2006" spans="1:2" x14ac:dyDescent="0.25">
      <c r="A2006" s="201"/>
      <c r="B2006" s="201"/>
    </row>
    <row r="2007" spans="1:2" x14ac:dyDescent="0.25">
      <c r="A2007" s="201"/>
      <c r="B2007" s="201"/>
    </row>
    <row r="2008" spans="1:2" x14ac:dyDescent="0.25">
      <c r="A2008" s="201"/>
      <c r="B2008" s="201"/>
    </row>
    <row r="2009" spans="1:2" x14ac:dyDescent="0.25">
      <c r="A2009" s="201"/>
      <c r="B2009" s="201"/>
    </row>
    <row r="2010" spans="1:2" x14ac:dyDescent="0.25">
      <c r="A2010" s="201"/>
      <c r="B2010" s="201"/>
    </row>
    <row r="2011" spans="1:2" x14ac:dyDescent="0.25">
      <c r="A2011" s="201"/>
      <c r="B2011" s="201"/>
    </row>
    <row r="2012" spans="1:2" x14ac:dyDescent="0.25">
      <c r="A2012" s="201"/>
      <c r="B2012" s="201"/>
    </row>
    <row r="2013" spans="1:2" x14ac:dyDescent="0.25">
      <c r="A2013" s="201"/>
      <c r="B2013" s="201"/>
    </row>
    <row r="2014" spans="1:2" x14ac:dyDescent="0.25">
      <c r="A2014" s="201"/>
      <c r="B2014" s="201"/>
    </row>
    <row r="2015" spans="1:2" x14ac:dyDescent="0.25">
      <c r="A2015" s="201"/>
      <c r="B2015" s="201"/>
    </row>
    <row r="2016" spans="1:2" x14ac:dyDescent="0.25">
      <c r="A2016" s="201"/>
      <c r="B2016" s="201"/>
    </row>
    <row r="2017" spans="1:2" x14ac:dyDescent="0.25">
      <c r="A2017" s="201"/>
      <c r="B2017" s="201"/>
    </row>
    <row r="2018" spans="1:2" x14ac:dyDescent="0.25">
      <c r="A2018" s="201"/>
      <c r="B2018" s="201"/>
    </row>
    <row r="2019" spans="1:2" x14ac:dyDescent="0.25">
      <c r="A2019" s="201"/>
      <c r="B2019" s="201"/>
    </row>
    <row r="2020" spans="1:2" x14ac:dyDescent="0.25">
      <c r="A2020" s="201"/>
      <c r="B2020" s="201"/>
    </row>
    <row r="2021" spans="1:2" x14ac:dyDescent="0.25">
      <c r="A2021" s="201"/>
      <c r="B2021" s="201"/>
    </row>
    <row r="2022" spans="1:2" x14ac:dyDescent="0.25">
      <c r="A2022" s="201"/>
      <c r="B2022" s="201"/>
    </row>
    <row r="2023" spans="1:2" x14ac:dyDescent="0.25">
      <c r="A2023" s="201"/>
      <c r="B2023" s="201"/>
    </row>
    <row r="2024" spans="1:2" x14ac:dyDescent="0.25">
      <c r="A2024" s="201"/>
      <c r="B2024" s="201"/>
    </row>
    <row r="2025" spans="1:2" x14ac:dyDescent="0.25">
      <c r="A2025" s="201"/>
      <c r="B2025" s="201"/>
    </row>
    <row r="2026" spans="1:2" x14ac:dyDescent="0.25">
      <c r="A2026" s="201"/>
      <c r="B2026" s="201"/>
    </row>
    <row r="2027" spans="1:2" x14ac:dyDescent="0.25">
      <c r="A2027" s="201"/>
      <c r="B2027" s="201"/>
    </row>
    <row r="2028" spans="1:2" x14ac:dyDescent="0.25">
      <c r="A2028" s="201"/>
      <c r="B2028" s="201"/>
    </row>
    <row r="2029" spans="1:2" x14ac:dyDescent="0.25">
      <c r="A2029" s="201"/>
      <c r="B2029" s="201"/>
    </row>
    <row r="2030" spans="1:2" x14ac:dyDescent="0.25">
      <c r="A2030" s="201"/>
      <c r="B2030" s="201"/>
    </row>
    <row r="2031" spans="1:2" x14ac:dyDescent="0.25">
      <c r="A2031" s="201"/>
      <c r="B2031" s="201"/>
    </row>
    <row r="2032" spans="1:2" x14ac:dyDescent="0.25">
      <c r="A2032" s="201"/>
      <c r="B2032" s="201"/>
    </row>
    <row r="2033" spans="1:2" x14ac:dyDescent="0.25">
      <c r="A2033" s="201"/>
      <c r="B2033" s="201"/>
    </row>
    <row r="2034" spans="1:2" x14ac:dyDescent="0.25">
      <c r="A2034" s="201"/>
      <c r="B2034" s="201"/>
    </row>
    <row r="2035" spans="1:2" x14ac:dyDescent="0.25">
      <c r="A2035" s="201"/>
      <c r="B2035" s="201"/>
    </row>
    <row r="2036" spans="1:2" x14ac:dyDescent="0.25">
      <c r="A2036" s="201"/>
      <c r="B2036" s="201"/>
    </row>
    <row r="2037" spans="1:2" x14ac:dyDescent="0.25">
      <c r="A2037" s="201"/>
      <c r="B2037" s="201"/>
    </row>
    <row r="2038" spans="1:2" x14ac:dyDescent="0.25">
      <c r="A2038" s="201"/>
      <c r="B2038" s="201"/>
    </row>
    <row r="2039" spans="1:2" x14ac:dyDescent="0.25">
      <c r="A2039" s="201"/>
      <c r="B2039" s="201"/>
    </row>
    <row r="2040" spans="1:2" x14ac:dyDescent="0.25">
      <c r="A2040" s="201"/>
      <c r="B2040" s="201"/>
    </row>
    <row r="2041" spans="1:2" x14ac:dyDescent="0.25">
      <c r="A2041" s="201"/>
      <c r="B2041" s="201"/>
    </row>
    <row r="2042" spans="1:2" x14ac:dyDescent="0.25">
      <c r="A2042" s="201"/>
      <c r="B2042" s="201"/>
    </row>
    <row r="2043" spans="1:2" x14ac:dyDescent="0.25">
      <c r="A2043" s="201"/>
      <c r="B2043" s="201"/>
    </row>
    <row r="2044" spans="1:2" x14ac:dyDescent="0.25">
      <c r="A2044" s="201"/>
      <c r="B2044" s="201"/>
    </row>
    <row r="2045" spans="1:2" x14ac:dyDescent="0.25">
      <c r="A2045" s="201"/>
      <c r="B2045" s="201"/>
    </row>
    <row r="2046" spans="1:2" x14ac:dyDescent="0.25">
      <c r="A2046" s="201"/>
      <c r="B2046" s="201"/>
    </row>
    <row r="2047" spans="1:2" x14ac:dyDescent="0.25">
      <c r="A2047" s="201"/>
      <c r="B2047" s="201"/>
    </row>
    <row r="2048" spans="1:2" x14ac:dyDescent="0.25">
      <c r="A2048" s="201"/>
      <c r="B2048" s="201"/>
    </row>
    <row r="2049" spans="1:2" x14ac:dyDescent="0.25">
      <c r="A2049" s="201"/>
      <c r="B2049" s="201"/>
    </row>
    <row r="2050" spans="1:2" x14ac:dyDescent="0.25">
      <c r="A2050" s="201"/>
      <c r="B2050" s="201"/>
    </row>
    <row r="2051" spans="1:2" x14ac:dyDescent="0.25">
      <c r="A2051" s="201"/>
      <c r="B2051" s="201"/>
    </row>
    <row r="2052" spans="1:2" x14ac:dyDescent="0.25">
      <c r="A2052" s="201"/>
      <c r="B2052" s="201"/>
    </row>
    <row r="2053" spans="1:2" x14ac:dyDescent="0.25">
      <c r="A2053" s="201"/>
      <c r="B2053" s="201"/>
    </row>
    <row r="2054" spans="1:2" x14ac:dyDescent="0.25">
      <c r="A2054" s="201"/>
      <c r="B2054" s="201"/>
    </row>
    <row r="2055" spans="1:2" x14ac:dyDescent="0.25">
      <c r="A2055" s="201"/>
      <c r="B2055" s="201"/>
    </row>
    <row r="2056" spans="1:2" x14ac:dyDescent="0.25">
      <c r="A2056" s="201"/>
      <c r="B2056" s="201"/>
    </row>
    <row r="2057" spans="1:2" x14ac:dyDescent="0.25">
      <c r="A2057" s="201"/>
      <c r="B2057" s="201"/>
    </row>
    <row r="2058" spans="1:2" x14ac:dyDescent="0.25">
      <c r="A2058" s="201"/>
      <c r="B2058" s="201"/>
    </row>
    <row r="2059" spans="1:2" x14ac:dyDescent="0.25">
      <c r="A2059" s="201"/>
      <c r="B2059" s="201"/>
    </row>
    <row r="2060" spans="1:2" x14ac:dyDescent="0.25">
      <c r="A2060" s="201"/>
      <c r="B2060" s="201"/>
    </row>
    <row r="2061" spans="1:2" x14ac:dyDescent="0.25">
      <c r="A2061" s="201"/>
      <c r="B2061" s="201"/>
    </row>
    <row r="2062" spans="1:2" x14ac:dyDescent="0.25">
      <c r="A2062" s="201"/>
      <c r="B2062" s="201"/>
    </row>
    <row r="2063" spans="1:2" x14ac:dyDescent="0.25">
      <c r="A2063" s="201"/>
      <c r="B2063" s="201"/>
    </row>
    <row r="2064" spans="1:2" x14ac:dyDescent="0.25">
      <c r="A2064" s="201"/>
      <c r="B2064" s="201"/>
    </row>
    <row r="2065" spans="1:2" x14ac:dyDescent="0.25">
      <c r="A2065" s="201"/>
      <c r="B2065" s="201"/>
    </row>
    <row r="2066" spans="1:2" x14ac:dyDescent="0.25">
      <c r="A2066" s="201"/>
      <c r="B2066" s="201"/>
    </row>
    <row r="2067" spans="1:2" x14ac:dyDescent="0.25">
      <c r="A2067" s="201"/>
      <c r="B2067" s="201"/>
    </row>
    <row r="2068" spans="1:2" x14ac:dyDescent="0.25">
      <c r="A2068" s="201"/>
      <c r="B2068" s="201"/>
    </row>
    <row r="2069" spans="1:2" x14ac:dyDescent="0.25">
      <c r="A2069" s="201"/>
      <c r="B2069" s="201"/>
    </row>
    <row r="2070" spans="1:2" x14ac:dyDescent="0.25">
      <c r="A2070" s="201"/>
      <c r="B2070" s="201"/>
    </row>
    <row r="2071" spans="1:2" x14ac:dyDescent="0.25">
      <c r="A2071" s="201"/>
      <c r="B2071" s="201"/>
    </row>
    <row r="2072" spans="1:2" x14ac:dyDescent="0.25">
      <c r="A2072" s="201"/>
      <c r="B2072" s="201"/>
    </row>
    <row r="2073" spans="1:2" x14ac:dyDescent="0.25">
      <c r="A2073" s="201"/>
      <c r="B2073" s="201"/>
    </row>
    <row r="2074" spans="1:2" x14ac:dyDescent="0.25">
      <c r="A2074" s="201"/>
      <c r="B2074" s="201"/>
    </row>
    <row r="2075" spans="1:2" x14ac:dyDescent="0.25">
      <c r="A2075" s="201"/>
      <c r="B2075" s="201"/>
    </row>
    <row r="2076" spans="1:2" x14ac:dyDescent="0.25">
      <c r="A2076" s="201"/>
      <c r="B2076" s="201"/>
    </row>
    <row r="2077" spans="1:2" x14ac:dyDescent="0.25">
      <c r="A2077" s="201"/>
      <c r="B2077" s="201"/>
    </row>
    <row r="2078" spans="1:2" x14ac:dyDescent="0.25">
      <c r="A2078" s="201"/>
      <c r="B2078" s="201"/>
    </row>
    <row r="2079" spans="1:2" x14ac:dyDescent="0.25">
      <c r="A2079" s="201"/>
      <c r="B2079" s="201"/>
    </row>
    <row r="2080" spans="1:2" x14ac:dyDescent="0.25">
      <c r="A2080" s="201"/>
      <c r="B2080" s="201"/>
    </row>
    <row r="2081" spans="1:2" x14ac:dyDescent="0.25">
      <c r="A2081" s="201"/>
      <c r="B2081" s="201"/>
    </row>
    <row r="2082" spans="1:2" x14ac:dyDescent="0.25">
      <c r="A2082" s="201"/>
      <c r="B2082" s="201"/>
    </row>
    <row r="2083" spans="1:2" x14ac:dyDescent="0.25">
      <c r="A2083" s="201"/>
      <c r="B2083" s="201"/>
    </row>
    <row r="2084" spans="1:2" x14ac:dyDescent="0.25">
      <c r="A2084" s="201"/>
      <c r="B2084" s="201"/>
    </row>
    <row r="2085" spans="1:2" x14ac:dyDescent="0.25">
      <c r="A2085" s="201"/>
      <c r="B2085" s="201"/>
    </row>
    <row r="2086" spans="1:2" x14ac:dyDescent="0.25">
      <c r="A2086" s="201"/>
      <c r="B2086" s="201"/>
    </row>
    <row r="2087" spans="1:2" x14ac:dyDescent="0.25">
      <c r="A2087" s="201"/>
      <c r="B2087" s="201"/>
    </row>
    <row r="2088" spans="1:2" x14ac:dyDescent="0.25">
      <c r="A2088" s="201"/>
      <c r="B2088" s="201"/>
    </row>
    <row r="2089" spans="1:2" x14ac:dyDescent="0.25">
      <c r="A2089" s="201"/>
      <c r="B2089" s="201"/>
    </row>
    <row r="2090" spans="1:2" x14ac:dyDescent="0.25">
      <c r="A2090" s="201"/>
      <c r="B2090" s="201"/>
    </row>
    <row r="2091" spans="1:2" x14ac:dyDescent="0.25">
      <c r="A2091" s="201"/>
      <c r="B2091" s="201"/>
    </row>
    <row r="2092" spans="1:2" x14ac:dyDescent="0.25">
      <c r="A2092" s="201"/>
      <c r="B2092" s="201"/>
    </row>
    <row r="2093" spans="1:2" x14ac:dyDescent="0.25">
      <c r="A2093" s="201"/>
      <c r="B2093" s="201"/>
    </row>
    <row r="2094" spans="1:2" x14ac:dyDescent="0.25">
      <c r="A2094" s="201"/>
      <c r="B2094" s="201"/>
    </row>
    <row r="2095" spans="1:2" x14ac:dyDescent="0.25">
      <c r="A2095" s="201"/>
      <c r="B2095" s="201"/>
    </row>
    <row r="2096" spans="1:2" x14ac:dyDescent="0.25">
      <c r="A2096" s="201"/>
      <c r="B2096" s="201"/>
    </row>
    <row r="2097" spans="1:2" x14ac:dyDescent="0.25">
      <c r="A2097" s="201"/>
      <c r="B2097" s="201"/>
    </row>
    <row r="2098" spans="1:2" x14ac:dyDescent="0.25">
      <c r="A2098" s="201"/>
      <c r="B2098" s="201"/>
    </row>
    <row r="2099" spans="1:2" x14ac:dyDescent="0.25">
      <c r="A2099" s="201"/>
      <c r="B2099" s="201"/>
    </row>
    <row r="2100" spans="1:2" x14ac:dyDescent="0.25">
      <c r="A2100" s="201"/>
      <c r="B2100" s="201"/>
    </row>
    <row r="2101" spans="1:2" x14ac:dyDescent="0.25">
      <c r="A2101" s="201"/>
      <c r="B2101" s="201"/>
    </row>
    <row r="2102" spans="1:2" x14ac:dyDescent="0.25">
      <c r="A2102" s="201"/>
      <c r="B2102" s="201"/>
    </row>
    <row r="2103" spans="1:2" x14ac:dyDescent="0.25">
      <c r="A2103" s="201"/>
      <c r="B2103" s="201"/>
    </row>
    <row r="2104" spans="1:2" x14ac:dyDescent="0.25">
      <c r="A2104" s="201"/>
      <c r="B2104" s="201"/>
    </row>
    <row r="2105" spans="1:2" x14ac:dyDescent="0.25">
      <c r="A2105" s="201"/>
      <c r="B2105" s="201"/>
    </row>
    <row r="2106" spans="1:2" x14ac:dyDescent="0.25">
      <c r="A2106" s="201"/>
      <c r="B2106" s="201"/>
    </row>
    <row r="2107" spans="1:2" x14ac:dyDescent="0.25">
      <c r="A2107" s="201"/>
      <c r="B2107" s="201"/>
    </row>
    <row r="2108" spans="1:2" x14ac:dyDescent="0.25">
      <c r="A2108" s="201"/>
      <c r="B2108" s="201"/>
    </row>
    <row r="2109" spans="1:2" x14ac:dyDescent="0.25">
      <c r="A2109" s="201"/>
      <c r="B2109" s="201"/>
    </row>
    <row r="2110" spans="1:2" x14ac:dyDescent="0.25">
      <c r="A2110" s="201"/>
      <c r="B2110" s="201"/>
    </row>
    <row r="2111" spans="1:2" x14ac:dyDescent="0.25">
      <c r="A2111" s="201"/>
      <c r="B2111" s="201"/>
    </row>
    <row r="2112" spans="1:2" x14ac:dyDescent="0.25">
      <c r="A2112" s="201"/>
      <c r="B2112" s="201"/>
    </row>
    <row r="2113" spans="1:2" x14ac:dyDescent="0.25">
      <c r="A2113" s="201"/>
      <c r="B2113" s="201"/>
    </row>
    <row r="2114" spans="1:2" x14ac:dyDescent="0.25">
      <c r="A2114" s="201"/>
      <c r="B2114" s="201"/>
    </row>
    <row r="2115" spans="1:2" x14ac:dyDescent="0.25">
      <c r="A2115" s="201"/>
      <c r="B2115" s="201"/>
    </row>
    <row r="2116" spans="1:2" x14ac:dyDescent="0.25">
      <c r="A2116" s="201"/>
      <c r="B2116" s="201"/>
    </row>
    <row r="2117" spans="1:2" x14ac:dyDescent="0.25">
      <c r="A2117" s="201"/>
      <c r="B2117" s="201"/>
    </row>
    <row r="2118" spans="1:2" x14ac:dyDescent="0.25">
      <c r="A2118" s="201"/>
      <c r="B2118" s="201"/>
    </row>
    <row r="2119" spans="1:2" x14ac:dyDescent="0.25">
      <c r="A2119" s="201"/>
      <c r="B2119" s="201"/>
    </row>
    <row r="2120" spans="1:2" x14ac:dyDescent="0.25">
      <c r="A2120" s="201"/>
      <c r="B2120" s="201"/>
    </row>
    <row r="2121" spans="1:2" x14ac:dyDescent="0.25">
      <c r="A2121" s="201"/>
      <c r="B2121" s="201"/>
    </row>
    <row r="2122" spans="1:2" x14ac:dyDescent="0.25">
      <c r="A2122" s="201"/>
      <c r="B2122" s="201"/>
    </row>
    <row r="2123" spans="1:2" x14ac:dyDescent="0.25">
      <c r="A2123" s="201"/>
      <c r="B2123" s="201"/>
    </row>
    <row r="2124" spans="1:2" x14ac:dyDescent="0.25">
      <c r="A2124" s="201"/>
      <c r="B2124" s="201"/>
    </row>
    <row r="2125" spans="1:2" x14ac:dyDescent="0.25">
      <c r="A2125" s="201"/>
      <c r="B2125" s="201"/>
    </row>
    <row r="2126" spans="1:2" x14ac:dyDescent="0.25">
      <c r="A2126" s="201"/>
      <c r="B2126" s="201"/>
    </row>
    <row r="2127" spans="1:2" x14ac:dyDescent="0.25">
      <c r="A2127" s="201"/>
      <c r="B2127" s="201"/>
    </row>
    <row r="2128" spans="1:2" x14ac:dyDescent="0.25">
      <c r="A2128" s="201"/>
      <c r="B2128" s="201"/>
    </row>
    <row r="2129" spans="1:2" x14ac:dyDescent="0.25">
      <c r="A2129" s="201"/>
      <c r="B2129" s="201"/>
    </row>
    <row r="2130" spans="1:2" x14ac:dyDescent="0.25">
      <c r="A2130" s="201"/>
      <c r="B2130" s="201"/>
    </row>
    <row r="2131" spans="1:2" x14ac:dyDescent="0.25">
      <c r="A2131" s="201"/>
      <c r="B2131" s="201"/>
    </row>
    <row r="2132" spans="1:2" x14ac:dyDescent="0.25">
      <c r="A2132" s="201"/>
      <c r="B2132" s="201"/>
    </row>
    <row r="2133" spans="1:2" x14ac:dyDescent="0.25">
      <c r="A2133" s="201"/>
      <c r="B2133" s="201"/>
    </row>
    <row r="2134" spans="1:2" x14ac:dyDescent="0.25">
      <c r="A2134" s="201"/>
      <c r="B2134" s="201"/>
    </row>
    <row r="2135" spans="1:2" x14ac:dyDescent="0.25">
      <c r="A2135" s="201"/>
      <c r="B2135" s="201"/>
    </row>
    <row r="2136" spans="1:2" x14ac:dyDescent="0.25">
      <c r="A2136" s="201"/>
      <c r="B2136" s="201"/>
    </row>
    <row r="2137" spans="1:2" x14ac:dyDescent="0.25">
      <c r="A2137" s="201"/>
      <c r="B2137" s="201"/>
    </row>
    <row r="2138" spans="1:2" x14ac:dyDescent="0.25">
      <c r="A2138" s="201"/>
      <c r="B2138" s="201"/>
    </row>
    <row r="2139" spans="1:2" x14ac:dyDescent="0.25">
      <c r="A2139" s="201"/>
      <c r="B2139" s="201"/>
    </row>
    <row r="2140" spans="1:2" x14ac:dyDescent="0.25">
      <c r="A2140" s="201"/>
      <c r="B2140" s="201"/>
    </row>
    <row r="2141" spans="1:2" x14ac:dyDescent="0.25">
      <c r="A2141" s="201"/>
      <c r="B2141" s="201"/>
    </row>
    <row r="2142" spans="1:2" x14ac:dyDescent="0.25">
      <c r="A2142" s="201"/>
      <c r="B2142" s="201"/>
    </row>
    <row r="2143" spans="1:2" x14ac:dyDescent="0.25">
      <c r="A2143" s="201"/>
      <c r="B2143" s="201"/>
    </row>
    <row r="2144" spans="1:2" x14ac:dyDescent="0.25">
      <c r="A2144" s="201"/>
      <c r="B2144" s="201"/>
    </row>
    <row r="2145" spans="1:2" x14ac:dyDescent="0.25">
      <c r="A2145" s="201"/>
      <c r="B2145" s="201"/>
    </row>
    <row r="2146" spans="1:2" x14ac:dyDescent="0.25">
      <c r="A2146" s="201"/>
      <c r="B2146" s="201"/>
    </row>
    <row r="2147" spans="1:2" x14ac:dyDescent="0.25">
      <c r="A2147" s="201"/>
      <c r="B2147" s="201"/>
    </row>
    <row r="2148" spans="1:2" x14ac:dyDescent="0.25">
      <c r="A2148" s="201"/>
      <c r="B2148" s="201"/>
    </row>
    <row r="2149" spans="1:2" x14ac:dyDescent="0.25">
      <c r="A2149" s="201"/>
      <c r="B2149" s="201"/>
    </row>
    <row r="2150" spans="1:2" x14ac:dyDescent="0.25">
      <c r="A2150" s="201"/>
      <c r="B2150" s="201"/>
    </row>
    <row r="2151" spans="1:2" x14ac:dyDescent="0.25">
      <c r="A2151" s="201"/>
      <c r="B2151" s="201"/>
    </row>
    <row r="2152" spans="1:2" x14ac:dyDescent="0.25">
      <c r="A2152" s="201"/>
      <c r="B2152" s="201"/>
    </row>
    <row r="2153" spans="1:2" x14ac:dyDescent="0.25">
      <c r="A2153" s="201"/>
      <c r="B2153" s="201"/>
    </row>
    <row r="2154" spans="1:2" x14ac:dyDescent="0.25">
      <c r="A2154" s="201"/>
      <c r="B2154" s="201"/>
    </row>
    <row r="2155" spans="1:2" x14ac:dyDescent="0.25">
      <c r="A2155" s="201"/>
      <c r="B2155" s="201"/>
    </row>
    <row r="2156" spans="1:2" x14ac:dyDescent="0.25">
      <c r="A2156" s="201"/>
      <c r="B2156" s="201"/>
    </row>
    <row r="2157" spans="1:2" x14ac:dyDescent="0.25">
      <c r="A2157" s="201"/>
      <c r="B2157" s="201"/>
    </row>
    <row r="2158" spans="1:2" x14ac:dyDescent="0.25">
      <c r="A2158" s="201"/>
      <c r="B2158" s="201"/>
    </row>
    <row r="2159" spans="1:2" x14ac:dyDescent="0.25">
      <c r="A2159" s="201"/>
      <c r="B2159" s="201"/>
    </row>
    <row r="2160" spans="1:2" x14ac:dyDescent="0.25">
      <c r="A2160" s="201"/>
      <c r="B2160" s="201"/>
    </row>
    <row r="2161" spans="1:2" x14ac:dyDescent="0.25">
      <c r="A2161" s="201"/>
      <c r="B2161" s="201"/>
    </row>
    <row r="2162" spans="1:2" x14ac:dyDescent="0.25">
      <c r="A2162" s="201"/>
      <c r="B2162" s="201"/>
    </row>
    <row r="2163" spans="1:2" x14ac:dyDescent="0.25">
      <c r="A2163" s="201"/>
      <c r="B2163" s="201"/>
    </row>
    <row r="2164" spans="1:2" x14ac:dyDescent="0.25">
      <c r="A2164" s="201"/>
      <c r="B2164" s="201"/>
    </row>
    <row r="2165" spans="1:2" x14ac:dyDescent="0.25">
      <c r="A2165" s="201"/>
      <c r="B2165" s="201"/>
    </row>
    <row r="2166" spans="1:2" x14ac:dyDescent="0.25">
      <c r="A2166" s="201"/>
      <c r="B2166" s="201"/>
    </row>
    <row r="2167" spans="1:2" x14ac:dyDescent="0.25">
      <c r="A2167" s="201"/>
      <c r="B2167" s="201"/>
    </row>
    <row r="2168" spans="1:2" x14ac:dyDescent="0.25">
      <c r="A2168" s="201"/>
      <c r="B2168" s="201"/>
    </row>
    <row r="2169" spans="1:2" x14ac:dyDescent="0.25">
      <c r="A2169" s="201"/>
      <c r="B2169" s="201"/>
    </row>
    <row r="2170" spans="1:2" x14ac:dyDescent="0.25">
      <c r="A2170" s="201"/>
      <c r="B2170" s="201"/>
    </row>
    <row r="2171" spans="1:2" x14ac:dyDescent="0.25">
      <c r="A2171" s="201"/>
      <c r="B2171" s="201"/>
    </row>
    <row r="2172" spans="1:2" x14ac:dyDescent="0.25">
      <c r="A2172" s="201"/>
      <c r="B2172" s="201"/>
    </row>
    <row r="2173" spans="1:2" x14ac:dyDescent="0.25">
      <c r="A2173" s="201"/>
      <c r="B2173" s="201"/>
    </row>
    <row r="2174" spans="1:2" x14ac:dyDescent="0.25">
      <c r="A2174" s="201"/>
      <c r="B2174" s="201"/>
    </row>
    <row r="2175" spans="1:2" x14ac:dyDescent="0.25">
      <c r="A2175" s="201"/>
      <c r="B2175" s="201"/>
    </row>
    <row r="2176" spans="1:2" x14ac:dyDescent="0.25">
      <c r="A2176" s="201"/>
      <c r="B2176" s="201"/>
    </row>
    <row r="2177" spans="1:2" x14ac:dyDescent="0.25">
      <c r="A2177" s="201"/>
      <c r="B2177" s="201"/>
    </row>
    <row r="2178" spans="1:2" x14ac:dyDescent="0.25">
      <c r="A2178" s="201"/>
      <c r="B2178" s="201"/>
    </row>
    <row r="2179" spans="1:2" x14ac:dyDescent="0.25">
      <c r="A2179" s="201"/>
      <c r="B2179" s="201"/>
    </row>
    <row r="2180" spans="1:2" x14ac:dyDescent="0.25">
      <c r="A2180" s="201"/>
      <c r="B2180" s="201"/>
    </row>
    <row r="2181" spans="1:2" x14ac:dyDescent="0.25">
      <c r="A2181" s="201"/>
      <c r="B2181" s="201"/>
    </row>
    <row r="2182" spans="1:2" x14ac:dyDescent="0.25">
      <c r="A2182" s="201"/>
      <c r="B2182" s="201"/>
    </row>
    <row r="2183" spans="1:2" x14ac:dyDescent="0.25">
      <c r="A2183" s="201"/>
      <c r="B2183" s="201"/>
    </row>
    <row r="2184" spans="1:2" x14ac:dyDescent="0.25">
      <c r="A2184" s="201"/>
      <c r="B2184" s="201"/>
    </row>
    <row r="2185" spans="1:2" x14ac:dyDescent="0.25">
      <c r="A2185" s="201"/>
      <c r="B2185" s="201"/>
    </row>
    <row r="2186" spans="1:2" x14ac:dyDescent="0.25">
      <c r="A2186" s="201"/>
      <c r="B2186" s="201"/>
    </row>
    <row r="2187" spans="1:2" x14ac:dyDescent="0.25">
      <c r="A2187" s="201"/>
      <c r="B2187" s="201"/>
    </row>
    <row r="2188" spans="1:2" x14ac:dyDescent="0.25">
      <c r="A2188" s="201"/>
      <c r="B2188" s="201"/>
    </row>
    <row r="2189" spans="1:2" x14ac:dyDescent="0.25">
      <c r="A2189" s="201"/>
      <c r="B2189" s="201"/>
    </row>
    <row r="2190" spans="1:2" x14ac:dyDescent="0.25">
      <c r="A2190" s="201"/>
      <c r="B2190" s="201"/>
    </row>
    <row r="2191" spans="1:2" x14ac:dyDescent="0.25">
      <c r="A2191" s="201"/>
      <c r="B2191" s="201"/>
    </row>
    <row r="2192" spans="1:2" x14ac:dyDescent="0.25">
      <c r="A2192" s="201"/>
      <c r="B2192" s="201"/>
    </row>
    <row r="2193" spans="1:2" x14ac:dyDescent="0.25">
      <c r="A2193" s="201"/>
      <c r="B2193" s="201"/>
    </row>
    <row r="2194" spans="1:2" x14ac:dyDescent="0.25">
      <c r="A2194" s="201"/>
      <c r="B2194" s="201"/>
    </row>
    <row r="2195" spans="1:2" x14ac:dyDescent="0.25">
      <c r="A2195" s="201"/>
      <c r="B2195" s="201"/>
    </row>
    <row r="2196" spans="1:2" x14ac:dyDescent="0.25">
      <c r="A2196" s="201"/>
      <c r="B2196" s="201"/>
    </row>
    <row r="2197" spans="1:2" x14ac:dyDescent="0.25">
      <c r="A2197" s="201"/>
      <c r="B2197" s="201"/>
    </row>
    <row r="2198" spans="1:2" x14ac:dyDescent="0.25">
      <c r="A2198" s="201"/>
      <c r="B2198" s="201"/>
    </row>
    <row r="2199" spans="1:2" x14ac:dyDescent="0.25">
      <c r="A2199" s="201"/>
      <c r="B2199" s="201"/>
    </row>
    <row r="2200" spans="1:2" x14ac:dyDescent="0.25">
      <c r="A2200" s="201"/>
      <c r="B2200" s="201"/>
    </row>
    <row r="2201" spans="1:2" x14ac:dyDescent="0.25">
      <c r="A2201" s="201"/>
      <c r="B2201" s="201"/>
    </row>
    <row r="2202" spans="1:2" x14ac:dyDescent="0.25">
      <c r="A2202" s="201"/>
      <c r="B2202" s="201"/>
    </row>
    <row r="2203" spans="1:2" x14ac:dyDescent="0.25">
      <c r="A2203" s="201"/>
      <c r="B2203" s="201"/>
    </row>
    <row r="2204" spans="1:2" x14ac:dyDescent="0.25">
      <c r="A2204" s="201"/>
      <c r="B2204" s="201"/>
    </row>
    <row r="2205" spans="1:2" x14ac:dyDescent="0.25">
      <c r="A2205" s="201"/>
      <c r="B2205" s="201"/>
    </row>
    <row r="2206" spans="1:2" x14ac:dyDescent="0.25">
      <c r="A2206" s="201"/>
      <c r="B2206" s="201"/>
    </row>
    <row r="2207" spans="1:2" x14ac:dyDescent="0.25">
      <c r="A2207" s="201"/>
      <c r="B2207" s="201"/>
    </row>
    <row r="2208" spans="1:2" x14ac:dyDescent="0.25">
      <c r="A2208" s="201"/>
      <c r="B2208" s="201"/>
    </row>
    <row r="2209" spans="1:2" x14ac:dyDescent="0.25">
      <c r="A2209" s="201"/>
      <c r="B2209" s="201"/>
    </row>
    <row r="2210" spans="1:2" x14ac:dyDescent="0.25">
      <c r="A2210" s="201"/>
      <c r="B2210" s="201"/>
    </row>
    <row r="2211" spans="1:2" x14ac:dyDescent="0.25">
      <c r="A2211" s="201"/>
      <c r="B2211" s="201"/>
    </row>
    <row r="2212" spans="1:2" x14ac:dyDescent="0.25">
      <c r="A2212" s="201"/>
      <c r="B2212" s="201"/>
    </row>
    <row r="2213" spans="1:2" x14ac:dyDescent="0.25">
      <c r="A2213" s="201"/>
      <c r="B2213" s="201"/>
    </row>
    <row r="2214" spans="1:2" x14ac:dyDescent="0.25">
      <c r="A2214" s="201"/>
      <c r="B2214" s="201"/>
    </row>
    <row r="2215" spans="1:2" x14ac:dyDescent="0.25">
      <c r="A2215" s="201"/>
      <c r="B2215" s="201"/>
    </row>
    <row r="2216" spans="1:2" x14ac:dyDescent="0.25">
      <c r="A2216" s="201"/>
      <c r="B2216" s="201"/>
    </row>
    <row r="2217" spans="1:2" x14ac:dyDescent="0.25">
      <c r="A2217" s="201"/>
      <c r="B2217" s="201"/>
    </row>
    <row r="2218" spans="1:2" x14ac:dyDescent="0.25">
      <c r="A2218" s="201"/>
      <c r="B2218" s="201"/>
    </row>
    <row r="2219" spans="1:2" x14ac:dyDescent="0.25">
      <c r="A2219" s="201"/>
      <c r="B2219" s="201"/>
    </row>
    <row r="2220" spans="1:2" x14ac:dyDescent="0.25">
      <c r="A2220" s="201"/>
      <c r="B2220" s="201"/>
    </row>
    <row r="2221" spans="1:2" x14ac:dyDescent="0.25">
      <c r="A2221" s="201"/>
      <c r="B2221" s="201"/>
    </row>
    <row r="2222" spans="1:2" x14ac:dyDescent="0.25">
      <c r="A2222" s="201"/>
      <c r="B2222" s="201"/>
    </row>
    <row r="2223" spans="1:2" x14ac:dyDescent="0.25">
      <c r="A2223" s="201"/>
      <c r="B2223" s="201"/>
    </row>
    <row r="2224" spans="1:2" x14ac:dyDescent="0.25">
      <c r="A2224" s="201"/>
      <c r="B2224" s="201"/>
    </row>
    <row r="2225" spans="1:2" x14ac:dyDescent="0.25">
      <c r="A2225" s="201"/>
      <c r="B2225" s="201"/>
    </row>
    <row r="2226" spans="1:2" x14ac:dyDescent="0.25">
      <c r="A2226" s="201"/>
      <c r="B2226" s="201"/>
    </row>
    <row r="2227" spans="1:2" x14ac:dyDescent="0.25">
      <c r="A2227" s="201"/>
      <c r="B2227" s="201"/>
    </row>
    <row r="2228" spans="1:2" x14ac:dyDescent="0.25">
      <c r="A2228" s="201"/>
      <c r="B2228" s="201"/>
    </row>
    <row r="2229" spans="1:2" x14ac:dyDescent="0.25">
      <c r="A2229" s="201"/>
      <c r="B2229" s="201"/>
    </row>
    <row r="2230" spans="1:2" x14ac:dyDescent="0.25">
      <c r="A2230" s="201"/>
      <c r="B2230" s="201"/>
    </row>
    <row r="2231" spans="1:2" x14ac:dyDescent="0.25">
      <c r="A2231" s="201"/>
      <c r="B2231" s="201"/>
    </row>
    <row r="2232" spans="1:2" x14ac:dyDescent="0.25">
      <c r="A2232" s="201"/>
      <c r="B2232" s="201"/>
    </row>
    <row r="2233" spans="1:2" x14ac:dyDescent="0.25">
      <c r="A2233" s="201"/>
      <c r="B2233" s="201"/>
    </row>
    <row r="2234" spans="1:2" x14ac:dyDescent="0.25">
      <c r="A2234" s="201"/>
      <c r="B2234" s="201"/>
    </row>
    <row r="2235" spans="1:2" x14ac:dyDescent="0.25">
      <c r="A2235" s="201"/>
      <c r="B2235" s="201"/>
    </row>
    <row r="2236" spans="1:2" x14ac:dyDescent="0.25">
      <c r="A2236" s="201"/>
      <c r="B2236" s="201"/>
    </row>
    <row r="2237" spans="1:2" x14ac:dyDescent="0.25">
      <c r="A2237" s="201"/>
      <c r="B2237" s="201"/>
    </row>
    <row r="2238" spans="1:2" x14ac:dyDescent="0.25">
      <c r="A2238" s="201"/>
      <c r="B2238" s="201"/>
    </row>
    <row r="2239" spans="1:2" x14ac:dyDescent="0.25">
      <c r="A2239" s="201"/>
      <c r="B2239" s="201"/>
    </row>
    <row r="2240" spans="1:2" x14ac:dyDescent="0.25">
      <c r="A2240" s="201"/>
      <c r="B2240" s="201"/>
    </row>
    <row r="2241" spans="1:2" x14ac:dyDescent="0.25">
      <c r="A2241" s="201"/>
      <c r="B2241" s="201"/>
    </row>
    <row r="2242" spans="1:2" x14ac:dyDescent="0.25">
      <c r="A2242" s="201"/>
      <c r="B2242" s="201"/>
    </row>
    <row r="2243" spans="1:2" x14ac:dyDescent="0.25">
      <c r="A2243" s="201"/>
      <c r="B2243" s="201"/>
    </row>
    <row r="2244" spans="1:2" x14ac:dyDescent="0.25">
      <c r="A2244" s="201"/>
      <c r="B2244" s="201"/>
    </row>
    <row r="2245" spans="1:2" x14ac:dyDescent="0.25">
      <c r="A2245" s="201"/>
      <c r="B2245" s="201"/>
    </row>
    <row r="2246" spans="1:2" x14ac:dyDescent="0.25">
      <c r="A2246" s="201"/>
      <c r="B2246" s="201"/>
    </row>
    <row r="2247" spans="1:2" x14ac:dyDescent="0.25">
      <c r="A2247" s="201"/>
      <c r="B2247" s="201"/>
    </row>
    <row r="2248" spans="1:2" x14ac:dyDescent="0.25">
      <c r="A2248" s="201"/>
      <c r="B2248" s="201"/>
    </row>
    <row r="2249" spans="1:2" x14ac:dyDescent="0.25">
      <c r="A2249" s="201"/>
      <c r="B2249" s="201"/>
    </row>
    <row r="2250" spans="1:2" x14ac:dyDescent="0.25">
      <c r="A2250" s="201"/>
      <c r="B2250" s="201"/>
    </row>
    <row r="2251" spans="1:2" x14ac:dyDescent="0.25">
      <c r="A2251" s="201"/>
      <c r="B2251" s="201"/>
    </row>
    <row r="2252" spans="1:2" x14ac:dyDescent="0.25">
      <c r="A2252" s="201"/>
      <c r="B2252" s="201"/>
    </row>
    <row r="2253" spans="1:2" x14ac:dyDescent="0.25">
      <c r="A2253" s="201"/>
      <c r="B2253" s="201"/>
    </row>
    <row r="2254" spans="1:2" x14ac:dyDescent="0.25">
      <c r="A2254" s="201"/>
      <c r="B2254" s="201"/>
    </row>
    <row r="2255" spans="1:2" x14ac:dyDescent="0.25">
      <c r="A2255" s="201"/>
      <c r="B2255" s="201"/>
    </row>
    <row r="2256" spans="1:2" x14ac:dyDescent="0.25">
      <c r="A2256" s="201"/>
      <c r="B2256" s="201"/>
    </row>
    <row r="2257" spans="1:2" x14ac:dyDescent="0.25">
      <c r="A2257" s="201"/>
      <c r="B2257" s="201"/>
    </row>
    <row r="2258" spans="1:2" x14ac:dyDescent="0.25">
      <c r="A2258" s="201"/>
      <c r="B2258" s="201"/>
    </row>
    <row r="2259" spans="1:2" x14ac:dyDescent="0.25">
      <c r="A2259" s="201"/>
      <c r="B2259" s="201"/>
    </row>
    <row r="2260" spans="1:2" x14ac:dyDescent="0.25">
      <c r="A2260" s="201"/>
      <c r="B2260" s="201"/>
    </row>
    <row r="2261" spans="1:2" x14ac:dyDescent="0.25">
      <c r="A2261" s="201"/>
      <c r="B2261" s="201"/>
    </row>
    <row r="2262" spans="1:2" x14ac:dyDescent="0.25">
      <c r="A2262" s="201"/>
      <c r="B2262" s="201"/>
    </row>
    <row r="2263" spans="1:2" x14ac:dyDescent="0.25">
      <c r="A2263" s="201"/>
      <c r="B2263" s="201"/>
    </row>
    <row r="2264" spans="1:2" x14ac:dyDescent="0.25">
      <c r="A2264" s="201"/>
      <c r="B2264" s="201"/>
    </row>
    <row r="2265" spans="1:2" x14ac:dyDescent="0.25">
      <c r="A2265" s="201"/>
      <c r="B2265" s="201"/>
    </row>
    <row r="2266" spans="1:2" x14ac:dyDescent="0.25">
      <c r="A2266" s="201"/>
      <c r="B2266" s="201"/>
    </row>
    <row r="2267" spans="1:2" x14ac:dyDescent="0.25">
      <c r="A2267" s="201"/>
      <c r="B2267" s="201"/>
    </row>
    <row r="2268" spans="1:2" x14ac:dyDescent="0.25">
      <c r="A2268" s="201"/>
      <c r="B2268" s="201"/>
    </row>
    <row r="2269" spans="1:2" x14ac:dyDescent="0.25">
      <c r="A2269" s="201"/>
      <c r="B2269" s="201"/>
    </row>
    <row r="2270" spans="1:2" x14ac:dyDescent="0.25">
      <c r="A2270" s="201"/>
      <c r="B2270" s="201"/>
    </row>
    <row r="2271" spans="1:2" x14ac:dyDescent="0.25">
      <c r="A2271" s="201"/>
      <c r="B2271" s="201"/>
    </row>
    <row r="2272" spans="1:2" x14ac:dyDescent="0.25">
      <c r="A2272" s="201"/>
      <c r="B2272" s="201"/>
    </row>
    <row r="2273" spans="1:2" x14ac:dyDescent="0.25">
      <c r="A2273" s="201"/>
      <c r="B2273" s="201"/>
    </row>
    <row r="2274" spans="1:2" x14ac:dyDescent="0.25">
      <c r="A2274" s="201"/>
      <c r="B2274" s="201"/>
    </row>
    <row r="2275" spans="1:2" x14ac:dyDescent="0.25">
      <c r="A2275" s="201"/>
      <c r="B2275" s="201"/>
    </row>
    <row r="2276" spans="1:2" x14ac:dyDescent="0.25">
      <c r="A2276" s="201"/>
      <c r="B2276" s="201"/>
    </row>
    <row r="2277" spans="1:2" x14ac:dyDescent="0.25">
      <c r="A2277" s="201"/>
      <c r="B2277" s="201"/>
    </row>
    <row r="2278" spans="1:2" x14ac:dyDescent="0.25">
      <c r="A2278" s="201"/>
      <c r="B2278" s="201"/>
    </row>
    <row r="2279" spans="1:2" x14ac:dyDescent="0.25">
      <c r="A2279" s="201"/>
      <c r="B2279" s="201"/>
    </row>
    <row r="2280" spans="1:2" x14ac:dyDescent="0.25">
      <c r="A2280" s="201"/>
      <c r="B2280" s="201"/>
    </row>
    <row r="2281" spans="1:2" x14ac:dyDescent="0.25">
      <c r="A2281" s="201"/>
      <c r="B2281" s="201"/>
    </row>
    <row r="2282" spans="1:2" x14ac:dyDescent="0.25">
      <c r="A2282" s="201"/>
      <c r="B2282" s="201"/>
    </row>
    <row r="2283" spans="1:2" x14ac:dyDescent="0.25">
      <c r="A2283" s="201"/>
      <c r="B2283" s="201"/>
    </row>
    <row r="2284" spans="1:2" x14ac:dyDescent="0.25">
      <c r="A2284" s="201"/>
      <c r="B2284" s="201"/>
    </row>
    <row r="2285" spans="1:2" x14ac:dyDescent="0.25">
      <c r="A2285" s="201"/>
      <c r="B2285" s="201"/>
    </row>
    <row r="2286" spans="1:2" x14ac:dyDescent="0.25">
      <c r="A2286" s="201"/>
      <c r="B2286" s="201"/>
    </row>
    <row r="2287" spans="1:2" x14ac:dyDescent="0.25">
      <c r="A2287" s="201"/>
      <c r="B2287" s="201"/>
    </row>
    <row r="2288" spans="1:2" x14ac:dyDescent="0.25">
      <c r="A2288" s="201"/>
      <c r="B2288" s="201"/>
    </row>
    <row r="2289" spans="1:2" x14ac:dyDescent="0.25">
      <c r="A2289" s="201"/>
      <c r="B2289" s="201"/>
    </row>
    <row r="2290" spans="1:2" x14ac:dyDescent="0.25">
      <c r="A2290" s="201"/>
      <c r="B2290" s="201"/>
    </row>
    <row r="2291" spans="1:2" x14ac:dyDescent="0.25">
      <c r="A2291" s="201"/>
      <c r="B2291" s="201"/>
    </row>
    <row r="2292" spans="1:2" x14ac:dyDescent="0.25">
      <c r="A2292" s="201"/>
      <c r="B2292" s="201"/>
    </row>
    <row r="2293" spans="1:2" x14ac:dyDescent="0.25">
      <c r="A2293" s="201"/>
      <c r="B2293" s="201"/>
    </row>
    <row r="2294" spans="1:2" x14ac:dyDescent="0.25">
      <c r="A2294" s="201"/>
      <c r="B2294" s="201"/>
    </row>
    <row r="2295" spans="1:2" x14ac:dyDescent="0.25">
      <c r="A2295" s="201"/>
      <c r="B2295" s="201"/>
    </row>
    <row r="2296" spans="1:2" x14ac:dyDescent="0.25">
      <c r="A2296" s="201"/>
      <c r="B2296" s="201"/>
    </row>
    <row r="2297" spans="1:2" x14ac:dyDescent="0.25">
      <c r="A2297" s="201"/>
      <c r="B2297" s="201"/>
    </row>
    <row r="2298" spans="1:2" x14ac:dyDescent="0.25">
      <c r="A2298" s="201"/>
      <c r="B2298" s="201"/>
    </row>
    <row r="2299" spans="1:2" x14ac:dyDescent="0.25">
      <c r="A2299" s="201"/>
      <c r="B2299" s="201"/>
    </row>
    <row r="2300" spans="1:2" x14ac:dyDescent="0.25">
      <c r="A2300" s="201"/>
      <c r="B2300" s="201"/>
    </row>
    <row r="2301" spans="1:2" x14ac:dyDescent="0.25">
      <c r="A2301" s="201"/>
      <c r="B2301" s="201"/>
    </row>
    <row r="2302" spans="1:2" x14ac:dyDescent="0.25">
      <c r="A2302" s="201"/>
      <c r="B2302" s="201"/>
    </row>
    <row r="2303" spans="1:2" x14ac:dyDescent="0.25">
      <c r="A2303" s="201"/>
      <c r="B2303" s="201"/>
    </row>
    <row r="2304" spans="1:2" x14ac:dyDescent="0.25">
      <c r="A2304" s="201"/>
      <c r="B2304" s="201"/>
    </row>
    <row r="2305" spans="1:2" x14ac:dyDescent="0.25">
      <c r="A2305" s="201"/>
      <c r="B2305" s="201"/>
    </row>
    <row r="2306" spans="1:2" x14ac:dyDescent="0.25">
      <c r="A2306" s="201"/>
      <c r="B2306" s="201"/>
    </row>
    <row r="2307" spans="1:2" x14ac:dyDescent="0.25">
      <c r="A2307" s="201"/>
      <c r="B2307" s="201"/>
    </row>
    <row r="2308" spans="1:2" x14ac:dyDescent="0.25">
      <c r="A2308" s="201"/>
      <c r="B2308" s="201"/>
    </row>
    <row r="2309" spans="1:2" x14ac:dyDescent="0.25">
      <c r="A2309" s="201"/>
      <c r="B2309" s="201"/>
    </row>
    <row r="2310" spans="1:2" x14ac:dyDescent="0.25">
      <c r="A2310" s="201"/>
      <c r="B2310" s="201"/>
    </row>
    <row r="2311" spans="1:2" x14ac:dyDescent="0.25">
      <c r="A2311" s="201"/>
      <c r="B2311" s="201"/>
    </row>
    <row r="2312" spans="1:2" x14ac:dyDescent="0.25">
      <c r="A2312" s="201"/>
      <c r="B2312" s="201"/>
    </row>
    <row r="2313" spans="1:2" x14ac:dyDescent="0.25">
      <c r="A2313" s="201"/>
      <c r="B2313" s="201"/>
    </row>
    <row r="2314" spans="1:2" x14ac:dyDescent="0.25">
      <c r="A2314" s="201"/>
      <c r="B2314" s="201"/>
    </row>
    <row r="2315" spans="1:2" x14ac:dyDescent="0.25">
      <c r="A2315" s="201"/>
      <c r="B2315" s="201"/>
    </row>
    <row r="2316" spans="1:2" x14ac:dyDescent="0.25">
      <c r="A2316" s="201"/>
      <c r="B2316" s="201"/>
    </row>
    <row r="2317" spans="1:2" x14ac:dyDescent="0.25">
      <c r="A2317" s="201"/>
      <c r="B2317" s="201"/>
    </row>
    <row r="2318" spans="1:2" x14ac:dyDescent="0.25">
      <c r="A2318" s="201"/>
      <c r="B2318" s="201"/>
    </row>
    <row r="2319" spans="1:2" x14ac:dyDescent="0.25">
      <c r="A2319" s="201"/>
      <c r="B2319" s="201"/>
    </row>
    <row r="2320" spans="1:2" x14ac:dyDescent="0.25">
      <c r="A2320" s="201"/>
      <c r="B2320" s="201"/>
    </row>
    <row r="2321" spans="1:2" x14ac:dyDescent="0.25">
      <c r="A2321" s="201"/>
      <c r="B2321" s="201"/>
    </row>
    <row r="2322" spans="1:2" x14ac:dyDescent="0.25">
      <c r="A2322" s="201"/>
      <c r="B2322" s="201"/>
    </row>
    <row r="2323" spans="1:2" x14ac:dyDescent="0.25">
      <c r="A2323" s="201"/>
      <c r="B2323" s="201"/>
    </row>
    <row r="2324" spans="1:2" x14ac:dyDescent="0.25">
      <c r="A2324" s="201"/>
      <c r="B2324" s="201"/>
    </row>
    <row r="2325" spans="1:2" x14ac:dyDescent="0.25">
      <c r="A2325" s="201"/>
      <c r="B2325" s="201"/>
    </row>
    <row r="2326" spans="1:2" x14ac:dyDescent="0.25">
      <c r="A2326" s="201"/>
      <c r="B2326" s="201"/>
    </row>
    <row r="2327" spans="1:2" x14ac:dyDescent="0.25">
      <c r="A2327" s="201"/>
      <c r="B2327" s="201"/>
    </row>
    <row r="2328" spans="1:2" x14ac:dyDescent="0.25">
      <c r="A2328" s="201"/>
      <c r="B2328" s="201"/>
    </row>
    <row r="2329" spans="1:2" x14ac:dyDescent="0.25">
      <c r="A2329" s="201"/>
      <c r="B2329" s="201"/>
    </row>
    <row r="2330" spans="1:2" x14ac:dyDescent="0.25">
      <c r="A2330" s="201"/>
      <c r="B2330" s="201"/>
    </row>
    <row r="2331" spans="1:2" x14ac:dyDescent="0.25">
      <c r="A2331" s="201"/>
      <c r="B2331" s="201"/>
    </row>
    <row r="2332" spans="1:2" x14ac:dyDescent="0.25">
      <c r="A2332" s="201"/>
      <c r="B2332" s="201"/>
    </row>
    <row r="2333" spans="1:2" x14ac:dyDescent="0.25">
      <c r="A2333" s="201"/>
      <c r="B2333" s="201"/>
    </row>
    <row r="2334" spans="1:2" x14ac:dyDescent="0.25">
      <c r="A2334" s="201"/>
      <c r="B2334" s="201"/>
    </row>
    <row r="2335" spans="1:2" x14ac:dyDescent="0.25">
      <c r="A2335" s="201"/>
      <c r="B2335" s="201"/>
    </row>
    <row r="2336" spans="1:2" x14ac:dyDescent="0.25">
      <c r="A2336" s="201"/>
      <c r="B2336" s="201"/>
    </row>
    <row r="2337" spans="1:2" x14ac:dyDescent="0.25">
      <c r="A2337" s="201"/>
      <c r="B2337" s="201"/>
    </row>
    <row r="2338" spans="1:2" x14ac:dyDescent="0.25">
      <c r="A2338" s="201"/>
      <c r="B2338" s="201"/>
    </row>
    <row r="2339" spans="1:2" x14ac:dyDescent="0.25">
      <c r="A2339" s="201"/>
      <c r="B2339" s="201"/>
    </row>
    <row r="2340" spans="1:2" x14ac:dyDescent="0.25">
      <c r="A2340" s="201"/>
      <c r="B2340" s="201"/>
    </row>
    <row r="2341" spans="1:2" x14ac:dyDescent="0.25">
      <c r="A2341" s="201"/>
      <c r="B2341" s="201"/>
    </row>
    <row r="2342" spans="1:2" x14ac:dyDescent="0.25">
      <c r="A2342" s="201"/>
      <c r="B2342" s="201"/>
    </row>
    <row r="2343" spans="1:2" x14ac:dyDescent="0.25">
      <c r="A2343" s="201"/>
      <c r="B2343" s="201"/>
    </row>
    <row r="2344" spans="1:2" x14ac:dyDescent="0.25">
      <c r="A2344" s="201"/>
      <c r="B2344" s="201"/>
    </row>
    <row r="2345" spans="1:2" x14ac:dyDescent="0.25">
      <c r="A2345" s="201"/>
      <c r="B2345" s="201"/>
    </row>
    <row r="2346" spans="1:2" x14ac:dyDescent="0.25">
      <c r="A2346" s="201"/>
      <c r="B2346" s="201"/>
    </row>
    <row r="2347" spans="1:2" x14ac:dyDescent="0.25">
      <c r="A2347" s="201"/>
      <c r="B2347" s="201"/>
    </row>
    <row r="2348" spans="1:2" x14ac:dyDescent="0.25">
      <c r="A2348" s="201"/>
      <c r="B2348" s="201"/>
    </row>
    <row r="2349" spans="1:2" x14ac:dyDescent="0.25">
      <c r="A2349" s="201"/>
      <c r="B2349" s="201"/>
    </row>
    <row r="2350" spans="1:2" x14ac:dyDescent="0.25">
      <c r="A2350" s="201"/>
      <c r="B2350" s="201"/>
    </row>
    <row r="2351" spans="1:2" x14ac:dyDescent="0.25">
      <c r="A2351" s="201"/>
      <c r="B2351" s="201"/>
    </row>
    <row r="2352" spans="1:2" x14ac:dyDescent="0.25">
      <c r="A2352" s="201"/>
      <c r="B2352" s="201"/>
    </row>
    <row r="2353" spans="1:2" x14ac:dyDescent="0.25">
      <c r="A2353" s="201"/>
      <c r="B2353" s="201"/>
    </row>
    <row r="2354" spans="1:2" x14ac:dyDescent="0.25">
      <c r="A2354" s="201"/>
      <c r="B2354" s="201"/>
    </row>
    <row r="2355" spans="1:2" x14ac:dyDescent="0.25">
      <c r="A2355" s="201"/>
      <c r="B2355" s="201"/>
    </row>
    <row r="2356" spans="1:2" x14ac:dyDescent="0.25">
      <c r="A2356" s="201"/>
      <c r="B2356" s="201"/>
    </row>
    <row r="2357" spans="1:2" x14ac:dyDescent="0.25">
      <c r="A2357" s="201"/>
      <c r="B2357" s="201"/>
    </row>
    <row r="2358" spans="1:2" x14ac:dyDescent="0.25">
      <c r="A2358" s="201"/>
      <c r="B2358" s="201"/>
    </row>
    <row r="2359" spans="1:2" x14ac:dyDescent="0.25">
      <c r="A2359" s="201"/>
      <c r="B2359" s="201"/>
    </row>
    <row r="2360" spans="1:2" x14ac:dyDescent="0.25">
      <c r="A2360" s="201"/>
      <c r="B2360" s="201"/>
    </row>
    <row r="2361" spans="1:2" x14ac:dyDescent="0.25">
      <c r="A2361" s="201"/>
      <c r="B2361" s="201"/>
    </row>
    <row r="2362" spans="1:2" x14ac:dyDescent="0.25">
      <c r="A2362" s="201"/>
      <c r="B2362" s="201"/>
    </row>
    <row r="2363" spans="1:2" x14ac:dyDescent="0.25">
      <c r="A2363" s="201"/>
      <c r="B2363" s="201"/>
    </row>
    <row r="2364" spans="1:2" x14ac:dyDescent="0.25">
      <c r="A2364" s="201"/>
      <c r="B2364" s="201"/>
    </row>
    <row r="2365" spans="1:2" x14ac:dyDescent="0.25">
      <c r="A2365" s="201"/>
      <c r="B2365" s="201"/>
    </row>
    <row r="2366" spans="1:2" x14ac:dyDescent="0.25">
      <c r="A2366" s="201"/>
      <c r="B2366" s="201"/>
    </row>
    <row r="2367" spans="1:2" x14ac:dyDescent="0.25">
      <c r="A2367" s="201"/>
      <c r="B2367" s="201"/>
    </row>
    <row r="2368" spans="1:2" x14ac:dyDescent="0.25">
      <c r="A2368" s="201"/>
      <c r="B2368" s="201"/>
    </row>
    <row r="2369" spans="1:2" x14ac:dyDescent="0.25">
      <c r="A2369" s="201"/>
      <c r="B2369" s="201"/>
    </row>
    <row r="2370" spans="1:2" x14ac:dyDescent="0.25">
      <c r="A2370" s="201"/>
      <c r="B2370" s="201"/>
    </row>
    <row r="2371" spans="1:2" x14ac:dyDescent="0.25">
      <c r="A2371" s="201"/>
      <c r="B2371" s="201"/>
    </row>
    <row r="2372" spans="1:2" x14ac:dyDescent="0.25">
      <c r="A2372" s="201"/>
      <c r="B2372" s="201"/>
    </row>
    <row r="2373" spans="1:2" x14ac:dyDescent="0.25">
      <c r="A2373" s="201"/>
      <c r="B2373" s="201"/>
    </row>
    <row r="2374" spans="1:2" x14ac:dyDescent="0.25">
      <c r="A2374" s="201"/>
      <c r="B2374" s="201"/>
    </row>
    <row r="2375" spans="1:2" x14ac:dyDescent="0.25">
      <c r="A2375" s="201"/>
      <c r="B2375" s="201"/>
    </row>
    <row r="2376" spans="1:2" x14ac:dyDescent="0.25">
      <c r="A2376" s="201"/>
      <c r="B2376" s="201"/>
    </row>
    <row r="2377" spans="1:2" x14ac:dyDescent="0.25">
      <c r="A2377" s="201"/>
      <c r="B2377" s="201"/>
    </row>
    <row r="2378" spans="1:2" x14ac:dyDescent="0.25">
      <c r="A2378" s="201"/>
      <c r="B2378" s="201"/>
    </row>
    <row r="2379" spans="1:2" x14ac:dyDescent="0.25">
      <c r="A2379" s="201"/>
      <c r="B2379" s="201"/>
    </row>
    <row r="2380" spans="1:2" x14ac:dyDescent="0.25">
      <c r="A2380" s="201"/>
      <c r="B2380" s="201"/>
    </row>
    <row r="2381" spans="1:2" x14ac:dyDescent="0.25">
      <c r="A2381" s="201"/>
      <c r="B2381" s="201"/>
    </row>
    <row r="2382" spans="1:2" x14ac:dyDescent="0.25">
      <c r="A2382" s="201"/>
      <c r="B2382" s="201"/>
    </row>
    <row r="2383" spans="1:2" x14ac:dyDescent="0.25">
      <c r="A2383" s="201"/>
      <c r="B2383" s="201"/>
    </row>
    <row r="2384" spans="1:2" x14ac:dyDescent="0.25">
      <c r="A2384" s="201"/>
      <c r="B2384" s="201"/>
    </row>
    <row r="2385" spans="1:2" x14ac:dyDescent="0.25">
      <c r="A2385" s="201"/>
      <c r="B2385" s="201"/>
    </row>
    <row r="2386" spans="1:2" x14ac:dyDescent="0.25">
      <c r="A2386" s="201"/>
      <c r="B2386" s="201"/>
    </row>
    <row r="2387" spans="1:2" x14ac:dyDescent="0.25">
      <c r="A2387" s="201"/>
      <c r="B2387" s="201"/>
    </row>
    <row r="2388" spans="1:2" x14ac:dyDescent="0.25">
      <c r="A2388" s="201"/>
      <c r="B2388" s="201"/>
    </row>
    <row r="2389" spans="1:2" x14ac:dyDescent="0.25">
      <c r="A2389" s="201"/>
      <c r="B2389" s="201"/>
    </row>
    <row r="2390" spans="1:2" x14ac:dyDescent="0.25">
      <c r="A2390" s="201"/>
      <c r="B2390" s="201"/>
    </row>
    <row r="2391" spans="1:2" x14ac:dyDescent="0.25">
      <c r="A2391" s="201"/>
      <c r="B2391" s="201"/>
    </row>
    <row r="2392" spans="1:2" x14ac:dyDescent="0.25">
      <c r="A2392" s="201"/>
      <c r="B2392" s="201"/>
    </row>
    <row r="2393" spans="1:2" x14ac:dyDescent="0.25">
      <c r="A2393" s="201"/>
      <c r="B2393" s="201"/>
    </row>
    <row r="2394" spans="1:2" x14ac:dyDescent="0.25">
      <c r="A2394" s="201"/>
      <c r="B2394" s="201"/>
    </row>
    <row r="2395" spans="1:2" x14ac:dyDescent="0.25">
      <c r="A2395" s="201"/>
      <c r="B2395" s="201"/>
    </row>
    <row r="2396" spans="1:2" x14ac:dyDescent="0.25">
      <c r="A2396" s="201"/>
      <c r="B2396" s="201"/>
    </row>
    <row r="2397" spans="1:2" x14ac:dyDescent="0.25">
      <c r="A2397" s="201"/>
      <c r="B2397" s="201"/>
    </row>
    <row r="2398" spans="1:2" x14ac:dyDescent="0.25">
      <c r="A2398" s="201"/>
      <c r="B2398" s="201"/>
    </row>
    <row r="2399" spans="1:2" x14ac:dyDescent="0.25">
      <c r="A2399" s="201"/>
      <c r="B2399" s="201"/>
    </row>
    <row r="2400" spans="1:2" x14ac:dyDescent="0.25">
      <c r="A2400" s="201"/>
      <c r="B2400" s="201"/>
    </row>
    <row r="2401" spans="1:2" x14ac:dyDescent="0.25">
      <c r="A2401" s="201"/>
      <c r="B2401" s="201"/>
    </row>
    <row r="2402" spans="1:2" x14ac:dyDescent="0.25">
      <c r="A2402" s="201"/>
      <c r="B2402" s="201"/>
    </row>
    <row r="2403" spans="1:2" x14ac:dyDescent="0.25">
      <c r="A2403" s="201"/>
      <c r="B2403" s="201"/>
    </row>
    <row r="2404" spans="1:2" x14ac:dyDescent="0.25">
      <c r="A2404" s="201"/>
      <c r="B2404" s="201"/>
    </row>
    <row r="2405" spans="1:2" x14ac:dyDescent="0.25">
      <c r="A2405" s="201"/>
      <c r="B2405" s="201"/>
    </row>
    <row r="2406" spans="1:2" x14ac:dyDescent="0.25">
      <c r="A2406" s="201"/>
      <c r="B2406" s="201"/>
    </row>
    <row r="2407" spans="1:2" x14ac:dyDescent="0.25">
      <c r="A2407" s="201"/>
      <c r="B2407" s="201"/>
    </row>
    <row r="2408" spans="1:2" x14ac:dyDescent="0.25">
      <c r="A2408" s="201"/>
      <c r="B2408" s="201"/>
    </row>
    <row r="2409" spans="1:2" x14ac:dyDescent="0.25">
      <c r="A2409" s="201"/>
      <c r="B2409" s="201"/>
    </row>
    <row r="2410" spans="1:2" x14ac:dyDescent="0.25">
      <c r="A2410" s="201"/>
      <c r="B2410" s="201"/>
    </row>
    <row r="2411" spans="1:2" x14ac:dyDescent="0.25">
      <c r="A2411" s="201"/>
      <c r="B2411" s="201"/>
    </row>
    <row r="2412" spans="1:2" x14ac:dyDescent="0.25">
      <c r="A2412" s="201"/>
      <c r="B2412" s="201"/>
    </row>
    <row r="2413" spans="1:2" x14ac:dyDescent="0.25">
      <c r="A2413" s="201"/>
      <c r="B2413" s="201"/>
    </row>
    <row r="2414" spans="1:2" x14ac:dyDescent="0.25">
      <c r="A2414" s="201"/>
      <c r="B2414" s="201"/>
    </row>
    <row r="2415" spans="1:2" x14ac:dyDescent="0.25">
      <c r="A2415" s="201"/>
      <c r="B2415" s="201"/>
    </row>
    <row r="2416" spans="1:2" x14ac:dyDescent="0.25">
      <c r="A2416" s="201"/>
      <c r="B2416" s="201"/>
    </row>
    <row r="2417" spans="1:2" x14ac:dyDescent="0.25">
      <c r="A2417" s="201"/>
      <c r="B2417" s="201"/>
    </row>
    <row r="2418" spans="1:2" x14ac:dyDescent="0.25">
      <c r="A2418" s="201"/>
      <c r="B2418" s="201"/>
    </row>
    <row r="2419" spans="1:2" x14ac:dyDescent="0.25">
      <c r="A2419" s="201"/>
      <c r="B2419" s="201"/>
    </row>
    <row r="2420" spans="1:2" x14ac:dyDescent="0.25">
      <c r="A2420" s="201"/>
      <c r="B2420" s="201"/>
    </row>
    <row r="2421" spans="1:2" x14ac:dyDescent="0.25">
      <c r="A2421" s="201"/>
      <c r="B2421" s="201"/>
    </row>
    <row r="2422" spans="1:2" x14ac:dyDescent="0.25">
      <c r="A2422" s="201"/>
      <c r="B2422" s="201"/>
    </row>
    <row r="2423" spans="1:2" x14ac:dyDescent="0.25">
      <c r="A2423" s="201"/>
      <c r="B2423" s="201"/>
    </row>
    <row r="2424" spans="1:2" x14ac:dyDescent="0.25">
      <c r="A2424" s="201"/>
      <c r="B2424" s="201"/>
    </row>
    <row r="2425" spans="1:2" x14ac:dyDescent="0.25">
      <c r="A2425" s="201"/>
      <c r="B2425" s="201"/>
    </row>
    <row r="2426" spans="1:2" x14ac:dyDescent="0.25">
      <c r="A2426" s="201"/>
      <c r="B2426" s="201"/>
    </row>
    <row r="2427" spans="1:2" x14ac:dyDescent="0.25">
      <c r="A2427" s="201"/>
      <c r="B2427" s="201"/>
    </row>
    <row r="2428" spans="1:2" x14ac:dyDescent="0.25">
      <c r="A2428" s="201"/>
      <c r="B2428" s="201"/>
    </row>
    <row r="2429" spans="1:2" x14ac:dyDescent="0.25">
      <c r="A2429" s="201"/>
      <c r="B2429" s="201"/>
    </row>
    <row r="2430" spans="1:2" x14ac:dyDescent="0.25">
      <c r="A2430" s="201"/>
      <c r="B2430" s="201"/>
    </row>
    <row r="2431" spans="1:2" x14ac:dyDescent="0.25">
      <c r="A2431" s="201"/>
      <c r="B2431" s="201"/>
    </row>
    <row r="2432" spans="1:2" x14ac:dyDescent="0.25">
      <c r="A2432" s="201"/>
      <c r="B2432" s="201"/>
    </row>
    <row r="2433" spans="1:2" x14ac:dyDescent="0.25">
      <c r="A2433" s="201"/>
      <c r="B2433" s="201"/>
    </row>
    <row r="2434" spans="1:2" x14ac:dyDescent="0.25">
      <c r="A2434" s="201"/>
      <c r="B2434" s="201"/>
    </row>
    <row r="2435" spans="1:2" x14ac:dyDescent="0.25">
      <c r="A2435" s="201"/>
      <c r="B2435" s="201"/>
    </row>
    <row r="2436" spans="1:2" x14ac:dyDescent="0.25">
      <c r="A2436" s="201"/>
      <c r="B2436" s="201"/>
    </row>
    <row r="2437" spans="1:2" x14ac:dyDescent="0.25">
      <c r="A2437" s="201"/>
      <c r="B2437" s="201"/>
    </row>
    <row r="2438" spans="1:2" x14ac:dyDescent="0.25">
      <c r="A2438" s="201"/>
      <c r="B2438" s="201"/>
    </row>
    <row r="2439" spans="1:2" x14ac:dyDescent="0.25">
      <c r="A2439" s="201"/>
      <c r="B2439" s="201"/>
    </row>
    <row r="2440" spans="1:2" x14ac:dyDescent="0.25">
      <c r="A2440" s="201"/>
      <c r="B2440" s="201"/>
    </row>
    <row r="2441" spans="1:2" x14ac:dyDescent="0.25">
      <c r="A2441" s="201"/>
      <c r="B2441" s="201"/>
    </row>
    <row r="2442" spans="1:2" x14ac:dyDescent="0.25">
      <c r="A2442" s="201"/>
      <c r="B2442" s="201"/>
    </row>
    <row r="2443" spans="1:2" x14ac:dyDescent="0.25">
      <c r="A2443" s="201"/>
      <c r="B2443" s="201"/>
    </row>
    <row r="2444" spans="1:2" x14ac:dyDescent="0.25">
      <c r="A2444" s="201"/>
      <c r="B2444" s="201"/>
    </row>
    <row r="2445" spans="1:2" x14ac:dyDescent="0.25">
      <c r="A2445" s="201"/>
      <c r="B2445" s="201"/>
    </row>
    <row r="2446" spans="1:2" x14ac:dyDescent="0.25">
      <c r="A2446" s="201"/>
      <c r="B2446" s="201"/>
    </row>
    <row r="2447" spans="1:2" x14ac:dyDescent="0.25">
      <c r="A2447" s="201"/>
      <c r="B2447" s="201"/>
    </row>
    <row r="2448" spans="1:2" x14ac:dyDescent="0.25">
      <c r="A2448" s="201"/>
      <c r="B2448" s="201"/>
    </row>
    <row r="2449" spans="1:2" x14ac:dyDescent="0.25">
      <c r="A2449" s="201"/>
      <c r="B2449" s="201"/>
    </row>
    <row r="2450" spans="1:2" x14ac:dyDescent="0.25">
      <c r="A2450" s="201"/>
      <c r="B2450" s="201"/>
    </row>
    <row r="2451" spans="1:2" x14ac:dyDescent="0.25">
      <c r="A2451" s="201"/>
      <c r="B2451" s="201"/>
    </row>
    <row r="2452" spans="1:2" x14ac:dyDescent="0.25">
      <c r="A2452" s="201"/>
      <c r="B2452" s="201"/>
    </row>
    <row r="2453" spans="1:2" x14ac:dyDescent="0.25">
      <c r="A2453" s="201"/>
      <c r="B2453" s="201"/>
    </row>
    <row r="2454" spans="1:2" x14ac:dyDescent="0.25">
      <c r="A2454" s="201"/>
      <c r="B2454" s="201"/>
    </row>
    <row r="2455" spans="1:2" x14ac:dyDescent="0.25">
      <c r="A2455" s="201"/>
      <c r="B2455" s="201"/>
    </row>
    <row r="2456" spans="1:2" x14ac:dyDescent="0.25">
      <c r="A2456" s="201"/>
      <c r="B2456" s="201"/>
    </row>
    <row r="2457" spans="1:2" x14ac:dyDescent="0.25">
      <c r="A2457" s="201"/>
      <c r="B2457" s="201"/>
    </row>
    <row r="2458" spans="1:2" x14ac:dyDescent="0.25">
      <c r="A2458" s="201"/>
      <c r="B2458" s="201"/>
    </row>
    <row r="2459" spans="1:2" x14ac:dyDescent="0.25">
      <c r="A2459" s="201"/>
      <c r="B2459" s="201"/>
    </row>
    <row r="2460" spans="1:2" x14ac:dyDescent="0.25">
      <c r="A2460" s="201"/>
      <c r="B2460" s="201"/>
    </row>
    <row r="2461" spans="1:2" x14ac:dyDescent="0.25">
      <c r="A2461" s="201"/>
      <c r="B2461" s="201"/>
    </row>
    <row r="2462" spans="1:2" x14ac:dyDescent="0.25">
      <c r="A2462" s="201"/>
      <c r="B2462" s="201"/>
    </row>
    <row r="2463" spans="1:2" x14ac:dyDescent="0.25">
      <c r="A2463" s="201"/>
      <c r="B2463" s="201"/>
    </row>
    <row r="2464" spans="1:2" x14ac:dyDescent="0.25">
      <c r="A2464" s="201"/>
      <c r="B2464" s="201"/>
    </row>
    <row r="2465" spans="1:2" x14ac:dyDescent="0.25">
      <c r="A2465" s="201"/>
      <c r="B2465" s="201"/>
    </row>
    <row r="2466" spans="1:2" x14ac:dyDescent="0.25">
      <c r="A2466" s="201"/>
      <c r="B2466" s="201"/>
    </row>
    <row r="2467" spans="1:2" x14ac:dyDescent="0.25">
      <c r="A2467" s="201"/>
      <c r="B2467" s="201"/>
    </row>
    <row r="2468" spans="1:2" x14ac:dyDescent="0.25">
      <c r="A2468" s="201"/>
      <c r="B2468" s="201"/>
    </row>
    <row r="2469" spans="1:2" x14ac:dyDescent="0.25">
      <c r="A2469" s="201"/>
      <c r="B2469" s="201"/>
    </row>
    <row r="2470" spans="1:2" x14ac:dyDescent="0.25">
      <c r="A2470" s="201"/>
      <c r="B2470" s="201"/>
    </row>
    <row r="2471" spans="1:2" x14ac:dyDescent="0.25">
      <c r="A2471" s="201"/>
      <c r="B2471" s="201"/>
    </row>
    <row r="2472" spans="1:2" x14ac:dyDescent="0.25">
      <c r="A2472" s="201"/>
      <c r="B2472" s="201"/>
    </row>
    <row r="2473" spans="1:2" x14ac:dyDescent="0.25">
      <c r="A2473" s="201"/>
      <c r="B2473" s="201"/>
    </row>
    <row r="2474" spans="1:2" x14ac:dyDescent="0.25">
      <c r="A2474" s="201"/>
      <c r="B2474" s="201"/>
    </row>
    <row r="2475" spans="1:2" x14ac:dyDescent="0.25">
      <c r="A2475" s="201"/>
      <c r="B2475" s="201"/>
    </row>
    <row r="2476" spans="1:2" x14ac:dyDescent="0.25">
      <c r="A2476" s="201"/>
      <c r="B2476" s="201"/>
    </row>
    <row r="2477" spans="1:2" x14ac:dyDescent="0.25">
      <c r="A2477" s="201"/>
      <c r="B2477" s="201"/>
    </row>
    <row r="2478" spans="1:2" x14ac:dyDescent="0.25">
      <c r="A2478" s="201"/>
      <c r="B2478" s="201"/>
    </row>
    <row r="2479" spans="1:2" x14ac:dyDescent="0.25">
      <c r="A2479" s="201"/>
      <c r="B2479" s="201"/>
    </row>
    <row r="2480" spans="1:2" x14ac:dyDescent="0.25">
      <c r="A2480" s="201"/>
      <c r="B2480" s="201"/>
    </row>
    <row r="2481" spans="1:2" x14ac:dyDescent="0.25">
      <c r="A2481" s="201"/>
      <c r="B2481" s="201"/>
    </row>
    <row r="2482" spans="1:2" x14ac:dyDescent="0.25">
      <c r="A2482" s="201"/>
      <c r="B2482" s="201"/>
    </row>
    <row r="2483" spans="1:2" x14ac:dyDescent="0.25">
      <c r="A2483" s="201"/>
      <c r="B2483" s="201"/>
    </row>
    <row r="2484" spans="1:2" x14ac:dyDescent="0.25">
      <c r="A2484" s="201"/>
      <c r="B2484" s="201"/>
    </row>
    <row r="2485" spans="1:2" x14ac:dyDescent="0.25">
      <c r="A2485" s="201"/>
      <c r="B2485" s="201"/>
    </row>
    <row r="2486" spans="1:2" x14ac:dyDescent="0.25">
      <c r="A2486" s="201"/>
      <c r="B2486" s="201"/>
    </row>
    <row r="2487" spans="1:2" x14ac:dyDescent="0.25">
      <c r="A2487" s="201"/>
      <c r="B2487" s="201"/>
    </row>
    <row r="2488" spans="1:2" x14ac:dyDescent="0.25">
      <c r="A2488" s="201"/>
      <c r="B2488" s="201"/>
    </row>
    <row r="2489" spans="1:2" x14ac:dyDescent="0.25">
      <c r="A2489" s="201"/>
      <c r="B2489" s="201"/>
    </row>
    <row r="2490" spans="1:2" x14ac:dyDescent="0.25">
      <c r="A2490" s="201"/>
      <c r="B2490" s="201"/>
    </row>
    <row r="2491" spans="1:2" x14ac:dyDescent="0.25">
      <c r="A2491" s="201"/>
      <c r="B2491" s="201"/>
    </row>
    <row r="2492" spans="1:2" x14ac:dyDescent="0.25">
      <c r="A2492" s="201"/>
      <c r="B2492" s="201"/>
    </row>
    <row r="2493" spans="1:2" x14ac:dyDescent="0.25">
      <c r="A2493" s="201"/>
      <c r="B2493" s="201"/>
    </row>
    <row r="2494" spans="1:2" x14ac:dyDescent="0.25">
      <c r="A2494" s="201"/>
      <c r="B2494" s="201"/>
    </row>
    <row r="2495" spans="1:2" x14ac:dyDescent="0.25">
      <c r="A2495" s="201"/>
      <c r="B2495" s="201"/>
    </row>
    <row r="2496" spans="1:2" x14ac:dyDescent="0.25">
      <c r="A2496" s="201"/>
      <c r="B2496" s="201"/>
    </row>
    <row r="2497" spans="1:2" x14ac:dyDescent="0.25">
      <c r="A2497" s="201"/>
      <c r="B2497" s="201"/>
    </row>
    <row r="2498" spans="1:2" x14ac:dyDescent="0.25">
      <c r="A2498" s="201"/>
      <c r="B2498" s="201"/>
    </row>
    <row r="2499" spans="1:2" x14ac:dyDescent="0.25">
      <c r="A2499" s="201"/>
      <c r="B2499" s="201"/>
    </row>
    <row r="2500" spans="1:2" x14ac:dyDescent="0.25">
      <c r="A2500" s="201"/>
      <c r="B2500" s="201"/>
    </row>
    <row r="2501" spans="1:2" x14ac:dyDescent="0.25">
      <c r="A2501" s="201"/>
      <c r="B2501" s="201"/>
    </row>
    <row r="2502" spans="1:2" x14ac:dyDescent="0.25">
      <c r="A2502" s="201"/>
      <c r="B2502" s="201"/>
    </row>
    <row r="2503" spans="1:2" x14ac:dyDescent="0.25">
      <c r="A2503" s="201"/>
      <c r="B2503" s="201"/>
    </row>
    <row r="2504" spans="1:2" x14ac:dyDescent="0.25">
      <c r="A2504" s="201"/>
      <c r="B2504" s="201"/>
    </row>
    <row r="2505" spans="1:2" x14ac:dyDescent="0.25">
      <c r="A2505" s="201"/>
      <c r="B2505" s="201"/>
    </row>
    <row r="2506" spans="1:2" x14ac:dyDescent="0.25">
      <c r="A2506" s="201"/>
      <c r="B2506" s="201"/>
    </row>
    <row r="2507" spans="1:2" x14ac:dyDescent="0.25">
      <c r="A2507" s="201"/>
      <c r="B2507" s="201"/>
    </row>
    <row r="2508" spans="1:2" x14ac:dyDescent="0.25">
      <c r="A2508" s="201"/>
      <c r="B2508" s="201"/>
    </row>
    <row r="2509" spans="1:2" x14ac:dyDescent="0.25">
      <c r="A2509" s="201"/>
      <c r="B2509" s="201"/>
    </row>
    <row r="2510" spans="1:2" x14ac:dyDescent="0.25">
      <c r="A2510" s="201"/>
      <c r="B2510" s="201"/>
    </row>
    <row r="2511" spans="1:2" x14ac:dyDescent="0.25">
      <c r="A2511" s="201"/>
      <c r="B2511" s="201"/>
    </row>
    <row r="2512" spans="1:2" x14ac:dyDescent="0.25">
      <c r="A2512" s="201"/>
      <c r="B2512" s="201"/>
    </row>
    <row r="2513" spans="1:2" x14ac:dyDescent="0.25">
      <c r="A2513" s="201"/>
      <c r="B2513" s="201"/>
    </row>
    <row r="2514" spans="1:2" x14ac:dyDescent="0.25">
      <c r="A2514" s="201"/>
      <c r="B2514" s="201"/>
    </row>
    <row r="2515" spans="1:2" x14ac:dyDescent="0.25">
      <c r="A2515" s="201"/>
      <c r="B2515" s="201"/>
    </row>
    <row r="2516" spans="1:2" x14ac:dyDescent="0.25">
      <c r="A2516" s="201"/>
      <c r="B2516" s="201"/>
    </row>
    <row r="2517" spans="1:2" x14ac:dyDescent="0.25">
      <c r="A2517" s="201"/>
      <c r="B2517" s="201"/>
    </row>
    <row r="2518" spans="1:2" x14ac:dyDescent="0.25">
      <c r="A2518" s="201"/>
      <c r="B2518" s="201"/>
    </row>
    <row r="2519" spans="1:2" x14ac:dyDescent="0.25">
      <c r="A2519" s="201"/>
      <c r="B2519" s="201"/>
    </row>
    <row r="2520" spans="1:2" x14ac:dyDescent="0.25">
      <c r="A2520" s="201"/>
      <c r="B2520" s="201"/>
    </row>
    <row r="2521" spans="1:2" x14ac:dyDescent="0.25">
      <c r="A2521" s="201"/>
      <c r="B2521" s="201"/>
    </row>
    <row r="2522" spans="1:2" x14ac:dyDescent="0.25">
      <c r="A2522" s="201"/>
      <c r="B2522" s="201"/>
    </row>
    <row r="2523" spans="1:2" x14ac:dyDescent="0.25">
      <c r="A2523" s="201"/>
      <c r="B2523" s="201"/>
    </row>
    <row r="2524" spans="1:2" x14ac:dyDescent="0.25">
      <c r="A2524" s="201"/>
      <c r="B2524" s="201"/>
    </row>
    <row r="2525" spans="1:2" x14ac:dyDescent="0.25">
      <c r="A2525" s="201"/>
      <c r="B2525" s="201"/>
    </row>
    <row r="2526" spans="1:2" x14ac:dyDescent="0.25">
      <c r="A2526" s="201"/>
      <c r="B2526" s="201"/>
    </row>
    <row r="2527" spans="1:2" x14ac:dyDescent="0.25">
      <c r="A2527" s="201"/>
      <c r="B2527" s="201"/>
    </row>
    <row r="2528" spans="1:2" x14ac:dyDescent="0.25">
      <c r="A2528" s="201"/>
      <c r="B2528" s="201"/>
    </row>
    <row r="2529" spans="1:2" x14ac:dyDescent="0.25">
      <c r="A2529" s="201"/>
      <c r="B2529" s="201"/>
    </row>
    <row r="2530" spans="1:2" x14ac:dyDescent="0.25">
      <c r="A2530" s="201"/>
      <c r="B2530" s="201"/>
    </row>
    <row r="2531" spans="1:2" x14ac:dyDescent="0.25">
      <c r="A2531" s="201"/>
      <c r="B2531" s="201"/>
    </row>
    <row r="2532" spans="1:2" x14ac:dyDescent="0.25">
      <c r="A2532" s="201"/>
      <c r="B2532" s="201"/>
    </row>
    <row r="2533" spans="1:2" x14ac:dyDescent="0.25">
      <c r="A2533" s="201"/>
      <c r="B2533" s="201"/>
    </row>
    <row r="2534" spans="1:2" x14ac:dyDescent="0.25">
      <c r="A2534" s="201"/>
      <c r="B2534" s="201"/>
    </row>
    <row r="2535" spans="1:2" x14ac:dyDescent="0.25">
      <c r="A2535" s="201"/>
      <c r="B2535" s="201"/>
    </row>
    <row r="2536" spans="1:2" x14ac:dyDescent="0.25">
      <c r="A2536" s="201"/>
      <c r="B2536" s="201"/>
    </row>
    <row r="2537" spans="1:2" x14ac:dyDescent="0.25">
      <c r="A2537" s="201"/>
      <c r="B2537" s="201"/>
    </row>
    <row r="2538" spans="1:2" x14ac:dyDescent="0.25">
      <c r="A2538" s="201"/>
      <c r="B2538" s="201"/>
    </row>
    <row r="2539" spans="1:2" x14ac:dyDescent="0.25">
      <c r="A2539" s="201"/>
      <c r="B2539" s="201"/>
    </row>
    <row r="2540" spans="1:2" x14ac:dyDescent="0.25">
      <c r="A2540" s="201"/>
      <c r="B2540" s="201"/>
    </row>
    <row r="2541" spans="1:2" x14ac:dyDescent="0.25">
      <c r="A2541" s="201"/>
      <c r="B2541" s="201"/>
    </row>
    <row r="2542" spans="1:2" x14ac:dyDescent="0.25">
      <c r="A2542" s="201"/>
      <c r="B2542" s="201"/>
    </row>
    <row r="2543" spans="1:2" x14ac:dyDescent="0.25">
      <c r="A2543" s="201"/>
      <c r="B2543" s="201"/>
    </row>
    <row r="2544" spans="1:2" x14ac:dyDescent="0.25">
      <c r="A2544" s="201"/>
      <c r="B2544" s="201"/>
    </row>
    <row r="2545" spans="1:2" x14ac:dyDescent="0.25">
      <c r="A2545" s="201"/>
      <c r="B2545" s="201"/>
    </row>
    <row r="2546" spans="1:2" x14ac:dyDescent="0.25">
      <c r="A2546" s="201"/>
      <c r="B2546" s="201"/>
    </row>
    <row r="2547" spans="1:2" x14ac:dyDescent="0.25">
      <c r="A2547" s="201"/>
      <c r="B2547" s="201"/>
    </row>
    <row r="2548" spans="1:2" x14ac:dyDescent="0.25">
      <c r="A2548" s="201"/>
      <c r="B2548" s="201"/>
    </row>
    <row r="2549" spans="1:2" x14ac:dyDescent="0.25">
      <c r="A2549" s="201"/>
      <c r="B2549" s="201"/>
    </row>
    <row r="2550" spans="1:2" x14ac:dyDescent="0.25">
      <c r="A2550" s="201"/>
      <c r="B2550" s="201"/>
    </row>
    <row r="2551" spans="1:2" x14ac:dyDescent="0.25">
      <c r="A2551" s="201"/>
      <c r="B2551" s="201"/>
    </row>
    <row r="2552" spans="1:2" x14ac:dyDescent="0.25">
      <c r="A2552" s="201"/>
      <c r="B2552" s="201"/>
    </row>
    <row r="2553" spans="1:2" x14ac:dyDescent="0.25">
      <c r="A2553" s="201"/>
      <c r="B2553" s="201"/>
    </row>
    <row r="2554" spans="1:2" x14ac:dyDescent="0.25">
      <c r="A2554" s="201"/>
      <c r="B2554" s="201"/>
    </row>
    <row r="2555" spans="1:2" x14ac:dyDescent="0.25">
      <c r="A2555" s="201"/>
      <c r="B2555" s="201"/>
    </row>
    <row r="2556" spans="1:2" x14ac:dyDescent="0.25">
      <c r="A2556" s="201"/>
      <c r="B2556" s="201"/>
    </row>
    <row r="2557" spans="1:2" x14ac:dyDescent="0.25">
      <c r="A2557" s="201"/>
      <c r="B2557" s="201"/>
    </row>
    <row r="2558" spans="1:2" x14ac:dyDescent="0.25">
      <c r="A2558" s="201"/>
      <c r="B2558" s="201"/>
    </row>
    <row r="2559" spans="1:2" x14ac:dyDescent="0.25">
      <c r="A2559" s="201"/>
      <c r="B2559" s="201"/>
    </row>
    <row r="2560" spans="1:2" x14ac:dyDescent="0.25">
      <c r="A2560" s="201"/>
      <c r="B2560" s="201"/>
    </row>
    <row r="2561" spans="1:2" x14ac:dyDescent="0.25">
      <c r="A2561" s="201"/>
      <c r="B2561" s="201"/>
    </row>
    <row r="2562" spans="1:2" x14ac:dyDescent="0.25">
      <c r="A2562" s="201"/>
      <c r="B2562" s="201"/>
    </row>
    <row r="2563" spans="1:2" x14ac:dyDescent="0.25">
      <c r="A2563" s="201"/>
      <c r="B2563" s="201"/>
    </row>
    <row r="2564" spans="1:2" x14ac:dyDescent="0.25">
      <c r="A2564" s="201"/>
      <c r="B2564" s="201"/>
    </row>
    <row r="2565" spans="1:2" x14ac:dyDescent="0.25">
      <c r="A2565" s="201"/>
      <c r="B2565" s="201"/>
    </row>
    <row r="2566" spans="1:2" x14ac:dyDescent="0.25">
      <c r="A2566" s="201"/>
      <c r="B2566" s="201"/>
    </row>
    <row r="2567" spans="1:2" x14ac:dyDescent="0.25">
      <c r="A2567" s="201"/>
      <c r="B2567" s="201"/>
    </row>
    <row r="2568" spans="1:2" x14ac:dyDescent="0.25">
      <c r="A2568" s="201"/>
      <c r="B2568" s="201"/>
    </row>
    <row r="2569" spans="1:2" x14ac:dyDescent="0.25">
      <c r="A2569" s="201"/>
      <c r="B2569" s="201"/>
    </row>
    <row r="2570" spans="1:2" x14ac:dyDescent="0.25">
      <c r="A2570" s="201"/>
      <c r="B2570" s="201"/>
    </row>
    <row r="2571" spans="1:2" x14ac:dyDescent="0.25">
      <c r="A2571" s="201"/>
      <c r="B2571" s="201"/>
    </row>
    <row r="2572" spans="1:2" x14ac:dyDescent="0.25">
      <c r="A2572" s="201"/>
      <c r="B2572" s="201"/>
    </row>
    <row r="2573" spans="1:2" x14ac:dyDescent="0.25">
      <c r="A2573" s="201"/>
      <c r="B2573" s="201"/>
    </row>
    <row r="2574" spans="1:2" x14ac:dyDescent="0.25">
      <c r="A2574" s="201"/>
      <c r="B2574" s="201"/>
    </row>
    <row r="2575" spans="1:2" x14ac:dyDescent="0.25">
      <c r="A2575" s="201"/>
      <c r="B2575" s="201"/>
    </row>
    <row r="2576" spans="1:2" x14ac:dyDescent="0.25">
      <c r="A2576" s="201"/>
      <c r="B2576" s="201"/>
    </row>
    <row r="2577" spans="1:2" x14ac:dyDescent="0.25">
      <c r="A2577" s="201"/>
      <c r="B2577" s="201"/>
    </row>
    <row r="2578" spans="1:2" x14ac:dyDescent="0.25">
      <c r="A2578" s="201"/>
      <c r="B2578" s="201"/>
    </row>
    <row r="2579" spans="1:2" x14ac:dyDescent="0.25">
      <c r="A2579" s="201"/>
      <c r="B2579" s="201"/>
    </row>
    <row r="2580" spans="1:2" x14ac:dyDescent="0.25">
      <c r="A2580" s="201"/>
      <c r="B2580" s="201"/>
    </row>
    <row r="2581" spans="1:2" x14ac:dyDescent="0.25">
      <c r="A2581" s="201"/>
      <c r="B2581" s="201"/>
    </row>
    <row r="2582" spans="1:2" x14ac:dyDescent="0.25">
      <c r="A2582" s="201"/>
      <c r="B2582" s="201"/>
    </row>
    <row r="2583" spans="1:2" x14ac:dyDescent="0.25">
      <c r="A2583" s="201"/>
      <c r="B2583" s="201"/>
    </row>
    <row r="2584" spans="1:2" x14ac:dyDescent="0.25">
      <c r="A2584" s="201"/>
      <c r="B2584" s="201"/>
    </row>
    <row r="2585" spans="1:2" x14ac:dyDescent="0.25">
      <c r="A2585" s="201"/>
      <c r="B2585" s="201"/>
    </row>
    <row r="2586" spans="1:2" x14ac:dyDescent="0.25">
      <c r="A2586" s="201"/>
      <c r="B2586" s="201"/>
    </row>
    <row r="2587" spans="1:2" x14ac:dyDescent="0.25">
      <c r="A2587" s="201"/>
      <c r="B2587" s="201"/>
    </row>
    <row r="2588" spans="1:2" x14ac:dyDescent="0.25">
      <c r="A2588" s="201"/>
      <c r="B2588" s="201"/>
    </row>
    <row r="2589" spans="1:2" x14ac:dyDescent="0.25">
      <c r="A2589" s="201"/>
      <c r="B2589" s="201"/>
    </row>
    <row r="2590" spans="1:2" x14ac:dyDescent="0.25">
      <c r="A2590" s="201"/>
      <c r="B2590" s="201"/>
    </row>
    <row r="2591" spans="1:2" x14ac:dyDescent="0.25">
      <c r="A2591" s="201"/>
      <c r="B2591" s="201"/>
    </row>
    <row r="2592" spans="1:2" x14ac:dyDescent="0.25">
      <c r="A2592" s="201"/>
      <c r="B2592" s="201"/>
    </row>
    <row r="2593" spans="1:2" x14ac:dyDescent="0.25">
      <c r="A2593" s="201"/>
      <c r="B2593" s="201"/>
    </row>
    <row r="2594" spans="1:2" x14ac:dyDescent="0.25">
      <c r="A2594" s="201"/>
      <c r="B2594" s="201"/>
    </row>
    <row r="2595" spans="1:2" x14ac:dyDescent="0.25">
      <c r="A2595" s="201"/>
      <c r="B2595" s="201"/>
    </row>
    <row r="2596" spans="1:2" x14ac:dyDescent="0.25">
      <c r="A2596" s="201"/>
      <c r="B2596" s="201"/>
    </row>
    <row r="2597" spans="1:2" x14ac:dyDescent="0.25">
      <c r="A2597" s="201"/>
      <c r="B2597" s="201"/>
    </row>
    <row r="2598" spans="1:2" x14ac:dyDescent="0.25">
      <c r="A2598" s="201"/>
      <c r="B2598" s="201"/>
    </row>
    <row r="2599" spans="1:2" x14ac:dyDescent="0.25">
      <c r="A2599" s="201"/>
      <c r="B2599" s="201"/>
    </row>
    <row r="2600" spans="1:2" x14ac:dyDescent="0.25">
      <c r="A2600" s="201"/>
      <c r="B2600" s="201"/>
    </row>
    <row r="2601" spans="1:2" x14ac:dyDescent="0.25">
      <c r="A2601" s="201"/>
      <c r="B2601" s="201"/>
    </row>
    <row r="2602" spans="1:2" x14ac:dyDescent="0.25">
      <c r="A2602" s="201"/>
      <c r="B2602" s="201"/>
    </row>
    <row r="2603" spans="1:2" x14ac:dyDescent="0.25">
      <c r="A2603" s="201"/>
      <c r="B2603" s="201"/>
    </row>
    <row r="2604" spans="1:2" x14ac:dyDescent="0.25">
      <c r="A2604" s="201"/>
      <c r="B2604" s="201"/>
    </row>
    <row r="2605" spans="1:2" x14ac:dyDescent="0.25">
      <c r="A2605" s="201"/>
      <c r="B2605" s="201"/>
    </row>
    <row r="2606" spans="1:2" x14ac:dyDescent="0.25">
      <c r="A2606" s="201"/>
      <c r="B2606" s="201"/>
    </row>
    <row r="2607" spans="1:2" x14ac:dyDescent="0.25">
      <c r="A2607" s="201"/>
      <c r="B2607" s="201"/>
    </row>
    <row r="2608" spans="1:2" x14ac:dyDescent="0.25">
      <c r="A2608" s="201"/>
      <c r="B2608" s="201"/>
    </row>
    <row r="2609" spans="1:2" x14ac:dyDescent="0.25">
      <c r="A2609" s="201"/>
      <c r="B2609" s="201"/>
    </row>
    <row r="2610" spans="1:2" x14ac:dyDescent="0.25">
      <c r="A2610" s="201"/>
      <c r="B2610" s="201"/>
    </row>
    <row r="2611" spans="1:2" x14ac:dyDescent="0.25">
      <c r="A2611" s="201"/>
      <c r="B2611" s="201"/>
    </row>
    <row r="2612" spans="1:2" x14ac:dyDescent="0.25">
      <c r="A2612" s="201"/>
      <c r="B2612" s="201"/>
    </row>
    <row r="2613" spans="1:2" x14ac:dyDescent="0.25">
      <c r="A2613" s="201"/>
      <c r="B2613" s="201"/>
    </row>
    <row r="2614" spans="1:2" x14ac:dyDescent="0.25">
      <c r="A2614" s="201"/>
      <c r="B2614" s="201"/>
    </row>
    <row r="2615" spans="1:2" x14ac:dyDescent="0.25">
      <c r="A2615" s="201"/>
      <c r="B2615" s="201"/>
    </row>
    <row r="2616" spans="1:2" x14ac:dyDescent="0.25">
      <c r="A2616" s="201"/>
      <c r="B2616" s="201"/>
    </row>
    <row r="2617" spans="1:2" x14ac:dyDescent="0.25">
      <c r="A2617" s="201"/>
      <c r="B2617" s="201"/>
    </row>
    <row r="2618" spans="1:2" x14ac:dyDescent="0.25">
      <c r="A2618" s="201"/>
      <c r="B2618" s="201"/>
    </row>
    <row r="2619" spans="1:2" x14ac:dyDescent="0.25">
      <c r="A2619" s="201"/>
      <c r="B2619" s="201"/>
    </row>
    <row r="2620" spans="1:2" x14ac:dyDescent="0.25">
      <c r="A2620" s="201"/>
      <c r="B2620" s="201"/>
    </row>
    <row r="2621" spans="1:2" x14ac:dyDescent="0.25">
      <c r="A2621" s="201"/>
      <c r="B2621" s="201"/>
    </row>
    <row r="2622" spans="1:2" x14ac:dyDescent="0.25">
      <c r="A2622" s="201"/>
      <c r="B2622" s="201"/>
    </row>
    <row r="2623" spans="1:2" x14ac:dyDescent="0.25">
      <c r="A2623" s="201"/>
      <c r="B2623" s="201"/>
    </row>
    <row r="2624" spans="1:2" x14ac:dyDescent="0.25">
      <c r="A2624" s="201"/>
      <c r="B2624" s="201"/>
    </row>
    <row r="2625" spans="1:2" x14ac:dyDescent="0.25">
      <c r="A2625" s="201"/>
      <c r="B2625" s="201"/>
    </row>
    <row r="2626" spans="1:2" x14ac:dyDescent="0.25">
      <c r="A2626" s="201"/>
      <c r="B2626" s="201"/>
    </row>
    <row r="2627" spans="1:2" x14ac:dyDescent="0.25">
      <c r="A2627" s="201"/>
      <c r="B2627" s="201"/>
    </row>
    <row r="2628" spans="1:2" x14ac:dyDescent="0.25">
      <c r="A2628" s="201"/>
      <c r="B2628" s="201"/>
    </row>
    <row r="2629" spans="1:2" x14ac:dyDescent="0.25">
      <c r="A2629" s="201"/>
      <c r="B2629" s="201"/>
    </row>
    <row r="2630" spans="1:2" x14ac:dyDescent="0.25">
      <c r="A2630" s="201"/>
      <c r="B2630" s="201"/>
    </row>
    <row r="2631" spans="1:2" x14ac:dyDescent="0.25">
      <c r="A2631" s="201"/>
      <c r="B2631" s="201"/>
    </row>
    <row r="2632" spans="1:2" x14ac:dyDescent="0.25">
      <c r="A2632" s="201"/>
      <c r="B2632" s="201"/>
    </row>
    <row r="2633" spans="1:2" x14ac:dyDescent="0.25">
      <c r="A2633" s="201"/>
      <c r="B2633" s="201"/>
    </row>
    <row r="2634" spans="1:2" x14ac:dyDescent="0.25">
      <c r="A2634" s="201"/>
      <c r="B2634" s="201"/>
    </row>
    <row r="2635" spans="1:2" x14ac:dyDescent="0.25">
      <c r="A2635" s="201"/>
      <c r="B2635" s="201"/>
    </row>
    <row r="2636" spans="1:2" x14ac:dyDescent="0.25">
      <c r="A2636" s="201"/>
      <c r="B2636" s="201"/>
    </row>
    <row r="2637" spans="1:2" x14ac:dyDescent="0.25">
      <c r="A2637" s="201"/>
      <c r="B2637" s="201"/>
    </row>
    <row r="2638" spans="1:2" x14ac:dyDescent="0.25">
      <c r="A2638" s="201"/>
      <c r="B2638" s="201"/>
    </row>
    <row r="2639" spans="1:2" x14ac:dyDescent="0.25">
      <c r="A2639" s="201"/>
      <c r="B2639" s="201"/>
    </row>
    <row r="2640" spans="1:2" x14ac:dyDescent="0.25">
      <c r="A2640" s="201"/>
      <c r="B2640" s="201"/>
    </row>
    <row r="2641" spans="1:2" x14ac:dyDescent="0.25">
      <c r="A2641" s="201"/>
      <c r="B2641" s="201"/>
    </row>
    <row r="2642" spans="1:2" x14ac:dyDescent="0.25">
      <c r="A2642" s="201"/>
      <c r="B2642" s="201"/>
    </row>
    <row r="2643" spans="1:2" x14ac:dyDescent="0.25">
      <c r="A2643" s="201"/>
      <c r="B2643" s="201"/>
    </row>
    <row r="2644" spans="1:2" x14ac:dyDescent="0.25">
      <c r="A2644" s="201"/>
      <c r="B2644" s="201"/>
    </row>
    <row r="2645" spans="1:2" x14ac:dyDescent="0.25">
      <c r="A2645" s="201"/>
      <c r="B2645" s="201"/>
    </row>
    <row r="2646" spans="1:2" x14ac:dyDescent="0.25">
      <c r="A2646" s="201"/>
      <c r="B2646" s="201"/>
    </row>
    <row r="2647" spans="1:2" x14ac:dyDescent="0.25">
      <c r="A2647" s="201"/>
      <c r="B2647" s="201"/>
    </row>
    <row r="2648" spans="1:2" x14ac:dyDescent="0.25">
      <c r="A2648" s="201"/>
      <c r="B2648" s="201"/>
    </row>
    <row r="2649" spans="1:2" x14ac:dyDescent="0.25">
      <c r="A2649" s="201"/>
      <c r="B2649" s="201"/>
    </row>
    <row r="2650" spans="1:2" x14ac:dyDescent="0.25">
      <c r="A2650" s="201"/>
      <c r="B2650" s="201"/>
    </row>
    <row r="2651" spans="1:2" x14ac:dyDescent="0.25">
      <c r="A2651" s="201"/>
      <c r="B2651" s="201"/>
    </row>
    <row r="2652" spans="1:2" x14ac:dyDescent="0.25">
      <c r="A2652" s="201"/>
      <c r="B2652" s="201"/>
    </row>
    <row r="2653" spans="1:2" x14ac:dyDescent="0.25">
      <c r="A2653" s="201"/>
      <c r="B2653" s="201"/>
    </row>
    <row r="2654" spans="1:2" x14ac:dyDescent="0.25">
      <c r="A2654" s="201"/>
      <c r="B2654" s="201"/>
    </row>
    <row r="2655" spans="1:2" x14ac:dyDescent="0.25">
      <c r="A2655" s="201"/>
      <c r="B2655" s="201"/>
    </row>
    <row r="2656" spans="1:2" x14ac:dyDescent="0.25">
      <c r="A2656" s="201"/>
      <c r="B2656" s="201"/>
    </row>
    <row r="2657" spans="1:2" x14ac:dyDescent="0.25">
      <c r="A2657" s="201"/>
      <c r="B2657" s="201"/>
    </row>
    <row r="2658" spans="1:2" x14ac:dyDescent="0.25">
      <c r="A2658" s="201"/>
      <c r="B2658" s="201"/>
    </row>
    <row r="2659" spans="1:2" x14ac:dyDescent="0.25">
      <c r="A2659" s="201"/>
      <c r="B2659" s="201"/>
    </row>
    <row r="2660" spans="1:2" x14ac:dyDescent="0.25">
      <c r="A2660" s="201"/>
      <c r="B2660" s="201"/>
    </row>
    <row r="2661" spans="1:2" x14ac:dyDescent="0.25">
      <c r="A2661" s="201"/>
      <c r="B2661" s="201"/>
    </row>
    <row r="2662" spans="1:2" x14ac:dyDescent="0.25">
      <c r="A2662" s="201"/>
      <c r="B2662" s="201"/>
    </row>
    <row r="2663" spans="1:2" x14ac:dyDescent="0.25">
      <c r="A2663" s="201"/>
      <c r="B2663" s="201"/>
    </row>
    <row r="2664" spans="1:2" x14ac:dyDescent="0.25">
      <c r="A2664" s="201"/>
      <c r="B2664" s="201"/>
    </row>
    <row r="2665" spans="1:2" x14ac:dyDescent="0.25">
      <c r="A2665" s="201"/>
      <c r="B2665" s="201"/>
    </row>
    <row r="2666" spans="1:2" x14ac:dyDescent="0.25">
      <c r="A2666" s="201"/>
      <c r="B2666" s="201"/>
    </row>
    <row r="2667" spans="1:2" x14ac:dyDescent="0.25">
      <c r="A2667" s="201"/>
      <c r="B2667" s="201"/>
    </row>
    <row r="2668" spans="1:2" x14ac:dyDescent="0.25">
      <c r="A2668" s="201"/>
      <c r="B2668" s="201"/>
    </row>
    <row r="2669" spans="1:2" x14ac:dyDescent="0.25">
      <c r="A2669" s="201"/>
      <c r="B2669" s="201"/>
    </row>
    <row r="2670" spans="1:2" x14ac:dyDescent="0.25">
      <c r="A2670" s="201"/>
      <c r="B2670" s="201"/>
    </row>
    <row r="2671" spans="1:2" x14ac:dyDescent="0.25">
      <c r="A2671" s="201"/>
      <c r="B2671" s="201"/>
    </row>
    <row r="2672" spans="1:2" x14ac:dyDescent="0.25">
      <c r="A2672" s="201"/>
      <c r="B2672" s="201"/>
    </row>
    <row r="2673" spans="1:2" x14ac:dyDescent="0.25">
      <c r="A2673" s="201"/>
      <c r="B2673" s="201"/>
    </row>
    <row r="2674" spans="1:2" x14ac:dyDescent="0.25">
      <c r="A2674" s="201"/>
      <c r="B2674" s="201"/>
    </row>
    <row r="2675" spans="1:2" x14ac:dyDescent="0.25">
      <c r="A2675" s="201"/>
      <c r="B2675" s="201"/>
    </row>
    <row r="2676" spans="1:2" x14ac:dyDescent="0.25">
      <c r="A2676" s="201"/>
      <c r="B2676" s="201"/>
    </row>
    <row r="2677" spans="1:2" x14ac:dyDescent="0.25">
      <c r="A2677" s="201"/>
      <c r="B2677" s="201"/>
    </row>
    <row r="2678" spans="1:2" x14ac:dyDescent="0.25">
      <c r="A2678" s="201"/>
      <c r="B2678" s="201"/>
    </row>
    <row r="2679" spans="1:2" x14ac:dyDescent="0.25">
      <c r="A2679" s="201"/>
      <c r="B2679" s="201"/>
    </row>
    <row r="2680" spans="1:2" x14ac:dyDescent="0.25">
      <c r="A2680" s="201"/>
      <c r="B2680" s="201"/>
    </row>
    <row r="2681" spans="1:2" x14ac:dyDescent="0.25">
      <c r="A2681" s="201"/>
      <c r="B2681" s="201"/>
    </row>
    <row r="2682" spans="1:2" x14ac:dyDescent="0.25">
      <c r="A2682" s="201"/>
      <c r="B2682" s="201"/>
    </row>
    <row r="2683" spans="1:2" x14ac:dyDescent="0.25">
      <c r="A2683" s="201"/>
      <c r="B2683" s="201"/>
    </row>
    <row r="2684" spans="1:2" x14ac:dyDescent="0.25">
      <c r="A2684" s="201"/>
      <c r="B2684" s="201"/>
    </row>
    <row r="2685" spans="1:2" x14ac:dyDescent="0.25">
      <c r="A2685" s="201"/>
      <c r="B2685" s="201"/>
    </row>
    <row r="2686" spans="1:2" x14ac:dyDescent="0.25">
      <c r="A2686" s="201"/>
      <c r="B2686" s="201"/>
    </row>
    <row r="2687" spans="1:2" x14ac:dyDescent="0.25">
      <c r="A2687" s="201"/>
      <c r="B2687" s="201"/>
    </row>
    <row r="2688" spans="1:2" x14ac:dyDescent="0.25">
      <c r="A2688" s="201"/>
      <c r="B2688" s="201"/>
    </row>
    <row r="2689" spans="1:2" x14ac:dyDescent="0.25">
      <c r="A2689" s="201"/>
      <c r="B2689" s="201"/>
    </row>
    <row r="2690" spans="1:2" x14ac:dyDescent="0.25">
      <c r="A2690" s="201"/>
      <c r="B2690" s="201"/>
    </row>
    <row r="2691" spans="1:2" x14ac:dyDescent="0.25">
      <c r="A2691" s="201"/>
      <c r="B2691" s="201"/>
    </row>
    <row r="2692" spans="1:2" x14ac:dyDescent="0.25">
      <c r="A2692" s="201"/>
      <c r="B2692" s="201"/>
    </row>
    <row r="2693" spans="1:2" x14ac:dyDescent="0.25">
      <c r="A2693" s="201"/>
      <c r="B2693" s="201"/>
    </row>
    <row r="2694" spans="1:2" x14ac:dyDescent="0.25">
      <c r="A2694" s="201"/>
      <c r="B2694" s="201"/>
    </row>
    <row r="2695" spans="1:2" x14ac:dyDescent="0.25">
      <c r="A2695" s="201"/>
      <c r="B2695" s="201"/>
    </row>
    <row r="2696" spans="1:2" x14ac:dyDescent="0.25">
      <c r="A2696" s="201"/>
      <c r="B2696" s="201"/>
    </row>
    <row r="2697" spans="1:2" x14ac:dyDescent="0.25">
      <c r="A2697" s="201"/>
      <c r="B2697" s="201"/>
    </row>
    <row r="2698" spans="1:2" x14ac:dyDescent="0.25">
      <c r="A2698" s="201"/>
      <c r="B2698" s="201"/>
    </row>
    <row r="2699" spans="1:2" x14ac:dyDescent="0.25">
      <c r="A2699" s="201"/>
      <c r="B2699" s="201"/>
    </row>
    <row r="2700" spans="1:2" x14ac:dyDescent="0.25">
      <c r="A2700" s="201"/>
      <c r="B2700" s="201"/>
    </row>
    <row r="2701" spans="1:2" x14ac:dyDescent="0.25">
      <c r="A2701" s="201"/>
      <c r="B2701" s="201"/>
    </row>
    <row r="2702" spans="1:2" x14ac:dyDescent="0.25">
      <c r="A2702" s="201"/>
      <c r="B2702" s="201"/>
    </row>
    <row r="2703" spans="1:2" x14ac:dyDescent="0.25">
      <c r="A2703" s="201"/>
      <c r="B2703" s="201"/>
    </row>
    <row r="2704" spans="1:2" x14ac:dyDescent="0.25">
      <c r="A2704" s="201"/>
      <c r="B2704" s="201"/>
    </row>
    <row r="2705" spans="1:2" x14ac:dyDescent="0.25">
      <c r="A2705" s="201"/>
      <c r="B2705" s="201"/>
    </row>
    <row r="2706" spans="1:2" x14ac:dyDescent="0.25">
      <c r="A2706" s="201"/>
      <c r="B2706" s="201"/>
    </row>
    <row r="2707" spans="1:2" x14ac:dyDescent="0.25">
      <c r="A2707" s="201"/>
      <c r="B2707" s="201"/>
    </row>
    <row r="2708" spans="1:2" x14ac:dyDescent="0.25">
      <c r="A2708" s="201"/>
      <c r="B2708" s="201"/>
    </row>
    <row r="2709" spans="1:2" x14ac:dyDescent="0.25">
      <c r="A2709" s="201"/>
      <c r="B2709" s="201"/>
    </row>
    <row r="2710" spans="1:2" x14ac:dyDescent="0.25">
      <c r="A2710" s="201"/>
      <c r="B2710" s="201"/>
    </row>
    <row r="2711" spans="1:2" x14ac:dyDescent="0.25">
      <c r="A2711" s="201"/>
      <c r="B2711" s="201"/>
    </row>
    <row r="2712" spans="1:2" x14ac:dyDescent="0.25">
      <c r="A2712" s="201"/>
      <c r="B2712" s="201"/>
    </row>
    <row r="2713" spans="1:2" x14ac:dyDescent="0.25">
      <c r="A2713" s="201"/>
      <c r="B2713" s="201"/>
    </row>
    <row r="2714" spans="1:2" x14ac:dyDescent="0.25">
      <c r="A2714" s="201"/>
      <c r="B2714" s="201"/>
    </row>
    <row r="2715" spans="1:2" x14ac:dyDescent="0.25">
      <c r="A2715" s="201"/>
      <c r="B2715" s="201"/>
    </row>
    <row r="2716" spans="1:2" x14ac:dyDescent="0.25">
      <c r="A2716" s="201"/>
      <c r="B2716" s="201"/>
    </row>
    <row r="2717" spans="1:2" x14ac:dyDescent="0.25">
      <c r="A2717" s="201"/>
      <c r="B2717" s="201"/>
    </row>
    <row r="2718" spans="1:2" x14ac:dyDescent="0.25">
      <c r="A2718" s="201"/>
      <c r="B2718" s="201"/>
    </row>
    <row r="2719" spans="1:2" x14ac:dyDescent="0.25">
      <c r="A2719" s="201"/>
      <c r="B2719" s="201"/>
    </row>
    <row r="2720" spans="1:2" x14ac:dyDescent="0.25">
      <c r="A2720" s="201"/>
      <c r="B2720" s="201"/>
    </row>
    <row r="2721" spans="1:2" x14ac:dyDescent="0.25">
      <c r="A2721" s="201"/>
      <c r="B2721" s="201"/>
    </row>
    <row r="2722" spans="1:2" x14ac:dyDescent="0.25">
      <c r="A2722" s="201"/>
      <c r="B2722" s="201"/>
    </row>
    <row r="2723" spans="1:2" x14ac:dyDescent="0.25">
      <c r="A2723" s="201"/>
      <c r="B2723" s="201"/>
    </row>
    <row r="2724" spans="1:2" x14ac:dyDescent="0.25">
      <c r="A2724" s="201"/>
      <c r="B2724" s="201"/>
    </row>
    <row r="2725" spans="1:2" x14ac:dyDescent="0.25">
      <c r="A2725" s="201"/>
      <c r="B2725" s="201"/>
    </row>
    <row r="2726" spans="1:2" x14ac:dyDescent="0.25">
      <c r="A2726" s="201"/>
      <c r="B2726" s="201"/>
    </row>
    <row r="2727" spans="1:2" x14ac:dyDescent="0.25">
      <c r="A2727" s="201"/>
      <c r="B2727" s="201"/>
    </row>
    <row r="2728" spans="1:2" x14ac:dyDescent="0.25">
      <c r="A2728" s="201"/>
      <c r="B2728" s="201"/>
    </row>
    <row r="2729" spans="1:2" x14ac:dyDescent="0.25">
      <c r="A2729" s="201"/>
      <c r="B2729" s="201"/>
    </row>
    <row r="2730" spans="1:2" x14ac:dyDescent="0.25">
      <c r="A2730" s="201"/>
      <c r="B2730" s="201"/>
    </row>
    <row r="2731" spans="1:2" x14ac:dyDescent="0.25">
      <c r="A2731" s="201"/>
      <c r="B2731" s="201"/>
    </row>
    <row r="2732" spans="1:2" x14ac:dyDescent="0.25">
      <c r="A2732" s="201"/>
      <c r="B2732" s="201"/>
    </row>
    <row r="2733" spans="1:2" x14ac:dyDescent="0.25">
      <c r="A2733" s="201"/>
      <c r="B2733" s="201"/>
    </row>
    <row r="2734" spans="1:2" x14ac:dyDescent="0.25">
      <c r="A2734" s="201"/>
      <c r="B2734" s="201"/>
    </row>
    <row r="2735" spans="1:2" x14ac:dyDescent="0.25">
      <c r="A2735" s="201"/>
      <c r="B2735" s="201"/>
    </row>
    <row r="2736" spans="1:2" x14ac:dyDescent="0.25">
      <c r="A2736" s="201"/>
      <c r="B2736" s="201"/>
    </row>
    <row r="2737" spans="1:2" x14ac:dyDescent="0.25">
      <c r="A2737" s="201"/>
      <c r="B2737" s="201"/>
    </row>
    <row r="2738" spans="1:2" x14ac:dyDescent="0.25">
      <c r="A2738" s="201"/>
      <c r="B2738" s="201"/>
    </row>
    <row r="2739" spans="1:2" x14ac:dyDescent="0.25">
      <c r="A2739" s="201"/>
      <c r="B2739" s="201"/>
    </row>
    <row r="2740" spans="1:2" x14ac:dyDescent="0.25">
      <c r="A2740" s="201"/>
      <c r="B2740" s="201"/>
    </row>
    <row r="2741" spans="1:2" x14ac:dyDescent="0.25">
      <c r="A2741" s="201"/>
      <c r="B2741" s="201"/>
    </row>
    <row r="2742" spans="1:2" x14ac:dyDescent="0.25">
      <c r="A2742" s="201"/>
      <c r="B2742" s="201"/>
    </row>
    <row r="2743" spans="1:2" x14ac:dyDescent="0.25">
      <c r="A2743" s="201"/>
      <c r="B2743" s="201"/>
    </row>
    <row r="2744" spans="1:2" x14ac:dyDescent="0.25">
      <c r="A2744" s="201"/>
      <c r="B2744" s="201"/>
    </row>
    <row r="2745" spans="1:2" x14ac:dyDescent="0.25">
      <c r="A2745" s="201"/>
      <c r="B2745" s="201"/>
    </row>
    <row r="2746" spans="1:2" x14ac:dyDescent="0.25">
      <c r="A2746" s="201"/>
      <c r="B2746" s="201"/>
    </row>
    <row r="2747" spans="1:2" x14ac:dyDescent="0.25">
      <c r="A2747" s="201"/>
      <c r="B2747" s="201"/>
    </row>
    <row r="2748" spans="1:2" x14ac:dyDescent="0.25">
      <c r="A2748" s="201"/>
      <c r="B2748" s="201"/>
    </row>
    <row r="2749" spans="1:2" x14ac:dyDescent="0.25">
      <c r="A2749" s="201"/>
      <c r="B2749" s="201"/>
    </row>
    <row r="2750" spans="1:2" x14ac:dyDescent="0.25">
      <c r="A2750" s="201"/>
      <c r="B2750" s="201"/>
    </row>
    <row r="2751" spans="1:2" x14ac:dyDescent="0.25">
      <c r="A2751" s="201"/>
      <c r="B2751" s="201"/>
    </row>
    <row r="2752" spans="1:2" x14ac:dyDescent="0.25">
      <c r="A2752" s="201"/>
      <c r="B2752" s="201"/>
    </row>
    <row r="2753" spans="1:2" x14ac:dyDescent="0.25">
      <c r="A2753" s="201"/>
      <c r="B2753" s="201"/>
    </row>
    <row r="2754" spans="1:2" x14ac:dyDescent="0.25">
      <c r="A2754" s="201"/>
      <c r="B2754" s="201"/>
    </row>
    <row r="2755" spans="1:2" x14ac:dyDescent="0.25">
      <c r="A2755" s="201"/>
      <c r="B2755" s="201"/>
    </row>
    <row r="2756" spans="1:2" x14ac:dyDescent="0.25">
      <c r="A2756" s="201"/>
      <c r="B2756" s="201"/>
    </row>
    <row r="2757" spans="1:2" x14ac:dyDescent="0.25">
      <c r="A2757" s="201"/>
      <c r="B2757" s="201"/>
    </row>
    <row r="2758" spans="1:2" x14ac:dyDescent="0.25">
      <c r="A2758" s="201"/>
      <c r="B2758" s="201"/>
    </row>
    <row r="2759" spans="1:2" x14ac:dyDescent="0.25">
      <c r="A2759" s="201"/>
      <c r="B2759" s="201"/>
    </row>
    <row r="2760" spans="1:2" x14ac:dyDescent="0.25">
      <c r="A2760" s="201"/>
      <c r="B2760" s="201"/>
    </row>
    <row r="2761" spans="1:2" x14ac:dyDescent="0.25">
      <c r="A2761" s="201"/>
      <c r="B2761" s="201"/>
    </row>
    <row r="2762" spans="1:2" x14ac:dyDescent="0.25">
      <c r="A2762" s="201"/>
      <c r="B2762" s="201"/>
    </row>
    <row r="2763" spans="1:2" x14ac:dyDescent="0.25">
      <c r="A2763" s="201"/>
      <c r="B2763" s="201"/>
    </row>
    <row r="2764" spans="1:2" x14ac:dyDescent="0.25">
      <c r="A2764" s="201"/>
      <c r="B2764" s="201"/>
    </row>
    <row r="2765" spans="1:2" x14ac:dyDescent="0.25">
      <c r="A2765" s="201"/>
      <c r="B2765" s="201"/>
    </row>
    <row r="2766" spans="1:2" x14ac:dyDescent="0.25">
      <c r="A2766" s="201"/>
      <c r="B2766" s="201"/>
    </row>
    <row r="2767" spans="1:2" x14ac:dyDescent="0.25">
      <c r="A2767" s="201"/>
      <c r="B2767" s="201"/>
    </row>
    <row r="2768" spans="1:2" x14ac:dyDescent="0.25">
      <c r="A2768" s="201"/>
      <c r="B2768" s="201"/>
    </row>
    <row r="2769" spans="1:2" x14ac:dyDescent="0.25">
      <c r="A2769" s="201"/>
      <c r="B2769" s="201"/>
    </row>
    <row r="2770" spans="1:2" x14ac:dyDescent="0.25">
      <c r="A2770" s="201"/>
      <c r="B2770" s="201"/>
    </row>
    <row r="2771" spans="1:2" x14ac:dyDescent="0.25">
      <c r="A2771" s="201"/>
      <c r="B2771" s="201"/>
    </row>
    <row r="2772" spans="1:2" x14ac:dyDescent="0.25">
      <c r="A2772" s="201"/>
      <c r="B2772" s="201"/>
    </row>
    <row r="2773" spans="1:2" x14ac:dyDescent="0.25">
      <c r="A2773" s="201"/>
      <c r="B2773" s="201"/>
    </row>
    <row r="2774" spans="1:2" x14ac:dyDescent="0.25">
      <c r="A2774" s="201"/>
      <c r="B2774" s="201"/>
    </row>
    <row r="2775" spans="1:2" x14ac:dyDescent="0.25">
      <c r="A2775" s="201"/>
      <c r="B2775" s="201"/>
    </row>
    <row r="2776" spans="1:2" x14ac:dyDescent="0.25">
      <c r="A2776" s="201"/>
      <c r="B2776" s="201"/>
    </row>
    <row r="2777" spans="1:2" x14ac:dyDescent="0.25">
      <c r="A2777" s="201"/>
      <c r="B2777" s="201"/>
    </row>
    <row r="2778" spans="1:2" x14ac:dyDescent="0.25">
      <c r="A2778" s="201"/>
      <c r="B2778" s="201"/>
    </row>
    <row r="2779" spans="1:2" x14ac:dyDescent="0.25">
      <c r="A2779" s="201"/>
      <c r="B2779" s="201"/>
    </row>
    <row r="2780" spans="1:2" x14ac:dyDescent="0.25">
      <c r="A2780" s="201"/>
      <c r="B2780" s="201"/>
    </row>
    <row r="2781" spans="1:2" x14ac:dyDescent="0.25">
      <c r="A2781" s="201"/>
      <c r="B2781" s="201"/>
    </row>
    <row r="2782" spans="1:2" x14ac:dyDescent="0.25">
      <c r="A2782" s="201"/>
      <c r="B2782" s="201"/>
    </row>
    <row r="2783" spans="1:2" x14ac:dyDescent="0.25">
      <c r="A2783" s="201"/>
      <c r="B2783" s="201"/>
    </row>
    <row r="2784" spans="1:2" x14ac:dyDescent="0.25">
      <c r="A2784" s="201"/>
      <c r="B2784" s="201"/>
    </row>
    <row r="2785" spans="1:2" x14ac:dyDescent="0.25">
      <c r="A2785" s="201"/>
      <c r="B2785" s="201"/>
    </row>
    <row r="2786" spans="1:2" x14ac:dyDescent="0.25">
      <c r="A2786" s="201"/>
      <c r="B2786" s="201"/>
    </row>
    <row r="2787" spans="1:2" x14ac:dyDescent="0.25">
      <c r="A2787" s="201"/>
      <c r="B2787" s="201"/>
    </row>
    <row r="2788" spans="1:2" x14ac:dyDescent="0.25">
      <c r="A2788" s="201"/>
      <c r="B2788" s="201"/>
    </row>
    <row r="2789" spans="1:2" x14ac:dyDescent="0.25">
      <c r="A2789" s="201"/>
      <c r="B2789" s="201"/>
    </row>
    <row r="2790" spans="1:2" x14ac:dyDescent="0.25">
      <c r="A2790" s="201"/>
      <c r="B2790" s="201"/>
    </row>
    <row r="2791" spans="1:2" x14ac:dyDescent="0.25">
      <c r="A2791" s="201"/>
      <c r="B2791" s="201"/>
    </row>
    <row r="2792" spans="1:2" x14ac:dyDescent="0.25">
      <c r="A2792" s="201"/>
      <c r="B2792" s="201"/>
    </row>
    <row r="2793" spans="1:2" x14ac:dyDescent="0.25">
      <c r="A2793" s="201"/>
      <c r="B2793" s="201"/>
    </row>
    <row r="2794" spans="1:2" x14ac:dyDescent="0.25">
      <c r="A2794" s="201"/>
      <c r="B2794" s="201"/>
    </row>
    <row r="2795" spans="1:2" x14ac:dyDescent="0.25">
      <c r="A2795" s="201"/>
      <c r="B2795" s="201"/>
    </row>
    <row r="2796" spans="1:2" x14ac:dyDescent="0.25">
      <c r="A2796" s="201"/>
      <c r="B2796" s="201"/>
    </row>
    <row r="2797" spans="1:2" x14ac:dyDescent="0.25">
      <c r="A2797" s="201"/>
      <c r="B2797" s="201"/>
    </row>
    <row r="2798" spans="1:2" x14ac:dyDescent="0.25">
      <c r="A2798" s="201"/>
      <c r="B2798" s="201"/>
    </row>
    <row r="2799" spans="1:2" x14ac:dyDescent="0.25">
      <c r="A2799" s="201"/>
      <c r="B2799" s="201"/>
    </row>
    <row r="2800" spans="1:2" x14ac:dyDescent="0.25">
      <c r="A2800" s="201"/>
      <c r="B2800" s="201"/>
    </row>
    <row r="2801" spans="1:2" x14ac:dyDescent="0.25">
      <c r="A2801" s="201"/>
      <c r="B2801" s="201"/>
    </row>
    <row r="2802" spans="1:2" x14ac:dyDescent="0.25">
      <c r="A2802" s="201"/>
      <c r="B2802" s="201"/>
    </row>
    <row r="2803" spans="1:2" x14ac:dyDescent="0.25">
      <c r="A2803" s="201"/>
      <c r="B2803" s="201"/>
    </row>
    <row r="2804" spans="1:2" x14ac:dyDescent="0.25">
      <c r="A2804" s="201"/>
      <c r="B2804" s="201"/>
    </row>
    <row r="2805" spans="1:2" x14ac:dyDescent="0.25">
      <c r="A2805" s="201"/>
      <c r="B2805" s="201"/>
    </row>
    <row r="2806" spans="1:2" x14ac:dyDescent="0.25">
      <c r="A2806" s="201"/>
      <c r="B2806" s="201"/>
    </row>
    <row r="2807" spans="1:2" x14ac:dyDescent="0.25">
      <c r="A2807" s="201"/>
      <c r="B2807" s="201"/>
    </row>
    <row r="2808" spans="1:2" x14ac:dyDescent="0.25">
      <c r="A2808" s="201"/>
      <c r="B2808" s="201"/>
    </row>
    <row r="2809" spans="1:2" x14ac:dyDescent="0.25">
      <c r="A2809" s="201"/>
      <c r="B2809" s="201"/>
    </row>
    <row r="2810" spans="1:2" x14ac:dyDescent="0.25">
      <c r="A2810" s="201"/>
      <c r="B2810" s="201"/>
    </row>
    <row r="2811" spans="1:2" x14ac:dyDescent="0.25">
      <c r="A2811" s="201"/>
      <c r="B2811" s="201"/>
    </row>
    <row r="2812" spans="1:2" x14ac:dyDescent="0.25">
      <c r="A2812" s="201"/>
      <c r="B2812" s="201"/>
    </row>
    <row r="2813" spans="1:2" x14ac:dyDescent="0.25">
      <c r="A2813" s="201"/>
      <c r="B2813" s="201"/>
    </row>
    <row r="2814" spans="1:2" x14ac:dyDescent="0.25">
      <c r="A2814" s="201"/>
      <c r="B2814" s="201"/>
    </row>
    <row r="2815" spans="1:2" x14ac:dyDescent="0.25">
      <c r="A2815" s="201"/>
      <c r="B2815" s="201"/>
    </row>
    <row r="2816" spans="1:2" x14ac:dyDescent="0.25">
      <c r="A2816" s="201"/>
      <c r="B2816" s="201"/>
    </row>
    <row r="2817" spans="1:2" x14ac:dyDescent="0.25">
      <c r="A2817" s="201"/>
      <c r="B2817" s="201"/>
    </row>
    <row r="2818" spans="1:2" x14ac:dyDescent="0.25">
      <c r="A2818" s="201"/>
      <c r="B2818" s="201"/>
    </row>
    <row r="2819" spans="1:2" x14ac:dyDescent="0.25">
      <c r="A2819" s="201"/>
      <c r="B2819" s="201"/>
    </row>
    <row r="2820" spans="1:2" x14ac:dyDescent="0.25">
      <c r="A2820" s="201"/>
      <c r="B2820" s="201"/>
    </row>
    <row r="2821" spans="1:2" x14ac:dyDescent="0.25">
      <c r="A2821" s="201"/>
      <c r="B2821" s="201"/>
    </row>
    <row r="2822" spans="1:2" x14ac:dyDescent="0.25">
      <c r="A2822" s="201"/>
      <c r="B2822" s="201"/>
    </row>
    <row r="2823" spans="1:2" x14ac:dyDescent="0.25">
      <c r="A2823" s="201"/>
      <c r="B2823" s="201"/>
    </row>
    <row r="2824" spans="1:2" x14ac:dyDescent="0.25">
      <c r="A2824" s="201"/>
      <c r="B2824" s="201"/>
    </row>
    <row r="2825" spans="1:2" x14ac:dyDescent="0.25">
      <c r="A2825" s="201"/>
      <c r="B2825" s="201"/>
    </row>
    <row r="2826" spans="1:2" x14ac:dyDescent="0.25">
      <c r="A2826" s="201"/>
      <c r="B2826" s="201"/>
    </row>
    <row r="2827" spans="1:2" x14ac:dyDescent="0.25">
      <c r="A2827" s="201"/>
      <c r="B2827" s="201"/>
    </row>
    <row r="2828" spans="1:2" x14ac:dyDescent="0.25">
      <c r="A2828" s="201"/>
      <c r="B2828" s="201"/>
    </row>
    <row r="2829" spans="1:2" x14ac:dyDescent="0.25">
      <c r="A2829" s="201"/>
      <c r="B2829" s="201"/>
    </row>
    <row r="2830" spans="1:2" x14ac:dyDescent="0.25">
      <c r="A2830" s="201"/>
      <c r="B2830" s="201"/>
    </row>
    <row r="2831" spans="1:2" x14ac:dyDescent="0.25">
      <c r="A2831" s="201"/>
      <c r="B2831" s="201"/>
    </row>
    <row r="2832" spans="1:2" x14ac:dyDescent="0.25">
      <c r="A2832" s="201"/>
      <c r="B2832" s="201"/>
    </row>
    <row r="2833" spans="1:2" x14ac:dyDescent="0.25">
      <c r="A2833" s="201"/>
      <c r="B2833" s="201"/>
    </row>
    <row r="2834" spans="1:2" x14ac:dyDescent="0.25">
      <c r="A2834" s="201"/>
      <c r="B2834" s="201"/>
    </row>
    <row r="2835" spans="1:2" x14ac:dyDescent="0.25">
      <c r="A2835" s="201"/>
      <c r="B2835" s="201"/>
    </row>
    <row r="2836" spans="1:2" x14ac:dyDescent="0.25">
      <c r="A2836" s="201"/>
      <c r="B2836" s="201"/>
    </row>
    <row r="2837" spans="1:2" x14ac:dyDescent="0.25">
      <c r="A2837" s="201"/>
      <c r="B2837" s="201"/>
    </row>
    <row r="2838" spans="1:2" x14ac:dyDescent="0.25">
      <c r="A2838" s="201"/>
      <c r="B2838" s="201"/>
    </row>
    <row r="2839" spans="1:2" x14ac:dyDescent="0.25">
      <c r="A2839" s="201"/>
      <c r="B2839" s="201"/>
    </row>
    <row r="2840" spans="1:2" x14ac:dyDescent="0.25">
      <c r="A2840" s="201"/>
      <c r="B2840" s="201"/>
    </row>
    <row r="2841" spans="1:2" x14ac:dyDescent="0.25">
      <c r="A2841" s="201"/>
      <c r="B2841" s="201"/>
    </row>
    <row r="2842" spans="1:2" x14ac:dyDescent="0.25">
      <c r="A2842" s="201"/>
      <c r="B2842" s="201"/>
    </row>
    <row r="2843" spans="1:2" x14ac:dyDescent="0.25">
      <c r="A2843" s="201"/>
      <c r="B2843" s="201"/>
    </row>
    <row r="2844" spans="1:2" x14ac:dyDescent="0.25">
      <c r="A2844" s="201"/>
      <c r="B2844" s="201"/>
    </row>
    <row r="2845" spans="1:2" x14ac:dyDescent="0.25">
      <c r="A2845" s="201"/>
      <c r="B2845" s="201"/>
    </row>
    <row r="2846" spans="1:2" x14ac:dyDescent="0.25">
      <c r="A2846" s="201"/>
      <c r="B2846" s="201"/>
    </row>
    <row r="2847" spans="1:2" x14ac:dyDescent="0.25">
      <c r="A2847" s="201"/>
      <c r="B2847" s="201"/>
    </row>
    <row r="2848" spans="1:2" x14ac:dyDescent="0.25">
      <c r="A2848" s="201"/>
      <c r="B2848" s="201"/>
    </row>
    <row r="2849" spans="1:2" x14ac:dyDescent="0.25">
      <c r="A2849" s="201"/>
      <c r="B2849" s="201"/>
    </row>
    <row r="2850" spans="1:2" x14ac:dyDescent="0.25">
      <c r="A2850" s="201"/>
      <c r="B2850" s="201"/>
    </row>
    <row r="2851" spans="1:2" x14ac:dyDescent="0.25">
      <c r="A2851" s="201"/>
      <c r="B2851" s="201"/>
    </row>
    <row r="2852" spans="1:2" x14ac:dyDescent="0.25">
      <c r="A2852" s="201"/>
      <c r="B2852" s="201"/>
    </row>
    <row r="2853" spans="1:2" x14ac:dyDescent="0.25">
      <c r="A2853" s="201"/>
      <c r="B2853" s="201"/>
    </row>
    <row r="2854" spans="1:2" x14ac:dyDescent="0.25">
      <c r="A2854" s="201"/>
      <c r="B2854" s="201"/>
    </row>
    <row r="2855" spans="1:2" x14ac:dyDescent="0.25">
      <c r="A2855" s="201"/>
      <c r="B2855" s="201"/>
    </row>
    <row r="2856" spans="1:2" x14ac:dyDescent="0.25">
      <c r="A2856" s="201"/>
      <c r="B2856" s="201"/>
    </row>
    <row r="2857" spans="1:2" x14ac:dyDescent="0.25">
      <c r="A2857" s="201"/>
      <c r="B2857" s="201"/>
    </row>
    <row r="2858" spans="1:2" x14ac:dyDescent="0.25">
      <c r="A2858" s="201"/>
      <c r="B2858" s="201"/>
    </row>
    <row r="2859" spans="1:2" x14ac:dyDescent="0.25">
      <c r="A2859" s="201"/>
      <c r="B2859" s="201"/>
    </row>
    <row r="2860" spans="1:2" x14ac:dyDescent="0.25">
      <c r="A2860" s="201"/>
      <c r="B2860" s="201"/>
    </row>
    <row r="2861" spans="1:2" x14ac:dyDescent="0.25">
      <c r="A2861" s="201"/>
      <c r="B2861" s="201"/>
    </row>
    <row r="2862" spans="1:2" x14ac:dyDescent="0.25">
      <c r="A2862" s="201"/>
      <c r="B2862" s="201"/>
    </row>
    <row r="2863" spans="1:2" x14ac:dyDescent="0.25">
      <c r="A2863" s="201"/>
      <c r="B2863" s="201"/>
    </row>
    <row r="2864" spans="1:2" x14ac:dyDescent="0.25">
      <c r="A2864" s="201"/>
      <c r="B2864" s="201"/>
    </row>
    <row r="2865" spans="1:2" x14ac:dyDescent="0.25">
      <c r="A2865" s="201"/>
      <c r="B2865" s="201"/>
    </row>
    <row r="2866" spans="1:2" x14ac:dyDescent="0.25">
      <c r="A2866" s="201"/>
      <c r="B2866" s="201"/>
    </row>
    <row r="2867" spans="1:2" x14ac:dyDescent="0.25">
      <c r="A2867" s="201"/>
      <c r="B2867" s="201"/>
    </row>
    <row r="2868" spans="1:2" x14ac:dyDescent="0.25">
      <c r="A2868" s="201"/>
      <c r="B2868" s="201"/>
    </row>
    <row r="2869" spans="1:2" x14ac:dyDescent="0.25">
      <c r="A2869" s="201"/>
      <c r="B2869" s="201"/>
    </row>
    <row r="2870" spans="1:2" x14ac:dyDescent="0.25">
      <c r="A2870" s="201"/>
      <c r="B2870" s="201"/>
    </row>
    <row r="2871" spans="1:2" x14ac:dyDescent="0.25">
      <c r="A2871" s="201"/>
      <c r="B2871" s="201"/>
    </row>
    <row r="2872" spans="1:2" x14ac:dyDescent="0.25">
      <c r="A2872" s="201"/>
      <c r="B2872" s="201"/>
    </row>
    <row r="2873" spans="1:2" x14ac:dyDescent="0.25">
      <c r="A2873" s="201"/>
      <c r="B2873" s="201"/>
    </row>
    <row r="2874" spans="1:2" x14ac:dyDescent="0.25">
      <c r="A2874" s="201"/>
      <c r="B2874" s="201"/>
    </row>
    <row r="2875" spans="1:2" x14ac:dyDescent="0.25">
      <c r="A2875" s="201"/>
      <c r="B2875" s="201"/>
    </row>
    <row r="2876" spans="1:2" x14ac:dyDescent="0.25">
      <c r="A2876" s="201"/>
      <c r="B2876" s="201"/>
    </row>
    <row r="2877" spans="1:2" x14ac:dyDescent="0.25">
      <c r="A2877" s="201"/>
      <c r="B2877" s="201"/>
    </row>
    <row r="2878" spans="1:2" x14ac:dyDescent="0.25">
      <c r="A2878" s="201"/>
      <c r="B2878" s="201"/>
    </row>
    <row r="2879" spans="1:2" x14ac:dyDescent="0.25">
      <c r="A2879" s="201"/>
      <c r="B2879" s="201"/>
    </row>
    <row r="2880" spans="1:2" x14ac:dyDescent="0.25">
      <c r="A2880" s="201"/>
      <c r="B2880" s="201"/>
    </row>
    <row r="2881" spans="1:2" x14ac:dyDescent="0.25">
      <c r="A2881" s="201"/>
      <c r="B2881" s="201"/>
    </row>
    <row r="2882" spans="1:2" x14ac:dyDescent="0.25">
      <c r="A2882" s="201"/>
      <c r="B2882" s="201"/>
    </row>
    <row r="2883" spans="1:2" x14ac:dyDescent="0.25">
      <c r="A2883" s="201"/>
      <c r="B2883" s="201"/>
    </row>
    <row r="2884" spans="1:2" x14ac:dyDescent="0.25">
      <c r="A2884" s="201"/>
      <c r="B2884" s="201"/>
    </row>
    <row r="2885" spans="1:2" x14ac:dyDescent="0.25">
      <c r="A2885" s="201"/>
      <c r="B2885" s="201"/>
    </row>
    <row r="2886" spans="1:2" x14ac:dyDescent="0.25">
      <c r="A2886" s="201"/>
      <c r="B2886" s="201"/>
    </row>
    <row r="2887" spans="1:2" x14ac:dyDescent="0.25">
      <c r="A2887" s="201"/>
      <c r="B2887" s="201"/>
    </row>
    <row r="2888" spans="1:2" x14ac:dyDescent="0.25">
      <c r="A2888" s="201"/>
      <c r="B2888" s="201"/>
    </row>
    <row r="2889" spans="1:2" x14ac:dyDescent="0.25">
      <c r="A2889" s="201"/>
      <c r="B2889" s="201"/>
    </row>
    <row r="2890" spans="1:2" x14ac:dyDescent="0.25">
      <c r="A2890" s="201"/>
      <c r="B2890" s="201"/>
    </row>
    <row r="2891" spans="1:2" x14ac:dyDescent="0.25">
      <c r="A2891" s="201"/>
      <c r="B2891" s="201"/>
    </row>
    <row r="2892" spans="1:2" x14ac:dyDescent="0.25">
      <c r="A2892" s="201"/>
      <c r="B2892" s="201"/>
    </row>
    <row r="2893" spans="1:2" x14ac:dyDescent="0.25">
      <c r="A2893" s="201"/>
      <c r="B2893" s="201"/>
    </row>
    <row r="2894" spans="1:2" x14ac:dyDescent="0.25">
      <c r="A2894" s="201"/>
      <c r="B2894" s="201"/>
    </row>
    <row r="2895" spans="1:2" x14ac:dyDescent="0.25">
      <c r="A2895" s="201"/>
      <c r="B2895" s="201"/>
    </row>
    <row r="2896" spans="1:2" x14ac:dyDescent="0.25">
      <c r="A2896" s="201"/>
      <c r="B2896" s="201"/>
    </row>
    <row r="2897" spans="1:2" x14ac:dyDescent="0.25">
      <c r="A2897" s="201"/>
      <c r="B2897" s="201"/>
    </row>
    <row r="2898" spans="1:2" x14ac:dyDescent="0.25">
      <c r="A2898" s="201"/>
      <c r="B2898" s="201"/>
    </row>
    <row r="2899" spans="1:2" x14ac:dyDescent="0.25">
      <c r="A2899" s="201"/>
      <c r="B2899" s="201"/>
    </row>
    <row r="2900" spans="1:2" x14ac:dyDescent="0.25">
      <c r="A2900" s="201"/>
      <c r="B2900" s="201"/>
    </row>
    <row r="2901" spans="1:2" x14ac:dyDescent="0.25">
      <c r="A2901" s="201"/>
      <c r="B2901" s="201"/>
    </row>
    <row r="2902" spans="1:2" x14ac:dyDescent="0.25">
      <c r="A2902" s="201"/>
      <c r="B2902" s="201"/>
    </row>
    <row r="2903" spans="1:2" x14ac:dyDescent="0.25">
      <c r="A2903" s="201"/>
      <c r="B2903" s="201"/>
    </row>
    <row r="2904" spans="1:2" x14ac:dyDescent="0.25">
      <c r="A2904" s="201"/>
      <c r="B2904" s="201"/>
    </row>
    <row r="2905" spans="1:2" x14ac:dyDescent="0.25">
      <c r="A2905" s="201"/>
      <c r="B2905" s="201"/>
    </row>
    <row r="2906" spans="1:2" x14ac:dyDescent="0.25">
      <c r="A2906" s="201"/>
      <c r="B2906" s="201"/>
    </row>
    <row r="2907" spans="1:2" x14ac:dyDescent="0.25">
      <c r="A2907" s="201"/>
      <c r="B2907" s="201"/>
    </row>
    <row r="2908" spans="1:2" x14ac:dyDescent="0.25">
      <c r="A2908" s="201"/>
      <c r="B2908" s="201"/>
    </row>
    <row r="2909" spans="1:2" x14ac:dyDescent="0.25">
      <c r="A2909" s="201"/>
      <c r="B2909" s="201"/>
    </row>
    <row r="2910" spans="1:2" x14ac:dyDescent="0.25">
      <c r="A2910" s="201"/>
      <c r="B2910" s="201"/>
    </row>
    <row r="2911" spans="1:2" x14ac:dyDescent="0.25">
      <c r="A2911" s="201"/>
      <c r="B2911" s="201"/>
    </row>
    <row r="2912" spans="1:2" x14ac:dyDescent="0.25">
      <c r="A2912" s="201"/>
      <c r="B2912" s="201"/>
    </row>
    <row r="2913" spans="1:2" x14ac:dyDescent="0.25">
      <c r="A2913" s="201"/>
      <c r="B2913" s="201"/>
    </row>
    <row r="2914" spans="1:2" x14ac:dyDescent="0.25">
      <c r="A2914" s="201"/>
      <c r="B2914" s="201"/>
    </row>
    <row r="2915" spans="1:2" x14ac:dyDescent="0.25">
      <c r="A2915" s="201"/>
      <c r="B2915" s="201"/>
    </row>
    <row r="2916" spans="1:2" x14ac:dyDescent="0.25">
      <c r="A2916" s="201"/>
      <c r="B2916" s="201"/>
    </row>
    <row r="2917" spans="1:2" x14ac:dyDescent="0.25">
      <c r="A2917" s="201"/>
      <c r="B2917" s="201"/>
    </row>
    <row r="2918" spans="1:2" x14ac:dyDescent="0.25">
      <c r="A2918" s="201"/>
      <c r="B2918" s="201"/>
    </row>
    <row r="2919" spans="1:2" x14ac:dyDescent="0.25">
      <c r="A2919" s="201"/>
      <c r="B2919" s="201"/>
    </row>
    <row r="2920" spans="1:2" x14ac:dyDescent="0.25">
      <c r="A2920" s="201"/>
      <c r="B2920" s="201"/>
    </row>
    <row r="2921" spans="1:2" x14ac:dyDescent="0.25">
      <c r="A2921" s="201"/>
      <c r="B2921" s="201"/>
    </row>
    <row r="2922" spans="1:2" x14ac:dyDescent="0.25">
      <c r="A2922" s="201"/>
      <c r="B2922" s="201"/>
    </row>
    <row r="2923" spans="1:2" x14ac:dyDescent="0.25">
      <c r="A2923" s="201"/>
      <c r="B2923" s="201"/>
    </row>
    <row r="2924" spans="1:2" x14ac:dyDescent="0.25">
      <c r="A2924" s="201"/>
      <c r="B2924" s="201"/>
    </row>
    <row r="2925" spans="1:2" x14ac:dyDescent="0.25">
      <c r="A2925" s="201"/>
      <c r="B2925" s="201"/>
    </row>
    <row r="2926" spans="1:2" x14ac:dyDescent="0.25">
      <c r="A2926" s="201"/>
      <c r="B2926" s="201"/>
    </row>
    <row r="2927" spans="1:2" x14ac:dyDescent="0.25">
      <c r="A2927" s="201"/>
      <c r="B2927" s="201"/>
    </row>
    <row r="2928" spans="1:2" x14ac:dyDescent="0.25">
      <c r="A2928" s="201"/>
      <c r="B2928" s="201"/>
    </row>
    <row r="2929" spans="1:2" x14ac:dyDescent="0.25">
      <c r="A2929" s="201"/>
      <c r="B2929" s="201"/>
    </row>
    <row r="2930" spans="1:2" x14ac:dyDescent="0.25">
      <c r="A2930" s="201"/>
      <c r="B2930" s="201"/>
    </row>
    <row r="2931" spans="1:2" x14ac:dyDescent="0.25">
      <c r="A2931" s="201"/>
      <c r="B2931" s="201"/>
    </row>
    <row r="2932" spans="1:2" x14ac:dyDescent="0.25">
      <c r="A2932" s="201"/>
      <c r="B2932" s="201"/>
    </row>
    <row r="2933" spans="1:2" x14ac:dyDescent="0.25">
      <c r="A2933" s="201"/>
      <c r="B2933" s="201"/>
    </row>
    <row r="2934" spans="1:2" x14ac:dyDescent="0.25">
      <c r="A2934" s="201"/>
      <c r="B2934" s="201"/>
    </row>
    <row r="2935" spans="1:2" x14ac:dyDescent="0.25">
      <c r="A2935" s="201"/>
      <c r="B2935" s="201"/>
    </row>
    <row r="2936" spans="1:2" x14ac:dyDescent="0.25">
      <c r="A2936" s="201"/>
      <c r="B2936" s="201"/>
    </row>
    <row r="2937" spans="1:2" x14ac:dyDescent="0.25">
      <c r="A2937" s="201"/>
      <c r="B2937" s="201"/>
    </row>
    <row r="2938" spans="1:2" x14ac:dyDescent="0.25">
      <c r="A2938" s="201"/>
      <c r="B2938" s="201"/>
    </row>
    <row r="2939" spans="1:2" x14ac:dyDescent="0.25">
      <c r="A2939" s="201"/>
      <c r="B2939" s="201"/>
    </row>
    <row r="2940" spans="1:2" x14ac:dyDescent="0.25">
      <c r="A2940" s="201"/>
      <c r="B2940" s="201"/>
    </row>
    <row r="2941" spans="1:2" x14ac:dyDescent="0.25">
      <c r="A2941" s="201"/>
      <c r="B2941" s="201"/>
    </row>
    <row r="2942" spans="1:2" x14ac:dyDescent="0.25">
      <c r="A2942" s="201"/>
      <c r="B2942" s="201"/>
    </row>
    <row r="2943" spans="1:2" x14ac:dyDescent="0.25">
      <c r="A2943" s="201"/>
      <c r="B2943" s="201"/>
    </row>
    <row r="2944" spans="1:2" x14ac:dyDescent="0.25">
      <c r="A2944" s="201"/>
      <c r="B2944" s="201"/>
    </row>
    <row r="2945" spans="1:2" x14ac:dyDescent="0.25">
      <c r="A2945" s="201"/>
      <c r="B2945" s="201"/>
    </row>
    <row r="2946" spans="1:2" x14ac:dyDescent="0.25">
      <c r="A2946" s="201"/>
      <c r="B2946" s="201"/>
    </row>
    <row r="2947" spans="1:2" x14ac:dyDescent="0.25">
      <c r="A2947" s="201"/>
      <c r="B2947" s="201"/>
    </row>
    <row r="2948" spans="1:2" x14ac:dyDescent="0.25">
      <c r="A2948" s="201"/>
      <c r="B2948" s="201"/>
    </row>
    <row r="2949" spans="1:2" x14ac:dyDescent="0.25">
      <c r="A2949" s="201"/>
      <c r="B2949" s="201"/>
    </row>
    <row r="2950" spans="1:2" x14ac:dyDescent="0.25">
      <c r="A2950" s="201"/>
      <c r="B2950" s="201"/>
    </row>
    <row r="2951" spans="1:2" x14ac:dyDescent="0.25">
      <c r="A2951" s="201"/>
      <c r="B2951" s="201"/>
    </row>
    <row r="2952" spans="1:2" x14ac:dyDescent="0.25">
      <c r="A2952" s="201"/>
      <c r="B2952" s="201"/>
    </row>
    <row r="2953" spans="1:2" x14ac:dyDescent="0.25">
      <c r="A2953" s="201"/>
      <c r="B2953" s="201"/>
    </row>
    <row r="2954" spans="1:2" x14ac:dyDescent="0.25">
      <c r="A2954" s="201"/>
      <c r="B2954" s="201"/>
    </row>
    <row r="2955" spans="1:2" x14ac:dyDescent="0.25">
      <c r="A2955" s="201"/>
      <c r="B2955" s="201"/>
    </row>
    <row r="2956" spans="1:2" x14ac:dyDescent="0.25">
      <c r="A2956" s="201"/>
      <c r="B2956" s="201"/>
    </row>
    <row r="2957" spans="1:2" x14ac:dyDescent="0.25">
      <c r="A2957" s="201"/>
      <c r="B2957" s="201"/>
    </row>
    <row r="2958" spans="1:2" x14ac:dyDescent="0.25">
      <c r="A2958" s="201"/>
      <c r="B2958" s="201"/>
    </row>
    <row r="2959" spans="1:2" x14ac:dyDescent="0.25">
      <c r="A2959" s="201"/>
      <c r="B2959" s="201"/>
    </row>
    <row r="2960" spans="1:2" x14ac:dyDescent="0.25">
      <c r="A2960" s="201"/>
      <c r="B2960" s="201"/>
    </row>
    <row r="2961" spans="1:2" x14ac:dyDescent="0.25">
      <c r="A2961" s="201"/>
      <c r="B2961" s="201"/>
    </row>
    <row r="2962" spans="1:2" x14ac:dyDescent="0.25">
      <c r="A2962" s="201"/>
      <c r="B2962" s="201"/>
    </row>
    <row r="2963" spans="1:2" x14ac:dyDescent="0.25">
      <c r="A2963" s="201"/>
      <c r="B2963" s="201"/>
    </row>
    <row r="2964" spans="1:2" x14ac:dyDescent="0.25">
      <c r="A2964" s="201"/>
      <c r="B2964" s="201"/>
    </row>
    <row r="2965" spans="1:2" x14ac:dyDescent="0.25">
      <c r="A2965" s="201"/>
      <c r="B2965" s="201"/>
    </row>
    <row r="2966" spans="1:2" x14ac:dyDescent="0.25">
      <c r="A2966" s="201"/>
      <c r="B2966" s="201"/>
    </row>
    <row r="2967" spans="1:2" x14ac:dyDescent="0.25">
      <c r="A2967" s="201"/>
      <c r="B2967" s="201"/>
    </row>
    <row r="2968" spans="1:2" x14ac:dyDescent="0.25">
      <c r="A2968" s="201"/>
      <c r="B2968" s="201"/>
    </row>
    <row r="2969" spans="1:2" x14ac:dyDescent="0.25">
      <c r="A2969" s="201"/>
      <c r="B2969" s="201"/>
    </row>
    <row r="2970" spans="1:2" x14ac:dyDescent="0.25">
      <c r="A2970" s="201"/>
      <c r="B2970" s="201"/>
    </row>
    <row r="2971" spans="1:2" x14ac:dyDescent="0.25">
      <c r="A2971" s="201"/>
      <c r="B2971" s="201"/>
    </row>
    <row r="2972" spans="1:2" x14ac:dyDescent="0.25">
      <c r="A2972" s="201"/>
      <c r="B2972" s="201"/>
    </row>
    <row r="2973" spans="1:2" x14ac:dyDescent="0.25">
      <c r="A2973" s="201"/>
      <c r="B2973" s="201"/>
    </row>
    <row r="2974" spans="1:2" x14ac:dyDescent="0.25">
      <c r="A2974" s="201"/>
      <c r="B2974" s="201"/>
    </row>
    <row r="2975" spans="1:2" x14ac:dyDescent="0.25">
      <c r="A2975" s="201"/>
      <c r="B2975" s="201"/>
    </row>
    <row r="2976" spans="1:2" x14ac:dyDescent="0.25">
      <c r="A2976" s="201"/>
      <c r="B2976" s="201"/>
    </row>
    <row r="2977" spans="1:2" x14ac:dyDescent="0.25">
      <c r="A2977" s="201"/>
      <c r="B2977" s="201"/>
    </row>
    <row r="2978" spans="1:2" x14ac:dyDescent="0.25">
      <c r="A2978" s="201"/>
      <c r="B2978" s="201"/>
    </row>
    <row r="2979" spans="1:2" x14ac:dyDescent="0.25">
      <c r="A2979" s="201"/>
      <c r="B2979" s="201"/>
    </row>
    <row r="2980" spans="1:2" x14ac:dyDescent="0.25">
      <c r="A2980" s="201"/>
      <c r="B2980" s="201"/>
    </row>
    <row r="2981" spans="1:2" x14ac:dyDescent="0.25">
      <c r="A2981" s="201"/>
      <c r="B2981" s="201"/>
    </row>
    <row r="2982" spans="1:2" x14ac:dyDescent="0.25">
      <c r="A2982" s="201"/>
      <c r="B2982" s="201"/>
    </row>
    <row r="2983" spans="1:2" x14ac:dyDescent="0.25">
      <c r="A2983" s="201"/>
      <c r="B2983" s="201"/>
    </row>
    <row r="2984" spans="1:2" x14ac:dyDescent="0.25">
      <c r="A2984" s="201"/>
      <c r="B2984" s="201"/>
    </row>
    <row r="2985" spans="1:2" x14ac:dyDescent="0.25">
      <c r="A2985" s="201"/>
      <c r="B2985" s="201"/>
    </row>
    <row r="2986" spans="1:2" x14ac:dyDescent="0.25">
      <c r="A2986" s="201"/>
      <c r="B2986" s="201"/>
    </row>
    <row r="2987" spans="1:2" x14ac:dyDescent="0.25">
      <c r="A2987" s="201"/>
      <c r="B2987" s="201"/>
    </row>
    <row r="2988" spans="1:2" x14ac:dyDescent="0.25">
      <c r="A2988" s="201"/>
      <c r="B2988" s="201"/>
    </row>
    <row r="2989" spans="1:2" x14ac:dyDescent="0.25">
      <c r="A2989" s="201"/>
      <c r="B2989" s="201"/>
    </row>
    <row r="2990" spans="1:2" x14ac:dyDescent="0.25">
      <c r="A2990" s="201"/>
      <c r="B2990" s="201"/>
    </row>
    <row r="2991" spans="1:2" x14ac:dyDescent="0.25">
      <c r="A2991" s="201"/>
      <c r="B2991" s="201"/>
    </row>
    <row r="2992" spans="1:2" x14ac:dyDescent="0.25">
      <c r="A2992" s="201"/>
      <c r="B2992" s="201"/>
    </row>
    <row r="2993" spans="1:2" x14ac:dyDescent="0.25">
      <c r="A2993" s="201"/>
      <c r="B2993" s="201"/>
    </row>
    <row r="2994" spans="1:2" x14ac:dyDescent="0.25">
      <c r="A2994" s="201"/>
      <c r="B2994" s="201"/>
    </row>
    <row r="2995" spans="1:2" x14ac:dyDescent="0.25">
      <c r="A2995" s="201"/>
      <c r="B2995" s="201"/>
    </row>
    <row r="2996" spans="1:2" x14ac:dyDescent="0.25">
      <c r="A2996" s="201"/>
      <c r="B2996" s="201"/>
    </row>
    <row r="2997" spans="1:2" x14ac:dyDescent="0.25">
      <c r="A2997" s="201"/>
      <c r="B2997" s="201"/>
    </row>
    <row r="2998" spans="1:2" x14ac:dyDescent="0.25">
      <c r="A2998" s="201"/>
      <c r="B2998" s="201"/>
    </row>
    <row r="2999" spans="1:2" x14ac:dyDescent="0.25">
      <c r="A2999" s="201"/>
      <c r="B2999" s="201"/>
    </row>
    <row r="3000" spans="1:2" x14ac:dyDescent="0.25">
      <c r="A3000" s="201"/>
      <c r="B3000" s="201"/>
    </row>
    <row r="3001" spans="1:2" x14ac:dyDescent="0.25">
      <c r="A3001" s="201"/>
      <c r="B3001" s="201"/>
    </row>
    <row r="3002" spans="1:2" x14ac:dyDescent="0.25">
      <c r="A3002" s="201"/>
      <c r="B3002" s="201"/>
    </row>
    <row r="3003" spans="1:2" x14ac:dyDescent="0.25">
      <c r="A3003" s="201"/>
      <c r="B3003" s="201"/>
    </row>
    <row r="3004" spans="1:2" x14ac:dyDescent="0.25">
      <c r="A3004" s="201"/>
      <c r="B3004" s="201"/>
    </row>
    <row r="3005" spans="1:2" x14ac:dyDescent="0.25">
      <c r="A3005" s="201"/>
      <c r="B3005" s="201"/>
    </row>
    <row r="3006" spans="1:2" x14ac:dyDescent="0.25">
      <c r="A3006" s="201"/>
      <c r="B3006" s="201"/>
    </row>
    <row r="3007" spans="1:2" x14ac:dyDescent="0.25">
      <c r="A3007" s="201"/>
      <c r="B3007" s="201"/>
    </row>
    <row r="3008" spans="1:2" x14ac:dyDescent="0.25">
      <c r="A3008" s="201"/>
      <c r="B3008" s="201"/>
    </row>
    <row r="3009" spans="1:2" x14ac:dyDescent="0.25">
      <c r="A3009" s="201"/>
      <c r="B3009" s="201"/>
    </row>
    <row r="3010" spans="1:2" x14ac:dyDescent="0.25">
      <c r="A3010" s="201"/>
      <c r="B3010" s="201"/>
    </row>
    <row r="3011" spans="1:2" x14ac:dyDescent="0.25">
      <c r="A3011" s="201"/>
      <c r="B3011" s="201"/>
    </row>
    <row r="3012" spans="1:2" x14ac:dyDescent="0.25">
      <c r="A3012" s="201"/>
      <c r="B3012" s="201"/>
    </row>
    <row r="3013" spans="1:2" x14ac:dyDescent="0.25">
      <c r="A3013" s="201"/>
      <c r="B3013" s="201"/>
    </row>
    <row r="3014" spans="1:2" x14ac:dyDescent="0.25">
      <c r="A3014" s="201"/>
      <c r="B3014" s="201"/>
    </row>
    <row r="3015" spans="1:2" x14ac:dyDescent="0.25">
      <c r="A3015" s="201"/>
      <c r="B3015" s="201"/>
    </row>
    <row r="3016" spans="1:2" x14ac:dyDescent="0.25">
      <c r="A3016" s="201"/>
      <c r="B3016" s="201"/>
    </row>
    <row r="3017" spans="1:2" x14ac:dyDescent="0.25">
      <c r="A3017" s="201"/>
      <c r="B3017" s="201"/>
    </row>
    <row r="3018" spans="1:2" x14ac:dyDescent="0.25">
      <c r="A3018" s="201"/>
      <c r="B3018" s="201"/>
    </row>
    <row r="3019" spans="1:2" x14ac:dyDescent="0.25">
      <c r="A3019" s="201"/>
      <c r="B3019" s="201"/>
    </row>
    <row r="3020" spans="1:2" x14ac:dyDescent="0.25">
      <c r="A3020" s="201"/>
      <c r="B3020" s="201"/>
    </row>
    <row r="3021" spans="1:2" x14ac:dyDescent="0.25">
      <c r="A3021" s="201"/>
      <c r="B3021" s="201"/>
    </row>
    <row r="3022" spans="1:2" x14ac:dyDescent="0.25">
      <c r="A3022" s="201"/>
      <c r="B3022" s="201"/>
    </row>
    <row r="3023" spans="1:2" x14ac:dyDescent="0.25">
      <c r="A3023" s="201"/>
      <c r="B3023" s="201"/>
    </row>
    <row r="3024" spans="1:2" x14ac:dyDescent="0.25">
      <c r="A3024" s="201"/>
      <c r="B3024" s="201"/>
    </row>
    <row r="3025" spans="1:2" x14ac:dyDescent="0.25">
      <c r="A3025" s="201"/>
      <c r="B3025" s="201"/>
    </row>
    <row r="3026" spans="1:2" x14ac:dyDescent="0.25">
      <c r="A3026" s="201"/>
      <c r="B3026" s="201"/>
    </row>
    <row r="3027" spans="1:2" x14ac:dyDescent="0.25">
      <c r="A3027" s="201"/>
      <c r="B3027" s="201"/>
    </row>
    <row r="3028" spans="1:2" x14ac:dyDescent="0.25">
      <c r="A3028" s="201"/>
      <c r="B3028" s="201"/>
    </row>
    <row r="3029" spans="1:2" x14ac:dyDescent="0.25">
      <c r="A3029" s="201"/>
      <c r="B3029" s="201"/>
    </row>
    <row r="3030" spans="1:2" x14ac:dyDescent="0.25">
      <c r="A3030" s="201"/>
      <c r="B3030" s="201"/>
    </row>
    <row r="3031" spans="1:2" x14ac:dyDescent="0.25">
      <c r="A3031" s="201"/>
      <c r="B3031" s="201"/>
    </row>
    <row r="3032" spans="1:2" x14ac:dyDescent="0.25">
      <c r="A3032" s="201"/>
      <c r="B3032" s="201"/>
    </row>
    <row r="3033" spans="1:2" x14ac:dyDescent="0.25">
      <c r="A3033" s="201"/>
      <c r="B3033" s="201"/>
    </row>
    <row r="3034" spans="1:2" x14ac:dyDescent="0.25">
      <c r="A3034" s="201"/>
      <c r="B3034" s="201"/>
    </row>
    <row r="3035" spans="1:2" x14ac:dyDescent="0.25">
      <c r="A3035" s="201"/>
      <c r="B3035" s="201"/>
    </row>
    <row r="3036" spans="1:2" x14ac:dyDescent="0.25">
      <c r="A3036" s="201"/>
      <c r="B3036" s="201"/>
    </row>
    <row r="3037" spans="1:2" x14ac:dyDescent="0.25">
      <c r="A3037" s="201"/>
      <c r="B3037" s="201"/>
    </row>
    <row r="3038" spans="1:2" x14ac:dyDescent="0.25">
      <c r="A3038" s="201"/>
      <c r="B3038" s="201"/>
    </row>
    <row r="3039" spans="1:2" x14ac:dyDescent="0.25">
      <c r="A3039" s="201"/>
      <c r="B3039" s="201"/>
    </row>
    <row r="3040" spans="1:2" x14ac:dyDescent="0.25">
      <c r="A3040" s="201"/>
      <c r="B3040" s="201"/>
    </row>
    <row r="3041" spans="1:2" x14ac:dyDescent="0.25">
      <c r="A3041" s="201"/>
      <c r="B3041" s="201"/>
    </row>
    <row r="3042" spans="1:2" x14ac:dyDescent="0.25">
      <c r="A3042" s="201"/>
      <c r="B3042" s="201"/>
    </row>
    <row r="3043" spans="1:2" x14ac:dyDescent="0.25">
      <c r="A3043" s="201"/>
      <c r="B3043" s="201"/>
    </row>
    <row r="3044" spans="1:2" x14ac:dyDescent="0.25">
      <c r="A3044" s="201"/>
      <c r="B3044" s="201"/>
    </row>
    <row r="3045" spans="1:2" x14ac:dyDescent="0.25">
      <c r="A3045" s="201"/>
      <c r="B3045" s="201"/>
    </row>
    <row r="3046" spans="1:2" x14ac:dyDescent="0.25">
      <c r="A3046" s="201"/>
      <c r="B3046" s="201"/>
    </row>
    <row r="3047" spans="1:2" x14ac:dyDescent="0.25">
      <c r="A3047" s="201"/>
      <c r="B3047" s="201"/>
    </row>
    <row r="3048" spans="1:2" x14ac:dyDescent="0.25">
      <c r="A3048" s="201"/>
      <c r="B3048" s="201"/>
    </row>
    <row r="3049" spans="1:2" x14ac:dyDescent="0.25">
      <c r="A3049" s="201"/>
      <c r="B3049" s="201"/>
    </row>
    <row r="3050" spans="1:2" x14ac:dyDescent="0.25">
      <c r="A3050" s="201"/>
      <c r="B3050" s="201"/>
    </row>
    <row r="3051" spans="1:2" x14ac:dyDescent="0.25">
      <c r="A3051" s="201"/>
      <c r="B3051" s="201"/>
    </row>
    <row r="3052" spans="1:2" x14ac:dyDescent="0.25">
      <c r="A3052" s="201"/>
      <c r="B3052" s="201"/>
    </row>
    <row r="3053" spans="1:2" x14ac:dyDescent="0.25">
      <c r="A3053" s="201"/>
      <c r="B3053" s="201"/>
    </row>
    <row r="3054" spans="1:2" x14ac:dyDescent="0.25">
      <c r="A3054" s="201"/>
      <c r="B3054" s="201"/>
    </row>
    <row r="3055" spans="1:2" x14ac:dyDescent="0.25">
      <c r="A3055" s="201"/>
      <c r="B3055" s="201"/>
    </row>
    <row r="3056" spans="1:2" x14ac:dyDescent="0.25">
      <c r="A3056" s="201"/>
      <c r="B3056" s="201"/>
    </row>
    <row r="3057" spans="1:2" x14ac:dyDescent="0.25">
      <c r="A3057" s="201"/>
      <c r="B3057" s="201"/>
    </row>
    <row r="3058" spans="1:2" x14ac:dyDescent="0.25">
      <c r="A3058" s="201"/>
      <c r="B3058" s="201"/>
    </row>
    <row r="3059" spans="1:2" x14ac:dyDescent="0.25">
      <c r="A3059" s="201"/>
      <c r="B3059" s="201"/>
    </row>
    <row r="3060" spans="1:2" x14ac:dyDescent="0.25">
      <c r="A3060" s="201"/>
      <c r="B3060" s="201"/>
    </row>
    <row r="3061" spans="1:2" x14ac:dyDescent="0.25">
      <c r="A3061" s="201"/>
      <c r="B3061" s="201"/>
    </row>
    <row r="3062" spans="1:2" x14ac:dyDescent="0.25">
      <c r="A3062" s="201"/>
      <c r="B3062" s="201"/>
    </row>
    <row r="3063" spans="1:2" x14ac:dyDescent="0.25">
      <c r="A3063" s="201"/>
      <c r="B3063" s="201"/>
    </row>
    <row r="3064" spans="1:2" x14ac:dyDescent="0.25">
      <c r="A3064" s="201"/>
      <c r="B3064" s="201"/>
    </row>
    <row r="3065" spans="1:2" x14ac:dyDescent="0.25">
      <c r="A3065" s="201"/>
      <c r="B3065" s="201"/>
    </row>
    <row r="3066" spans="1:2" x14ac:dyDescent="0.25">
      <c r="A3066" s="201"/>
      <c r="B3066" s="201"/>
    </row>
    <row r="3067" spans="1:2" x14ac:dyDescent="0.25">
      <c r="A3067" s="201"/>
      <c r="B3067" s="201"/>
    </row>
    <row r="3068" spans="1:2" x14ac:dyDescent="0.25">
      <c r="A3068" s="201"/>
      <c r="B3068" s="201"/>
    </row>
    <row r="3069" spans="1:2" x14ac:dyDescent="0.25">
      <c r="A3069" s="201"/>
      <c r="B3069" s="201"/>
    </row>
    <row r="3070" spans="1:2" x14ac:dyDescent="0.25">
      <c r="A3070" s="201"/>
      <c r="B3070" s="201"/>
    </row>
    <row r="3071" spans="1:2" x14ac:dyDescent="0.25">
      <c r="A3071" s="201"/>
      <c r="B3071" s="201"/>
    </row>
    <row r="3072" spans="1:2" x14ac:dyDescent="0.25">
      <c r="A3072" s="201"/>
      <c r="B3072" s="201"/>
    </row>
    <row r="3073" spans="1:2" x14ac:dyDescent="0.25">
      <c r="A3073" s="201"/>
      <c r="B3073" s="201"/>
    </row>
    <row r="3074" spans="1:2" x14ac:dyDescent="0.25">
      <c r="A3074" s="201"/>
      <c r="B3074" s="201"/>
    </row>
    <row r="3075" spans="1:2" x14ac:dyDescent="0.25">
      <c r="A3075" s="201"/>
      <c r="B3075" s="201"/>
    </row>
    <row r="3076" spans="1:2" x14ac:dyDescent="0.25">
      <c r="A3076" s="201"/>
      <c r="B3076" s="201"/>
    </row>
    <row r="3077" spans="1:2" x14ac:dyDescent="0.25">
      <c r="A3077" s="201"/>
      <c r="B3077" s="201"/>
    </row>
    <row r="3078" spans="1:2" x14ac:dyDescent="0.25">
      <c r="A3078" s="201"/>
      <c r="B3078" s="201"/>
    </row>
    <row r="3079" spans="1:2" x14ac:dyDescent="0.25">
      <c r="A3079" s="201"/>
      <c r="B3079" s="201"/>
    </row>
    <row r="3080" spans="1:2" x14ac:dyDescent="0.25">
      <c r="A3080" s="201"/>
      <c r="B3080" s="201"/>
    </row>
    <row r="3081" spans="1:2" x14ac:dyDescent="0.25">
      <c r="A3081" s="201"/>
      <c r="B3081" s="201"/>
    </row>
    <row r="3082" spans="1:2" x14ac:dyDescent="0.25">
      <c r="A3082" s="201"/>
      <c r="B3082" s="201"/>
    </row>
    <row r="3083" spans="1:2" x14ac:dyDescent="0.25">
      <c r="A3083" s="201"/>
      <c r="B3083" s="201"/>
    </row>
    <row r="3084" spans="1:2" x14ac:dyDescent="0.25">
      <c r="A3084" s="201"/>
      <c r="B3084" s="201"/>
    </row>
    <row r="3085" spans="1:2" x14ac:dyDescent="0.25">
      <c r="A3085" s="201"/>
      <c r="B3085" s="201"/>
    </row>
    <row r="3086" spans="1:2" x14ac:dyDescent="0.25">
      <c r="A3086" s="201"/>
      <c r="B3086" s="201"/>
    </row>
    <row r="3087" spans="1:2" x14ac:dyDescent="0.25">
      <c r="A3087" s="201"/>
      <c r="B3087" s="201"/>
    </row>
    <row r="3088" spans="1:2" x14ac:dyDescent="0.25">
      <c r="A3088" s="201"/>
      <c r="B3088" s="201"/>
    </row>
    <row r="3089" spans="1:2" x14ac:dyDescent="0.25">
      <c r="A3089" s="201"/>
      <c r="B3089" s="201"/>
    </row>
    <row r="3090" spans="1:2" x14ac:dyDescent="0.25">
      <c r="A3090" s="201"/>
      <c r="B3090" s="201"/>
    </row>
    <row r="3091" spans="1:2" x14ac:dyDescent="0.25">
      <c r="A3091" s="201"/>
      <c r="B3091" s="201"/>
    </row>
    <row r="3092" spans="1:2" x14ac:dyDescent="0.25">
      <c r="A3092" s="201"/>
      <c r="B3092" s="201"/>
    </row>
    <row r="3093" spans="1:2" x14ac:dyDescent="0.25">
      <c r="A3093" s="201"/>
      <c r="B3093" s="201"/>
    </row>
    <row r="3094" spans="1:2" x14ac:dyDescent="0.25">
      <c r="A3094" s="201"/>
      <c r="B3094" s="201"/>
    </row>
    <row r="3095" spans="1:2" x14ac:dyDescent="0.25">
      <c r="A3095" s="201"/>
      <c r="B3095" s="201"/>
    </row>
    <row r="3096" spans="1:2" x14ac:dyDescent="0.25">
      <c r="A3096" s="201"/>
      <c r="B3096" s="201"/>
    </row>
    <row r="3097" spans="1:2" x14ac:dyDescent="0.25">
      <c r="A3097" s="201"/>
      <c r="B3097" s="201"/>
    </row>
    <row r="3098" spans="1:2" x14ac:dyDescent="0.25">
      <c r="A3098" s="201"/>
      <c r="B3098" s="201"/>
    </row>
    <row r="3099" spans="1:2" x14ac:dyDescent="0.25">
      <c r="A3099" s="201"/>
      <c r="B3099" s="201"/>
    </row>
    <row r="3100" spans="1:2" x14ac:dyDescent="0.25">
      <c r="A3100" s="201"/>
      <c r="B3100" s="201"/>
    </row>
    <row r="3101" spans="1:2" x14ac:dyDescent="0.25">
      <c r="A3101" s="201"/>
      <c r="B3101" s="201"/>
    </row>
    <row r="3102" spans="1:2" x14ac:dyDescent="0.25">
      <c r="A3102" s="201"/>
      <c r="B3102" s="201"/>
    </row>
    <row r="3103" spans="1:2" x14ac:dyDescent="0.25">
      <c r="A3103" s="201"/>
      <c r="B3103" s="201"/>
    </row>
    <row r="3104" spans="1:2" x14ac:dyDescent="0.25">
      <c r="A3104" s="201"/>
      <c r="B3104" s="201"/>
    </row>
    <row r="3105" spans="1:2" x14ac:dyDescent="0.25">
      <c r="A3105" s="201"/>
      <c r="B3105" s="201"/>
    </row>
    <row r="3106" spans="1:2" x14ac:dyDescent="0.25">
      <c r="A3106" s="201"/>
      <c r="B3106" s="201"/>
    </row>
    <row r="3107" spans="1:2" x14ac:dyDescent="0.25">
      <c r="A3107" s="201"/>
      <c r="B3107" s="201"/>
    </row>
    <row r="3108" spans="1:2" x14ac:dyDescent="0.25">
      <c r="A3108" s="201"/>
      <c r="B3108" s="201"/>
    </row>
    <row r="3109" spans="1:2" x14ac:dyDescent="0.25">
      <c r="A3109" s="201"/>
      <c r="B3109" s="201"/>
    </row>
    <row r="3110" spans="1:2" x14ac:dyDescent="0.25">
      <c r="A3110" s="201"/>
      <c r="B3110" s="201"/>
    </row>
    <row r="3111" spans="1:2" x14ac:dyDescent="0.25">
      <c r="A3111" s="201"/>
      <c r="B3111" s="201"/>
    </row>
    <row r="3112" spans="1:2" x14ac:dyDescent="0.25">
      <c r="A3112" s="201"/>
      <c r="B3112" s="201"/>
    </row>
    <row r="3113" spans="1:2" x14ac:dyDescent="0.25">
      <c r="A3113" s="201"/>
      <c r="B3113" s="201"/>
    </row>
    <row r="3114" spans="1:2" x14ac:dyDescent="0.25">
      <c r="A3114" s="201"/>
      <c r="B3114" s="201"/>
    </row>
    <row r="3115" spans="1:2" x14ac:dyDescent="0.25">
      <c r="A3115" s="201"/>
      <c r="B3115" s="201"/>
    </row>
    <row r="3116" spans="1:2" x14ac:dyDescent="0.25">
      <c r="A3116" s="201"/>
      <c r="B3116" s="201"/>
    </row>
    <row r="3117" spans="1:2" x14ac:dyDescent="0.25">
      <c r="A3117" s="201"/>
      <c r="B3117" s="201"/>
    </row>
    <row r="3118" spans="1:2" x14ac:dyDescent="0.25">
      <c r="A3118" s="201"/>
      <c r="B3118" s="201"/>
    </row>
    <row r="3119" spans="1:2" x14ac:dyDescent="0.25">
      <c r="A3119" s="201"/>
      <c r="B3119" s="201"/>
    </row>
    <row r="3120" spans="1:2" x14ac:dyDescent="0.25">
      <c r="A3120" s="201"/>
      <c r="B3120" s="201"/>
    </row>
    <row r="3121" spans="1:2" x14ac:dyDescent="0.25">
      <c r="A3121" s="201"/>
      <c r="B3121" s="201"/>
    </row>
    <row r="3122" spans="1:2" x14ac:dyDescent="0.25">
      <c r="A3122" s="201"/>
      <c r="B3122" s="201"/>
    </row>
    <row r="3123" spans="1:2" x14ac:dyDescent="0.25">
      <c r="A3123" s="201"/>
      <c r="B3123" s="201"/>
    </row>
    <row r="3124" spans="1:2" x14ac:dyDescent="0.25">
      <c r="A3124" s="201"/>
      <c r="B3124" s="201"/>
    </row>
    <row r="3125" spans="1:2" x14ac:dyDescent="0.25">
      <c r="A3125" s="201"/>
      <c r="B3125" s="201"/>
    </row>
    <row r="3126" spans="1:2" x14ac:dyDescent="0.25">
      <c r="A3126" s="201"/>
      <c r="B3126" s="201"/>
    </row>
    <row r="3127" spans="1:2" x14ac:dyDescent="0.25">
      <c r="A3127" s="201"/>
      <c r="B3127" s="201"/>
    </row>
    <row r="3128" spans="1:2" x14ac:dyDescent="0.25">
      <c r="A3128" s="201"/>
      <c r="B3128" s="201"/>
    </row>
    <row r="3129" spans="1:2" x14ac:dyDescent="0.25">
      <c r="A3129" s="201"/>
      <c r="B3129" s="201"/>
    </row>
    <row r="3130" spans="1:2" x14ac:dyDescent="0.25">
      <c r="A3130" s="201"/>
      <c r="B3130" s="201"/>
    </row>
    <row r="3131" spans="1:2" x14ac:dyDescent="0.25">
      <c r="A3131" s="201"/>
      <c r="B3131" s="201"/>
    </row>
    <row r="3132" spans="1:2" x14ac:dyDescent="0.25">
      <c r="A3132" s="201"/>
      <c r="B3132" s="201"/>
    </row>
    <row r="3133" spans="1:2" x14ac:dyDescent="0.25">
      <c r="A3133" s="201"/>
      <c r="B3133" s="201"/>
    </row>
    <row r="3134" spans="1:2" x14ac:dyDescent="0.25">
      <c r="A3134" s="201"/>
      <c r="B3134" s="201"/>
    </row>
    <row r="3135" spans="1:2" x14ac:dyDescent="0.25">
      <c r="A3135" s="201"/>
      <c r="B3135" s="201"/>
    </row>
    <row r="3136" spans="1:2" x14ac:dyDescent="0.25">
      <c r="A3136" s="201"/>
      <c r="B3136" s="201"/>
    </row>
    <row r="3137" spans="1:2" x14ac:dyDescent="0.25">
      <c r="A3137" s="201"/>
      <c r="B3137" s="201"/>
    </row>
    <row r="3138" spans="1:2" x14ac:dyDescent="0.25">
      <c r="A3138" s="201"/>
      <c r="B3138" s="201"/>
    </row>
    <row r="3139" spans="1:2" x14ac:dyDescent="0.25">
      <c r="A3139" s="201"/>
      <c r="B3139" s="201"/>
    </row>
    <row r="3140" spans="1:2" x14ac:dyDescent="0.25">
      <c r="A3140" s="201"/>
      <c r="B3140" s="201"/>
    </row>
    <row r="3141" spans="1:2" x14ac:dyDescent="0.25">
      <c r="A3141" s="201"/>
      <c r="B3141" s="201"/>
    </row>
    <row r="3142" spans="1:2" x14ac:dyDescent="0.25">
      <c r="A3142" s="201"/>
      <c r="B3142" s="201"/>
    </row>
    <row r="3143" spans="1:2" x14ac:dyDescent="0.25">
      <c r="A3143" s="201"/>
      <c r="B3143" s="201"/>
    </row>
    <row r="3144" spans="1:2" x14ac:dyDescent="0.25">
      <c r="A3144" s="201"/>
      <c r="B3144" s="201"/>
    </row>
    <row r="3145" spans="1:2" x14ac:dyDescent="0.25">
      <c r="A3145" s="201"/>
      <c r="B3145" s="201"/>
    </row>
    <row r="3146" spans="1:2" x14ac:dyDescent="0.25">
      <c r="A3146" s="201"/>
      <c r="B3146" s="201"/>
    </row>
    <row r="3147" spans="1:2" x14ac:dyDescent="0.25">
      <c r="A3147" s="201"/>
      <c r="B3147" s="201"/>
    </row>
    <row r="3148" spans="1:2" x14ac:dyDescent="0.25">
      <c r="A3148" s="201"/>
      <c r="B3148" s="201"/>
    </row>
    <row r="3149" spans="1:2" x14ac:dyDescent="0.25">
      <c r="A3149" s="201"/>
      <c r="B3149" s="201"/>
    </row>
    <row r="3150" spans="1:2" x14ac:dyDescent="0.25">
      <c r="A3150" s="201"/>
      <c r="B3150" s="201"/>
    </row>
    <row r="3151" spans="1:2" x14ac:dyDescent="0.25">
      <c r="A3151" s="201"/>
      <c r="B3151" s="201"/>
    </row>
    <row r="3152" spans="1:2" x14ac:dyDescent="0.25">
      <c r="A3152" s="201"/>
      <c r="B3152" s="201"/>
    </row>
    <row r="3153" spans="1:2" x14ac:dyDescent="0.25">
      <c r="A3153" s="201"/>
      <c r="B3153" s="201"/>
    </row>
    <row r="3154" spans="1:2" x14ac:dyDescent="0.25">
      <c r="A3154" s="201"/>
      <c r="B3154" s="201"/>
    </row>
    <row r="3155" spans="1:2" x14ac:dyDescent="0.25">
      <c r="A3155" s="201"/>
      <c r="B3155" s="201"/>
    </row>
    <row r="3156" spans="1:2" x14ac:dyDescent="0.25">
      <c r="A3156" s="201"/>
      <c r="B3156" s="201"/>
    </row>
    <row r="3157" spans="1:2" x14ac:dyDescent="0.25">
      <c r="A3157" s="201"/>
      <c r="B3157" s="201"/>
    </row>
    <row r="3158" spans="1:2" x14ac:dyDescent="0.25">
      <c r="A3158" s="201"/>
      <c r="B3158" s="201"/>
    </row>
    <row r="3159" spans="1:2" x14ac:dyDescent="0.25">
      <c r="A3159" s="201"/>
      <c r="B3159" s="201"/>
    </row>
    <row r="3160" spans="1:2" x14ac:dyDescent="0.25">
      <c r="A3160" s="201"/>
      <c r="B3160" s="201"/>
    </row>
    <row r="3161" spans="1:2" x14ac:dyDescent="0.25">
      <c r="A3161" s="201"/>
      <c r="B3161" s="201"/>
    </row>
    <row r="3162" spans="1:2" x14ac:dyDescent="0.25">
      <c r="A3162" s="201"/>
      <c r="B3162" s="201"/>
    </row>
    <row r="3163" spans="1:2" x14ac:dyDescent="0.25">
      <c r="A3163" s="201"/>
      <c r="B3163" s="201"/>
    </row>
    <row r="3164" spans="1:2" x14ac:dyDescent="0.25">
      <c r="A3164" s="201"/>
      <c r="B3164" s="201"/>
    </row>
    <row r="3165" spans="1:2" x14ac:dyDescent="0.25">
      <c r="A3165" s="201"/>
      <c r="B3165" s="201"/>
    </row>
    <row r="3166" spans="1:2" x14ac:dyDescent="0.25">
      <c r="A3166" s="201"/>
      <c r="B3166" s="201"/>
    </row>
    <row r="3167" spans="1:2" x14ac:dyDescent="0.25">
      <c r="A3167" s="201"/>
      <c r="B3167" s="201"/>
    </row>
    <row r="3168" spans="1:2" x14ac:dyDescent="0.25">
      <c r="A3168" s="201"/>
      <c r="B3168" s="201"/>
    </row>
    <row r="3169" spans="1:2" x14ac:dyDescent="0.25">
      <c r="A3169" s="201"/>
      <c r="B3169" s="201"/>
    </row>
    <row r="3170" spans="1:2" x14ac:dyDescent="0.25">
      <c r="A3170" s="201"/>
      <c r="B3170" s="201"/>
    </row>
    <row r="3171" spans="1:2" x14ac:dyDescent="0.25">
      <c r="A3171" s="201"/>
      <c r="B3171" s="201"/>
    </row>
    <row r="3172" spans="1:2" x14ac:dyDescent="0.25">
      <c r="A3172" s="201"/>
      <c r="B3172" s="201"/>
    </row>
    <row r="3173" spans="1:2" x14ac:dyDescent="0.25">
      <c r="A3173" s="201"/>
      <c r="B3173" s="201"/>
    </row>
    <row r="3174" spans="1:2" x14ac:dyDescent="0.25">
      <c r="A3174" s="201"/>
      <c r="B3174" s="201"/>
    </row>
    <row r="3175" spans="1:2" x14ac:dyDescent="0.25">
      <c r="A3175" s="201"/>
      <c r="B3175" s="201"/>
    </row>
    <row r="3176" spans="1:2" x14ac:dyDescent="0.25">
      <c r="A3176" s="201"/>
      <c r="B3176" s="201"/>
    </row>
    <row r="3177" spans="1:2" x14ac:dyDescent="0.25">
      <c r="A3177" s="201"/>
      <c r="B3177" s="201"/>
    </row>
    <row r="3178" spans="1:2" x14ac:dyDescent="0.25">
      <c r="A3178" s="201"/>
      <c r="B3178" s="201"/>
    </row>
    <row r="3179" spans="1:2" x14ac:dyDescent="0.25">
      <c r="A3179" s="201"/>
      <c r="B3179" s="201"/>
    </row>
    <row r="3180" spans="1:2" x14ac:dyDescent="0.25">
      <c r="A3180" s="201"/>
      <c r="B3180" s="201"/>
    </row>
    <row r="3181" spans="1:2" x14ac:dyDescent="0.25">
      <c r="A3181" s="201"/>
      <c r="B3181" s="201"/>
    </row>
    <row r="3182" spans="1:2" x14ac:dyDescent="0.25">
      <c r="A3182" s="201"/>
      <c r="B3182" s="201"/>
    </row>
    <row r="3183" spans="1:2" x14ac:dyDescent="0.25">
      <c r="A3183" s="201"/>
      <c r="B3183" s="201"/>
    </row>
    <row r="3184" spans="1:2" x14ac:dyDescent="0.25">
      <c r="A3184" s="201"/>
      <c r="B3184" s="201"/>
    </row>
    <row r="3185" spans="1:2" x14ac:dyDescent="0.25">
      <c r="A3185" s="201"/>
      <c r="B3185" s="201"/>
    </row>
    <row r="3186" spans="1:2" x14ac:dyDescent="0.25">
      <c r="A3186" s="201"/>
      <c r="B3186" s="201"/>
    </row>
    <row r="3187" spans="1:2" x14ac:dyDescent="0.25">
      <c r="A3187" s="201"/>
      <c r="B3187" s="201"/>
    </row>
    <row r="3188" spans="1:2" x14ac:dyDescent="0.25">
      <c r="A3188" s="201"/>
      <c r="B3188" s="201"/>
    </row>
    <row r="3189" spans="1:2" x14ac:dyDescent="0.25">
      <c r="A3189" s="201"/>
      <c r="B3189" s="201"/>
    </row>
    <row r="3190" spans="1:2" x14ac:dyDescent="0.25">
      <c r="A3190" s="201"/>
      <c r="B3190" s="201"/>
    </row>
    <row r="3191" spans="1:2" x14ac:dyDescent="0.25">
      <c r="A3191" s="201"/>
      <c r="B3191" s="201"/>
    </row>
    <row r="3192" spans="1:2" x14ac:dyDescent="0.25">
      <c r="A3192" s="201"/>
      <c r="B3192" s="201"/>
    </row>
    <row r="3193" spans="1:2" x14ac:dyDescent="0.25">
      <c r="A3193" s="201"/>
      <c r="B3193" s="201"/>
    </row>
    <row r="3194" spans="1:2" x14ac:dyDescent="0.25">
      <c r="A3194" s="201"/>
      <c r="B3194" s="201"/>
    </row>
    <row r="3195" spans="1:2" x14ac:dyDescent="0.25">
      <c r="A3195" s="201"/>
      <c r="B3195" s="201"/>
    </row>
    <row r="3196" spans="1:2" x14ac:dyDescent="0.25">
      <c r="A3196" s="201"/>
      <c r="B3196" s="201"/>
    </row>
    <row r="3197" spans="1:2" x14ac:dyDescent="0.25">
      <c r="A3197" s="201"/>
      <c r="B3197" s="201"/>
    </row>
    <row r="3198" spans="1:2" x14ac:dyDescent="0.25">
      <c r="A3198" s="201"/>
      <c r="B3198" s="201"/>
    </row>
    <row r="3199" spans="1:2" x14ac:dyDescent="0.25">
      <c r="A3199" s="201"/>
      <c r="B3199" s="201"/>
    </row>
    <row r="3200" spans="1:2" x14ac:dyDescent="0.25">
      <c r="A3200" s="201"/>
      <c r="B3200" s="201"/>
    </row>
    <row r="3201" spans="1:2" x14ac:dyDescent="0.25">
      <c r="A3201" s="201"/>
      <c r="B3201" s="201"/>
    </row>
    <row r="3202" spans="1:2" x14ac:dyDescent="0.25">
      <c r="A3202" s="201"/>
      <c r="B3202" s="201"/>
    </row>
    <row r="3203" spans="1:2" x14ac:dyDescent="0.25">
      <c r="A3203" s="201"/>
      <c r="B3203" s="201"/>
    </row>
    <row r="3204" spans="1:2" x14ac:dyDescent="0.25">
      <c r="A3204" s="201"/>
      <c r="B3204" s="201"/>
    </row>
    <row r="3205" spans="1:2" x14ac:dyDescent="0.25">
      <c r="A3205" s="201"/>
      <c r="B3205" s="201"/>
    </row>
    <row r="3206" spans="1:2" x14ac:dyDescent="0.25">
      <c r="A3206" s="201"/>
      <c r="B3206" s="201"/>
    </row>
    <row r="3207" spans="1:2" x14ac:dyDescent="0.25">
      <c r="A3207" s="201"/>
      <c r="B3207" s="201"/>
    </row>
    <row r="3208" spans="1:2" x14ac:dyDescent="0.25">
      <c r="A3208" s="201"/>
      <c r="B3208" s="201"/>
    </row>
    <row r="3209" spans="1:2" x14ac:dyDescent="0.25">
      <c r="A3209" s="201"/>
      <c r="B3209" s="201"/>
    </row>
    <row r="3210" spans="1:2" x14ac:dyDescent="0.25">
      <c r="A3210" s="201"/>
      <c r="B3210" s="201"/>
    </row>
    <row r="3211" spans="1:2" x14ac:dyDescent="0.25">
      <c r="A3211" s="201"/>
      <c r="B3211" s="201"/>
    </row>
    <row r="3212" spans="1:2" x14ac:dyDescent="0.25">
      <c r="A3212" s="201"/>
      <c r="B3212" s="201"/>
    </row>
    <row r="3213" spans="1:2" x14ac:dyDescent="0.25">
      <c r="A3213" s="201"/>
      <c r="B3213" s="201"/>
    </row>
    <row r="3214" spans="1:2" x14ac:dyDescent="0.25">
      <c r="A3214" s="201"/>
      <c r="B3214" s="201"/>
    </row>
    <row r="3215" spans="1:2" x14ac:dyDescent="0.25">
      <c r="A3215" s="201"/>
      <c r="B3215" s="201"/>
    </row>
    <row r="3216" spans="1:2" x14ac:dyDescent="0.25">
      <c r="A3216" s="201"/>
      <c r="B3216" s="201"/>
    </row>
    <row r="3217" spans="1:2" x14ac:dyDescent="0.25">
      <c r="A3217" s="201"/>
      <c r="B3217" s="201"/>
    </row>
    <row r="3218" spans="1:2" x14ac:dyDescent="0.25">
      <c r="A3218" s="201"/>
      <c r="B3218" s="201"/>
    </row>
    <row r="3219" spans="1:2" x14ac:dyDescent="0.25">
      <c r="A3219" s="201"/>
      <c r="B3219" s="201"/>
    </row>
    <row r="3220" spans="1:2" x14ac:dyDescent="0.25">
      <c r="A3220" s="201"/>
      <c r="B3220" s="201"/>
    </row>
    <row r="3221" spans="1:2" x14ac:dyDescent="0.25">
      <c r="A3221" s="201"/>
      <c r="B3221" s="201"/>
    </row>
    <row r="3222" spans="1:2" x14ac:dyDescent="0.25">
      <c r="A3222" s="201"/>
      <c r="B3222" s="201"/>
    </row>
    <row r="3223" spans="1:2" x14ac:dyDescent="0.25">
      <c r="A3223" s="201"/>
      <c r="B3223" s="201"/>
    </row>
    <row r="3224" spans="1:2" x14ac:dyDescent="0.25">
      <c r="A3224" s="201"/>
      <c r="B3224" s="201"/>
    </row>
    <row r="3225" spans="1:2" x14ac:dyDescent="0.25">
      <c r="A3225" s="201"/>
      <c r="B3225" s="201"/>
    </row>
    <row r="3226" spans="1:2" x14ac:dyDescent="0.25">
      <c r="A3226" s="201"/>
      <c r="B3226" s="201"/>
    </row>
    <row r="3227" spans="1:2" x14ac:dyDescent="0.25">
      <c r="A3227" s="201"/>
      <c r="B3227" s="201"/>
    </row>
    <row r="3228" spans="1:2" x14ac:dyDescent="0.25">
      <c r="A3228" s="201"/>
      <c r="B3228" s="201"/>
    </row>
    <row r="3229" spans="1:2" x14ac:dyDescent="0.25">
      <c r="A3229" s="201"/>
      <c r="B3229" s="201"/>
    </row>
    <row r="3230" spans="1:2" x14ac:dyDescent="0.25">
      <c r="A3230" s="201"/>
      <c r="B3230" s="201"/>
    </row>
    <row r="3231" spans="1:2" x14ac:dyDescent="0.25">
      <c r="A3231" s="201"/>
      <c r="B3231" s="201"/>
    </row>
    <row r="3232" spans="1:2" x14ac:dyDescent="0.25">
      <c r="A3232" s="201"/>
      <c r="B3232" s="201"/>
    </row>
    <row r="3233" spans="1:2" x14ac:dyDescent="0.25">
      <c r="A3233" s="201"/>
      <c r="B3233" s="201"/>
    </row>
    <row r="3234" spans="1:2" x14ac:dyDescent="0.25">
      <c r="A3234" s="201"/>
      <c r="B3234" s="201"/>
    </row>
    <row r="3235" spans="1:2" x14ac:dyDescent="0.25">
      <c r="A3235" s="201"/>
      <c r="B3235" s="201"/>
    </row>
    <row r="3236" spans="1:2" x14ac:dyDescent="0.25">
      <c r="A3236" s="201"/>
      <c r="B3236" s="201"/>
    </row>
    <row r="3237" spans="1:2" x14ac:dyDescent="0.25">
      <c r="A3237" s="201"/>
      <c r="B3237" s="201"/>
    </row>
    <row r="3238" spans="1:2" x14ac:dyDescent="0.25">
      <c r="A3238" s="201"/>
      <c r="B3238" s="201"/>
    </row>
    <row r="3239" spans="1:2" x14ac:dyDescent="0.25">
      <c r="A3239" s="201"/>
      <c r="B3239" s="201"/>
    </row>
    <row r="3240" spans="1:2" x14ac:dyDescent="0.25">
      <c r="A3240" s="201"/>
      <c r="B3240" s="201"/>
    </row>
    <row r="3241" spans="1:2" x14ac:dyDescent="0.25">
      <c r="A3241" s="201"/>
      <c r="B3241" s="201"/>
    </row>
    <row r="3242" spans="1:2" x14ac:dyDescent="0.25">
      <c r="A3242" s="201"/>
      <c r="B3242" s="201"/>
    </row>
    <row r="3243" spans="1:2" x14ac:dyDescent="0.25">
      <c r="A3243" s="201"/>
      <c r="B3243" s="201"/>
    </row>
    <row r="3244" spans="1:2" x14ac:dyDescent="0.25">
      <c r="A3244" s="201"/>
      <c r="B3244" s="201"/>
    </row>
    <row r="3245" spans="1:2" x14ac:dyDescent="0.25">
      <c r="A3245" s="201"/>
      <c r="B3245" s="201"/>
    </row>
    <row r="3246" spans="1:2" x14ac:dyDescent="0.25">
      <c r="A3246" s="201"/>
      <c r="B3246" s="201"/>
    </row>
    <row r="3247" spans="1:2" x14ac:dyDescent="0.25">
      <c r="A3247" s="201"/>
      <c r="B3247" s="201"/>
    </row>
    <row r="3248" spans="1:2" x14ac:dyDescent="0.25">
      <c r="A3248" s="201"/>
      <c r="B3248" s="201"/>
    </row>
    <row r="3249" spans="1:2" x14ac:dyDescent="0.25">
      <c r="A3249" s="201"/>
      <c r="B3249" s="201"/>
    </row>
    <row r="3250" spans="1:2" x14ac:dyDescent="0.25">
      <c r="A3250" s="201"/>
      <c r="B3250" s="201"/>
    </row>
    <row r="3251" spans="1:2" x14ac:dyDescent="0.25">
      <c r="A3251" s="201"/>
      <c r="B3251" s="201"/>
    </row>
    <row r="3252" spans="1:2" x14ac:dyDescent="0.25">
      <c r="A3252" s="201"/>
      <c r="B3252" s="201"/>
    </row>
    <row r="3253" spans="1:2" x14ac:dyDescent="0.25">
      <c r="A3253" s="201"/>
      <c r="B3253" s="201"/>
    </row>
    <row r="3254" spans="1:2" x14ac:dyDescent="0.25">
      <c r="A3254" s="201"/>
      <c r="B3254" s="201"/>
    </row>
    <row r="3255" spans="1:2" x14ac:dyDescent="0.25">
      <c r="A3255" s="201"/>
      <c r="B3255" s="201"/>
    </row>
    <row r="3256" spans="1:2" x14ac:dyDescent="0.25">
      <c r="A3256" s="201"/>
      <c r="B3256" s="201"/>
    </row>
    <row r="3257" spans="1:2" x14ac:dyDescent="0.25">
      <c r="A3257" s="201"/>
      <c r="B3257" s="201"/>
    </row>
    <row r="3258" spans="1:2" x14ac:dyDescent="0.25">
      <c r="A3258" s="201"/>
      <c r="B3258" s="201"/>
    </row>
    <row r="3259" spans="1:2" x14ac:dyDescent="0.25">
      <c r="A3259" s="201"/>
      <c r="B3259" s="201"/>
    </row>
    <row r="3260" spans="1:2" x14ac:dyDescent="0.25">
      <c r="A3260" s="201"/>
      <c r="B3260" s="201"/>
    </row>
    <row r="3261" spans="1:2" x14ac:dyDescent="0.25">
      <c r="A3261" s="201"/>
      <c r="B3261" s="201"/>
    </row>
    <row r="3262" spans="1:2" x14ac:dyDescent="0.25">
      <c r="A3262" s="201"/>
      <c r="B3262" s="201"/>
    </row>
    <row r="3263" spans="1:2" x14ac:dyDescent="0.25">
      <c r="A3263" s="201"/>
      <c r="B3263" s="201"/>
    </row>
    <row r="3264" spans="1:2" x14ac:dyDescent="0.25">
      <c r="A3264" s="201"/>
      <c r="B3264" s="201"/>
    </row>
    <row r="3265" spans="1:2" x14ac:dyDescent="0.25">
      <c r="A3265" s="201"/>
      <c r="B3265" s="201"/>
    </row>
    <row r="3266" spans="1:2" x14ac:dyDescent="0.25">
      <c r="A3266" s="201"/>
      <c r="B3266" s="201"/>
    </row>
    <row r="3267" spans="1:2" x14ac:dyDescent="0.25">
      <c r="A3267" s="201"/>
      <c r="B3267" s="201"/>
    </row>
    <row r="3268" spans="1:2" x14ac:dyDescent="0.25">
      <c r="A3268" s="201"/>
      <c r="B3268" s="201"/>
    </row>
    <row r="3269" spans="1:2" x14ac:dyDescent="0.25">
      <c r="A3269" s="201"/>
      <c r="B3269" s="201"/>
    </row>
    <row r="3270" spans="1:2" x14ac:dyDescent="0.25">
      <c r="A3270" s="201"/>
      <c r="B3270" s="201"/>
    </row>
    <row r="3271" spans="1:2" x14ac:dyDescent="0.25">
      <c r="A3271" s="201"/>
      <c r="B3271" s="201"/>
    </row>
    <row r="3272" spans="1:2" x14ac:dyDescent="0.25">
      <c r="A3272" s="201"/>
      <c r="B3272" s="201"/>
    </row>
    <row r="3273" spans="1:2" x14ac:dyDescent="0.25">
      <c r="A3273" s="201"/>
      <c r="B3273" s="201"/>
    </row>
    <row r="3274" spans="1:2" x14ac:dyDescent="0.25">
      <c r="A3274" s="201"/>
      <c r="B3274" s="201"/>
    </row>
    <row r="3275" spans="1:2" x14ac:dyDescent="0.25">
      <c r="A3275" s="201"/>
      <c r="B3275" s="201"/>
    </row>
    <row r="3276" spans="1:2" x14ac:dyDescent="0.25">
      <c r="A3276" s="201"/>
      <c r="B3276" s="201"/>
    </row>
    <row r="3277" spans="1:2" x14ac:dyDescent="0.25">
      <c r="A3277" s="201"/>
      <c r="B3277" s="201"/>
    </row>
    <row r="3278" spans="1:2" x14ac:dyDescent="0.25">
      <c r="A3278" s="201"/>
      <c r="B3278" s="201"/>
    </row>
    <row r="3279" spans="1:2" x14ac:dyDescent="0.25">
      <c r="A3279" s="201"/>
      <c r="B3279" s="201"/>
    </row>
    <row r="3280" spans="1:2" x14ac:dyDescent="0.25">
      <c r="A3280" s="201"/>
      <c r="B3280" s="201"/>
    </row>
    <row r="3281" spans="1:2" x14ac:dyDescent="0.25">
      <c r="A3281" s="201"/>
      <c r="B3281" s="201"/>
    </row>
    <row r="3282" spans="1:2" x14ac:dyDescent="0.25">
      <c r="A3282" s="201"/>
      <c r="B3282" s="201"/>
    </row>
    <row r="3283" spans="1:2" x14ac:dyDescent="0.25">
      <c r="A3283" s="201"/>
      <c r="B3283" s="201"/>
    </row>
    <row r="3284" spans="1:2" x14ac:dyDescent="0.25">
      <c r="A3284" s="201"/>
      <c r="B3284" s="201"/>
    </row>
    <row r="3285" spans="1:2" x14ac:dyDescent="0.25">
      <c r="A3285" s="201"/>
      <c r="B3285" s="201"/>
    </row>
    <row r="3286" spans="1:2" x14ac:dyDescent="0.25">
      <c r="A3286" s="201"/>
      <c r="B3286" s="201"/>
    </row>
    <row r="3287" spans="1:2" x14ac:dyDescent="0.25">
      <c r="A3287" s="201"/>
      <c r="B3287" s="201"/>
    </row>
    <row r="3288" spans="1:2" x14ac:dyDescent="0.25">
      <c r="A3288" s="201"/>
      <c r="B3288" s="201"/>
    </row>
    <row r="3289" spans="1:2" x14ac:dyDescent="0.25">
      <c r="A3289" s="201"/>
      <c r="B3289" s="201"/>
    </row>
    <row r="3290" spans="1:2" x14ac:dyDescent="0.25">
      <c r="A3290" s="201"/>
      <c r="B3290" s="201"/>
    </row>
    <row r="3291" spans="1:2" x14ac:dyDescent="0.25">
      <c r="A3291" s="201"/>
      <c r="B3291" s="201"/>
    </row>
    <row r="3292" spans="1:2" x14ac:dyDescent="0.25">
      <c r="A3292" s="201"/>
      <c r="B3292" s="201"/>
    </row>
    <row r="3293" spans="1:2" x14ac:dyDescent="0.25">
      <c r="A3293" s="201"/>
      <c r="B3293" s="201"/>
    </row>
    <row r="3294" spans="1:2" x14ac:dyDescent="0.25">
      <c r="A3294" s="201"/>
      <c r="B3294" s="201"/>
    </row>
    <row r="3295" spans="1:2" x14ac:dyDescent="0.25">
      <c r="A3295" s="201"/>
      <c r="B3295" s="201"/>
    </row>
    <row r="3296" spans="1:2" x14ac:dyDescent="0.25">
      <c r="A3296" s="201"/>
      <c r="B3296" s="201"/>
    </row>
    <row r="3297" spans="1:2" x14ac:dyDescent="0.25">
      <c r="A3297" s="201"/>
      <c r="B3297" s="201"/>
    </row>
    <row r="3298" spans="1:2" x14ac:dyDescent="0.25">
      <c r="A3298" s="201"/>
      <c r="B3298" s="201"/>
    </row>
    <row r="3299" spans="1:2" x14ac:dyDescent="0.25">
      <c r="A3299" s="201"/>
      <c r="B3299" s="201"/>
    </row>
    <row r="3300" spans="1:2" x14ac:dyDescent="0.25">
      <c r="A3300" s="201"/>
      <c r="B3300" s="201"/>
    </row>
    <row r="3301" spans="1:2" x14ac:dyDescent="0.25">
      <c r="A3301" s="201"/>
      <c r="B3301" s="201"/>
    </row>
    <row r="3302" spans="1:2" x14ac:dyDescent="0.25">
      <c r="A3302" s="201"/>
      <c r="B3302" s="201"/>
    </row>
    <row r="3303" spans="1:2" x14ac:dyDescent="0.25">
      <c r="A3303" s="201"/>
      <c r="B3303" s="201"/>
    </row>
    <row r="3304" spans="1:2" x14ac:dyDescent="0.25">
      <c r="A3304" s="201"/>
      <c r="B3304" s="201"/>
    </row>
    <row r="3305" spans="1:2" x14ac:dyDescent="0.25">
      <c r="A3305" s="201"/>
      <c r="B3305" s="201"/>
    </row>
    <row r="3306" spans="1:2" x14ac:dyDescent="0.25">
      <c r="A3306" s="201"/>
      <c r="B3306" s="201"/>
    </row>
    <row r="3307" spans="1:2" x14ac:dyDescent="0.25">
      <c r="A3307" s="201"/>
      <c r="B3307" s="201"/>
    </row>
    <row r="3308" spans="1:2" x14ac:dyDescent="0.25">
      <c r="A3308" s="201"/>
      <c r="B3308" s="201"/>
    </row>
    <row r="3309" spans="1:2" x14ac:dyDescent="0.25">
      <c r="A3309" s="201"/>
      <c r="B3309" s="201"/>
    </row>
    <row r="3310" spans="1:2" x14ac:dyDescent="0.25">
      <c r="A3310" s="201"/>
      <c r="B3310" s="201"/>
    </row>
    <row r="3311" spans="1:2" x14ac:dyDescent="0.25">
      <c r="A3311" s="201"/>
      <c r="B3311" s="201"/>
    </row>
    <row r="3312" spans="1:2" x14ac:dyDescent="0.25">
      <c r="A3312" s="201"/>
      <c r="B3312" s="201"/>
    </row>
    <row r="3313" spans="1:2" x14ac:dyDescent="0.25">
      <c r="A3313" s="201"/>
      <c r="B3313" s="201"/>
    </row>
    <row r="3314" spans="1:2" x14ac:dyDescent="0.25">
      <c r="A3314" s="201"/>
      <c r="B3314" s="201"/>
    </row>
    <row r="3315" spans="1:2" x14ac:dyDescent="0.25">
      <c r="A3315" s="201"/>
      <c r="B3315" s="201"/>
    </row>
    <row r="3316" spans="1:2" x14ac:dyDescent="0.25">
      <c r="A3316" s="201"/>
      <c r="B3316" s="201"/>
    </row>
    <row r="3317" spans="1:2" x14ac:dyDescent="0.25">
      <c r="A3317" s="201"/>
      <c r="B3317" s="201"/>
    </row>
    <row r="3318" spans="1:2" x14ac:dyDescent="0.25">
      <c r="A3318" s="201"/>
      <c r="B3318" s="201"/>
    </row>
    <row r="3319" spans="1:2" x14ac:dyDescent="0.25">
      <c r="A3319" s="201"/>
      <c r="B3319" s="201"/>
    </row>
    <row r="3320" spans="1:2" x14ac:dyDescent="0.25">
      <c r="A3320" s="201"/>
      <c r="B3320" s="201"/>
    </row>
    <row r="3321" spans="1:2" x14ac:dyDescent="0.25">
      <c r="A3321" s="201"/>
      <c r="B3321" s="201"/>
    </row>
    <row r="3322" spans="1:2" x14ac:dyDescent="0.25">
      <c r="A3322" s="201"/>
      <c r="B3322" s="201"/>
    </row>
    <row r="3323" spans="1:2" x14ac:dyDescent="0.25">
      <c r="A3323" s="201"/>
      <c r="B3323" s="201"/>
    </row>
    <row r="3324" spans="1:2" x14ac:dyDescent="0.25">
      <c r="A3324" s="201"/>
      <c r="B3324" s="201"/>
    </row>
    <row r="3325" spans="1:2" x14ac:dyDescent="0.25">
      <c r="A3325" s="201"/>
      <c r="B3325" s="201"/>
    </row>
    <row r="3326" spans="1:2" x14ac:dyDescent="0.25">
      <c r="A3326" s="201"/>
      <c r="B3326" s="201"/>
    </row>
    <row r="3327" spans="1:2" x14ac:dyDescent="0.25">
      <c r="A3327" s="201"/>
      <c r="B3327" s="201"/>
    </row>
    <row r="3328" spans="1:2" x14ac:dyDescent="0.25">
      <c r="A3328" s="201"/>
      <c r="B3328" s="201"/>
    </row>
    <row r="3329" spans="1:2" x14ac:dyDescent="0.25">
      <c r="A3329" s="201"/>
      <c r="B3329" s="201"/>
    </row>
    <row r="3330" spans="1:2" x14ac:dyDescent="0.25">
      <c r="A3330" s="201"/>
      <c r="B3330" s="201"/>
    </row>
    <row r="3331" spans="1:2" x14ac:dyDescent="0.25">
      <c r="A3331" s="201"/>
      <c r="B3331" s="201"/>
    </row>
    <row r="3332" spans="1:2" x14ac:dyDescent="0.25">
      <c r="A3332" s="201"/>
      <c r="B3332" s="201"/>
    </row>
    <row r="3333" spans="1:2" x14ac:dyDescent="0.25">
      <c r="A3333" s="201"/>
      <c r="B3333" s="201"/>
    </row>
    <row r="3334" spans="1:2" x14ac:dyDescent="0.25">
      <c r="A3334" s="201"/>
      <c r="B3334" s="201"/>
    </row>
    <row r="3335" spans="1:2" x14ac:dyDescent="0.25">
      <c r="A3335" s="201"/>
      <c r="B3335" s="201"/>
    </row>
    <row r="3336" spans="1:2" x14ac:dyDescent="0.25">
      <c r="A3336" s="201"/>
      <c r="B3336" s="201"/>
    </row>
    <row r="3337" spans="1:2" x14ac:dyDescent="0.25">
      <c r="A3337" s="201"/>
      <c r="B3337" s="201"/>
    </row>
    <row r="3338" spans="1:2" x14ac:dyDescent="0.25">
      <c r="A3338" s="201"/>
      <c r="B3338" s="201"/>
    </row>
    <row r="3339" spans="1:2" x14ac:dyDescent="0.25">
      <c r="A3339" s="201"/>
      <c r="B3339" s="201"/>
    </row>
    <row r="3340" spans="1:2" x14ac:dyDescent="0.25">
      <c r="A3340" s="201"/>
      <c r="B3340" s="201"/>
    </row>
    <row r="3341" spans="1:2" x14ac:dyDescent="0.25">
      <c r="A3341" s="201"/>
      <c r="B3341" s="201"/>
    </row>
    <row r="3342" spans="1:2" x14ac:dyDescent="0.25">
      <c r="A3342" s="201"/>
      <c r="B3342" s="201"/>
    </row>
    <row r="3343" spans="1:2" x14ac:dyDescent="0.25">
      <c r="A3343" s="201"/>
      <c r="B3343" s="201"/>
    </row>
    <row r="3344" spans="1:2" x14ac:dyDescent="0.25">
      <c r="A3344" s="201"/>
      <c r="B3344" s="201"/>
    </row>
    <row r="3345" spans="1:2" x14ac:dyDescent="0.25">
      <c r="A3345" s="201"/>
      <c r="B3345" s="201"/>
    </row>
    <row r="3346" spans="1:2" x14ac:dyDescent="0.25">
      <c r="A3346" s="201"/>
      <c r="B3346" s="201"/>
    </row>
    <row r="3347" spans="1:2" x14ac:dyDescent="0.25">
      <c r="A3347" s="201"/>
      <c r="B3347" s="201"/>
    </row>
    <row r="3348" spans="1:2" x14ac:dyDescent="0.25">
      <c r="A3348" s="201"/>
      <c r="B3348" s="201"/>
    </row>
    <row r="3349" spans="1:2" x14ac:dyDescent="0.25">
      <c r="A3349" s="201"/>
      <c r="B3349" s="201"/>
    </row>
    <row r="3350" spans="1:2" x14ac:dyDescent="0.25">
      <c r="A3350" s="201"/>
      <c r="B3350" s="201"/>
    </row>
    <row r="3351" spans="1:2" x14ac:dyDescent="0.25">
      <c r="A3351" s="201"/>
      <c r="B3351" s="201"/>
    </row>
    <row r="3352" spans="1:2" x14ac:dyDescent="0.25">
      <c r="A3352" s="201"/>
      <c r="B3352" s="201"/>
    </row>
    <row r="3353" spans="1:2" x14ac:dyDescent="0.25">
      <c r="A3353" s="201"/>
      <c r="B3353" s="201"/>
    </row>
    <row r="3354" spans="1:2" x14ac:dyDescent="0.25">
      <c r="A3354" s="201"/>
      <c r="B3354" s="201"/>
    </row>
    <row r="3355" spans="1:2" x14ac:dyDescent="0.25">
      <c r="A3355" s="201"/>
      <c r="B3355" s="201"/>
    </row>
    <row r="3356" spans="1:2" x14ac:dyDescent="0.25">
      <c r="A3356" s="201"/>
      <c r="B3356" s="201"/>
    </row>
    <row r="3357" spans="1:2" x14ac:dyDescent="0.25">
      <c r="A3357" s="201"/>
      <c r="B3357" s="201"/>
    </row>
    <row r="3358" spans="1:2" x14ac:dyDescent="0.25">
      <c r="A3358" s="201"/>
      <c r="B3358" s="201"/>
    </row>
    <row r="3359" spans="1:2" x14ac:dyDescent="0.25">
      <c r="A3359" s="201"/>
      <c r="B3359" s="201"/>
    </row>
    <row r="3360" spans="1:2" x14ac:dyDescent="0.25">
      <c r="A3360" s="201"/>
      <c r="B3360" s="201"/>
    </row>
    <row r="3361" spans="1:2" x14ac:dyDescent="0.25">
      <c r="A3361" s="201"/>
      <c r="B3361" s="201"/>
    </row>
    <row r="3362" spans="1:2" x14ac:dyDescent="0.25">
      <c r="A3362" s="201"/>
      <c r="B3362" s="201"/>
    </row>
    <row r="3363" spans="1:2" x14ac:dyDescent="0.25">
      <c r="A3363" s="201"/>
      <c r="B3363" s="201"/>
    </row>
    <row r="3364" spans="1:2" x14ac:dyDescent="0.25">
      <c r="A3364" s="201"/>
      <c r="B3364" s="201"/>
    </row>
    <row r="3365" spans="1:2" x14ac:dyDescent="0.25">
      <c r="A3365" s="201"/>
      <c r="B3365" s="201"/>
    </row>
    <row r="3366" spans="1:2" x14ac:dyDescent="0.25">
      <c r="A3366" s="201"/>
      <c r="B3366" s="201"/>
    </row>
    <row r="3367" spans="1:2" x14ac:dyDescent="0.25">
      <c r="A3367" s="201"/>
      <c r="B3367" s="201"/>
    </row>
    <row r="3368" spans="1:2" x14ac:dyDescent="0.25">
      <c r="A3368" s="201"/>
      <c r="B3368" s="201"/>
    </row>
    <row r="3369" spans="1:2" x14ac:dyDescent="0.25">
      <c r="A3369" s="201"/>
      <c r="B3369" s="201"/>
    </row>
    <row r="3370" spans="1:2" x14ac:dyDescent="0.25">
      <c r="A3370" s="201"/>
      <c r="B3370" s="201"/>
    </row>
    <row r="3371" spans="1:2" x14ac:dyDescent="0.25">
      <c r="A3371" s="201"/>
      <c r="B3371" s="201"/>
    </row>
    <row r="3372" spans="1:2" x14ac:dyDescent="0.25">
      <c r="A3372" s="201"/>
      <c r="B3372" s="201"/>
    </row>
    <row r="3373" spans="1:2" x14ac:dyDescent="0.25">
      <c r="A3373" s="201"/>
      <c r="B3373" s="201"/>
    </row>
    <row r="3374" spans="1:2" x14ac:dyDescent="0.25">
      <c r="A3374" s="201"/>
      <c r="B3374" s="201"/>
    </row>
    <row r="3375" spans="1:2" x14ac:dyDescent="0.25">
      <c r="A3375" s="201"/>
      <c r="B3375" s="201"/>
    </row>
    <row r="3376" spans="1:2" x14ac:dyDescent="0.25">
      <c r="A3376" s="201"/>
      <c r="B3376" s="201"/>
    </row>
    <row r="3377" spans="1:2" x14ac:dyDescent="0.25">
      <c r="A3377" s="201"/>
      <c r="B3377" s="201"/>
    </row>
    <row r="3378" spans="1:2" x14ac:dyDescent="0.25">
      <c r="A3378" s="201"/>
      <c r="B3378" s="201"/>
    </row>
    <row r="3379" spans="1:2" x14ac:dyDescent="0.25">
      <c r="A3379" s="201"/>
      <c r="B3379" s="201"/>
    </row>
    <row r="3380" spans="1:2" x14ac:dyDescent="0.25">
      <c r="A3380" s="201"/>
      <c r="B3380" s="201"/>
    </row>
    <row r="3381" spans="1:2" x14ac:dyDescent="0.25">
      <c r="A3381" s="201"/>
      <c r="B3381" s="201"/>
    </row>
    <row r="3382" spans="1:2" x14ac:dyDescent="0.25">
      <c r="A3382" s="201"/>
      <c r="B3382" s="201"/>
    </row>
    <row r="3383" spans="1:2" x14ac:dyDescent="0.25">
      <c r="A3383" s="201"/>
      <c r="B3383" s="201"/>
    </row>
    <row r="3384" spans="1:2" x14ac:dyDescent="0.25">
      <c r="A3384" s="201"/>
      <c r="B3384" s="201"/>
    </row>
    <row r="3385" spans="1:2" x14ac:dyDescent="0.25">
      <c r="A3385" s="201"/>
      <c r="B3385" s="201"/>
    </row>
    <row r="3386" spans="1:2" x14ac:dyDescent="0.25">
      <c r="A3386" s="201"/>
      <c r="B3386" s="201"/>
    </row>
    <row r="3387" spans="1:2" x14ac:dyDescent="0.25">
      <c r="A3387" s="201"/>
      <c r="B3387" s="201"/>
    </row>
    <row r="3388" spans="1:2" x14ac:dyDescent="0.25">
      <c r="A3388" s="201"/>
      <c r="B3388" s="201"/>
    </row>
    <row r="3389" spans="1:2" x14ac:dyDescent="0.25">
      <c r="A3389" s="201"/>
      <c r="B3389" s="201"/>
    </row>
    <row r="3390" spans="1:2" x14ac:dyDescent="0.25">
      <c r="A3390" s="201"/>
      <c r="B3390" s="201"/>
    </row>
    <row r="3391" spans="1:2" x14ac:dyDescent="0.25">
      <c r="A3391" s="201"/>
      <c r="B3391" s="201"/>
    </row>
    <row r="3392" spans="1:2" x14ac:dyDescent="0.25">
      <c r="A3392" s="201"/>
      <c r="B3392" s="201"/>
    </row>
    <row r="3393" spans="1:2" x14ac:dyDescent="0.25">
      <c r="A3393" s="201"/>
      <c r="B3393" s="201"/>
    </row>
    <row r="3394" spans="1:2" x14ac:dyDescent="0.25">
      <c r="A3394" s="201"/>
      <c r="B3394" s="201"/>
    </row>
    <row r="3395" spans="1:2" x14ac:dyDescent="0.25">
      <c r="A3395" s="201"/>
      <c r="B3395" s="201"/>
    </row>
    <row r="3396" spans="1:2" x14ac:dyDescent="0.25">
      <c r="A3396" s="201"/>
      <c r="B3396" s="201"/>
    </row>
    <row r="3397" spans="1:2" x14ac:dyDescent="0.25">
      <c r="A3397" s="201"/>
      <c r="B3397" s="201"/>
    </row>
    <row r="3398" spans="1:2" x14ac:dyDescent="0.25">
      <c r="A3398" s="201"/>
      <c r="B3398" s="201"/>
    </row>
    <row r="3399" spans="1:2" x14ac:dyDescent="0.25">
      <c r="A3399" s="201"/>
      <c r="B3399" s="201"/>
    </row>
    <row r="3400" spans="1:2" x14ac:dyDescent="0.25">
      <c r="A3400" s="201"/>
      <c r="B3400" s="201"/>
    </row>
    <row r="3401" spans="1:2" x14ac:dyDescent="0.25">
      <c r="A3401" s="201"/>
      <c r="B3401" s="201"/>
    </row>
    <row r="3402" spans="1:2" x14ac:dyDescent="0.25">
      <c r="A3402" s="201"/>
      <c r="B3402" s="201"/>
    </row>
    <row r="3403" spans="1:2" x14ac:dyDescent="0.25">
      <c r="A3403" s="201"/>
      <c r="B3403" s="201"/>
    </row>
    <row r="3404" spans="1:2" x14ac:dyDescent="0.25">
      <c r="A3404" s="201"/>
      <c r="B3404" s="201"/>
    </row>
    <row r="3405" spans="1:2" x14ac:dyDescent="0.25">
      <c r="A3405" s="201"/>
      <c r="B3405" s="201"/>
    </row>
    <row r="3406" spans="1:2" x14ac:dyDescent="0.25">
      <c r="A3406" s="201"/>
      <c r="B3406" s="201"/>
    </row>
    <row r="3407" spans="1:2" x14ac:dyDescent="0.25">
      <c r="A3407" s="201"/>
      <c r="B3407" s="201"/>
    </row>
    <row r="3408" spans="1:2" x14ac:dyDescent="0.25">
      <c r="A3408" s="201"/>
      <c r="B3408" s="201"/>
    </row>
    <row r="3409" spans="1:2" x14ac:dyDescent="0.25">
      <c r="A3409" s="201"/>
      <c r="B3409" s="201"/>
    </row>
    <row r="3410" spans="1:2" x14ac:dyDescent="0.25">
      <c r="A3410" s="201"/>
      <c r="B3410" s="201"/>
    </row>
    <row r="3411" spans="1:2" x14ac:dyDescent="0.25">
      <c r="A3411" s="201"/>
      <c r="B3411" s="201"/>
    </row>
    <row r="3412" spans="1:2" x14ac:dyDescent="0.25">
      <c r="A3412" s="201"/>
      <c r="B3412" s="201"/>
    </row>
    <row r="3413" spans="1:2" x14ac:dyDescent="0.25">
      <c r="A3413" s="201"/>
      <c r="B3413" s="201"/>
    </row>
    <row r="3414" spans="1:2" x14ac:dyDescent="0.25">
      <c r="A3414" s="201"/>
      <c r="B3414" s="201"/>
    </row>
    <row r="3415" spans="1:2" x14ac:dyDescent="0.25">
      <c r="A3415" s="201"/>
      <c r="B3415" s="201"/>
    </row>
    <row r="3416" spans="1:2" x14ac:dyDescent="0.25">
      <c r="A3416" s="201"/>
      <c r="B3416" s="201"/>
    </row>
    <row r="3417" spans="1:2" x14ac:dyDescent="0.25">
      <c r="A3417" s="201"/>
      <c r="B3417" s="201"/>
    </row>
    <row r="3418" spans="1:2" x14ac:dyDescent="0.25">
      <c r="A3418" s="201"/>
      <c r="B3418" s="201"/>
    </row>
    <row r="3419" spans="1:2" x14ac:dyDescent="0.25">
      <c r="A3419" s="201"/>
      <c r="B3419" s="201"/>
    </row>
    <row r="3420" spans="1:2" x14ac:dyDescent="0.25">
      <c r="A3420" s="201"/>
      <c r="B3420" s="201"/>
    </row>
    <row r="3421" spans="1:2" x14ac:dyDescent="0.25">
      <c r="A3421" s="201"/>
      <c r="B3421" s="201"/>
    </row>
    <row r="3422" spans="1:2" x14ac:dyDescent="0.25">
      <c r="A3422" s="201"/>
      <c r="B3422" s="201"/>
    </row>
    <row r="3423" spans="1:2" x14ac:dyDescent="0.25">
      <c r="A3423" s="201"/>
      <c r="B3423" s="201"/>
    </row>
    <row r="3424" spans="1:2" x14ac:dyDescent="0.25">
      <c r="A3424" s="201"/>
      <c r="B3424" s="201"/>
    </row>
    <row r="3425" spans="1:2" x14ac:dyDescent="0.25">
      <c r="A3425" s="201"/>
      <c r="B3425" s="201"/>
    </row>
    <row r="3426" spans="1:2" x14ac:dyDescent="0.25">
      <c r="A3426" s="201"/>
      <c r="B3426" s="201"/>
    </row>
    <row r="3427" spans="1:2" x14ac:dyDescent="0.25">
      <c r="A3427" s="201"/>
      <c r="B3427" s="201"/>
    </row>
    <row r="3428" spans="1:2" x14ac:dyDescent="0.25">
      <c r="A3428" s="201"/>
      <c r="B3428" s="201"/>
    </row>
    <row r="3429" spans="1:2" x14ac:dyDescent="0.25">
      <c r="A3429" s="201"/>
      <c r="B3429" s="201"/>
    </row>
    <row r="3430" spans="1:2" x14ac:dyDescent="0.25">
      <c r="A3430" s="201"/>
      <c r="B3430" s="201"/>
    </row>
    <row r="3431" spans="1:2" x14ac:dyDescent="0.25">
      <c r="A3431" s="201"/>
      <c r="B3431" s="201"/>
    </row>
    <row r="3432" spans="1:2" x14ac:dyDescent="0.25">
      <c r="A3432" s="201"/>
      <c r="B3432" s="201"/>
    </row>
    <row r="3433" spans="1:2" x14ac:dyDescent="0.25">
      <c r="A3433" s="201"/>
      <c r="B3433" s="201"/>
    </row>
    <row r="3434" spans="1:2" x14ac:dyDescent="0.25">
      <c r="A3434" s="201"/>
      <c r="B3434" s="201"/>
    </row>
    <row r="3435" spans="1:2" x14ac:dyDescent="0.25">
      <c r="A3435" s="201"/>
      <c r="B3435" s="201"/>
    </row>
    <row r="3436" spans="1:2" x14ac:dyDescent="0.25">
      <c r="A3436" s="201"/>
      <c r="B3436" s="201"/>
    </row>
    <row r="3437" spans="1:2" x14ac:dyDescent="0.25">
      <c r="A3437" s="201"/>
      <c r="B3437" s="201"/>
    </row>
    <row r="3438" spans="1:2" x14ac:dyDescent="0.25">
      <c r="A3438" s="201"/>
      <c r="B3438" s="201"/>
    </row>
    <row r="3439" spans="1:2" x14ac:dyDescent="0.25">
      <c r="A3439" s="201"/>
      <c r="B3439" s="201"/>
    </row>
    <row r="3440" spans="1:2" x14ac:dyDescent="0.25">
      <c r="A3440" s="201"/>
      <c r="B3440" s="201"/>
    </row>
    <row r="3441" spans="1:2" x14ac:dyDescent="0.25">
      <c r="A3441" s="201"/>
      <c r="B3441" s="201"/>
    </row>
    <row r="3442" spans="1:2" x14ac:dyDescent="0.25">
      <c r="A3442" s="201"/>
      <c r="B3442" s="201"/>
    </row>
    <row r="3443" spans="1:2" x14ac:dyDescent="0.25">
      <c r="A3443" s="201"/>
      <c r="B3443" s="201"/>
    </row>
    <row r="3444" spans="1:2" x14ac:dyDescent="0.25">
      <c r="A3444" s="201"/>
      <c r="B3444" s="201"/>
    </row>
    <row r="3445" spans="1:2" x14ac:dyDescent="0.25">
      <c r="A3445" s="201"/>
      <c r="B3445" s="201"/>
    </row>
    <row r="3446" spans="1:2" x14ac:dyDescent="0.25">
      <c r="A3446" s="201"/>
      <c r="B3446" s="201"/>
    </row>
    <row r="3447" spans="1:2" x14ac:dyDescent="0.25">
      <c r="A3447" s="201"/>
      <c r="B3447" s="201"/>
    </row>
    <row r="3448" spans="1:2" x14ac:dyDescent="0.25">
      <c r="A3448" s="201"/>
      <c r="B3448" s="201"/>
    </row>
    <row r="3449" spans="1:2" x14ac:dyDescent="0.25">
      <c r="A3449" s="201"/>
      <c r="B3449" s="201"/>
    </row>
    <row r="3450" spans="1:2" x14ac:dyDescent="0.25">
      <c r="A3450" s="201"/>
      <c r="B3450" s="201"/>
    </row>
    <row r="3451" spans="1:2" x14ac:dyDescent="0.25">
      <c r="A3451" s="201"/>
      <c r="B3451" s="201"/>
    </row>
    <row r="3452" spans="1:2" x14ac:dyDescent="0.25">
      <c r="A3452" s="201"/>
      <c r="B3452" s="201"/>
    </row>
    <row r="3453" spans="1:2" x14ac:dyDescent="0.25">
      <c r="A3453" s="201"/>
      <c r="B3453" s="201"/>
    </row>
    <row r="3454" spans="1:2" x14ac:dyDescent="0.25">
      <c r="A3454" s="201"/>
      <c r="B3454" s="201"/>
    </row>
    <row r="3455" spans="1:2" x14ac:dyDescent="0.25">
      <c r="A3455" s="201"/>
      <c r="B3455" s="201"/>
    </row>
    <row r="3456" spans="1:2" x14ac:dyDescent="0.25">
      <c r="A3456" s="201"/>
      <c r="B3456" s="201"/>
    </row>
    <row r="3457" spans="1:2" x14ac:dyDescent="0.25">
      <c r="A3457" s="201"/>
      <c r="B3457" s="201"/>
    </row>
    <row r="3458" spans="1:2" x14ac:dyDescent="0.25">
      <c r="A3458" s="201"/>
      <c r="B3458" s="201"/>
    </row>
    <row r="3459" spans="1:2" x14ac:dyDescent="0.25">
      <c r="A3459" s="201"/>
      <c r="B3459" s="201"/>
    </row>
    <row r="3460" spans="1:2" x14ac:dyDescent="0.25">
      <c r="A3460" s="201"/>
      <c r="B3460" s="201"/>
    </row>
    <row r="3461" spans="1:2" x14ac:dyDescent="0.25">
      <c r="A3461" s="201"/>
      <c r="B3461" s="201"/>
    </row>
    <row r="3462" spans="1:2" x14ac:dyDescent="0.25">
      <c r="A3462" s="201"/>
      <c r="B3462" s="201"/>
    </row>
    <row r="3463" spans="1:2" x14ac:dyDescent="0.25">
      <c r="A3463" s="201"/>
      <c r="B3463" s="201"/>
    </row>
    <row r="3464" spans="1:2" x14ac:dyDescent="0.25">
      <c r="A3464" s="201"/>
      <c r="B3464" s="201"/>
    </row>
    <row r="3465" spans="1:2" x14ac:dyDescent="0.25">
      <c r="A3465" s="201"/>
      <c r="B3465" s="201"/>
    </row>
    <row r="3466" spans="1:2" x14ac:dyDescent="0.25">
      <c r="A3466" s="201"/>
      <c r="B3466" s="201"/>
    </row>
    <row r="3467" spans="1:2" x14ac:dyDescent="0.25">
      <c r="A3467" s="201"/>
      <c r="B3467" s="201"/>
    </row>
    <row r="3468" spans="1:2" x14ac:dyDescent="0.25">
      <c r="A3468" s="201"/>
      <c r="B3468" s="201"/>
    </row>
    <row r="3469" spans="1:2" x14ac:dyDescent="0.25">
      <c r="A3469" s="201"/>
      <c r="B3469" s="201"/>
    </row>
    <row r="3470" spans="1:2" x14ac:dyDescent="0.25">
      <c r="A3470" s="201"/>
      <c r="B3470" s="201"/>
    </row>
    <row r="3471" spans="1:2" x14ac:dyDescent="0.25">
      <c r="A3471" s="201"/>
      <c r="B3471" s="201"/>
    </row>
    <row r="3472" spans="1:2" x14ac:dyDescent="0.25">
      <c r="A3472" s="201"/>
      <c r="B3472" s="201"/>
    </row>
    <row r="3473" spans="1:2" x14ac:dyDescent="0.25">
      <c r="A3473" s="201"/>
      <c r="B3473" s="201"/>
    </row>
    <row r="3474" spans="1:2" x14ac:dyDescent="0.25">
      <c r="A3474" s="201"/>
      <c r="B3474" s="201"/>
    </row>
    <row r="3475" spans="1:2" x14ac:dyDescent="0.25">
      <c r="A3475" s="201"/>
      <c r="B3475" s="201"/>
    </row>
    <row r="3476" spans="1:2" x14ac:dyDescent="0.25">
      <c r="A3476" s="201"/>
      <c r="B3476" s="201"/>
    </row>
    <row r="3477" spans="1:2" x14ac:dyDescent="0.25">
      <c r="A3477" s="201"/>
      <c r="B3477" s="201"/>
    </row>
    <row r="3478" spans="1:2" x14ac:dyDescent="0.25">
      <c r="A3478" s="201"/>
      <c r="B3478" s="201"/>
    </row>
    <row r="3479" spans="1:2" x14ac:dyDescent="0.25">
      <c r="A3479" s="201"/>
      <c r="B3479" s="201"/>
    </row>
    <row r="3480" spans="1:2" x14ac:dyDescent="0.25">
      <c r="A3480" s="201"/>
      <c r="B3480" s="201"/>
    </row>
    <row r="3481" spans="1:2" x14ac:dyDescent="0.25">
      <c r="A3481" s="201"/>
      <c r="B3481" s="201"/>
    </row>
    <row r="3482" spans="1:2" x14ac:dyDescent="0.25">
      <c r="A3482" s="201"/>
      <c r="B3482" s="201"/>
    </row>
    <row r="3483" spans="1:2" x14ac:dyDescent="0.25">
      <c r="A3483" s="201"/>
      <c r="B3483" s="201"/>
    </row>
    <row r="3484" spans="1:2" x14ac:dyDescent="0.25">
      <c r="A3484" s="201"/>
      <c r="B3484" s="201"/>
    </row>
    <row r="3485" spans="1:2" x14ac:dyDescent="0.25">
      <c r="A3485" s="201"/>
      <c r="B3485" s="201"/>
    </row>
    <row r="3486" spans="1:2" x14ac:dyDescent="0.25">
      <c r="A3486" s="201"/>
      <c r="B3486" s="201"/>
    </row>
    <row r="3487" spans="1:2" x14ac:dyDescent="0.25">
      <c r="A3487" s="201"/>
      <c r="B3487" s="201"/>
    </row>
    <row r="3488" spans="1:2" x14ac:dyDescent="0.25">
      <c r="A3488" s="201"/>
      <c r="B3488" s="201"/>
    </row>
    <row r="3489" spans="1:2" x14ac:dyDescent="0.25">
      <c r="A3489" s="201"/>
      <c r="B3489" s="201"/>
    </row>
    <row r="3490" spans="1:2" x14ac:dyDescent="0.25">
      <c r="A3490" s="201"/>
      <c r="B3490" s="201"/>
    </row>
    <row r="3491" spans="1:2" x14ac:dyDescent="0.25">
      <c r="A3491" s="201"/>
      <c r="B3491" s="201"/>
    </row>
    <row r="3492" spans="1:2" x14ac:dyDescent="0.25">
      <c r="A3492" s="201"/>
      <c r="B3492" s="201"/>
    </row>
    <row r="3493" spans="1:2" x14ac:dyDescent="0.25">
      <c r="A3493" s="201"/>
      <c r="B3493" s="201"/>
    </row>
    <row r="3494" spans="1:2" x14ac:dyDescent="0.25">
      <c r="A3494" s="201"/>
      <c r="B3494" s="201"/>
    </row>
    <row r="3495" spans="1:2" x14ac:dyDescent="0.25">
      <c r="A3495" s="201"/>
      <c r="B3495" s="201"/>
    </row>
    <row r="3496" spans="1:2" x14ac:dyDescent="0.25">
      <c r="A3496" s="201"/>
      <c r="B3496" s="201"/>
    </row>
    <row r="3497" spans="1:2" x14ac:dyDescent="0.25">
      <c r="A3497" s="201"/>
      <c r="B3497" s="201"/>
    </row>
    <row r="3498" spans="1:2" x14ac:dyDescent="0.25">
      <c r="A3498" s="201"/>
      <c r="B3498" s="201"/>
    </row>
    <row r="3499" spans="1:2" x14ac:dyDescent="0.25">
      <c r="A3499" s="201"/>
      <c r="B3499" s="201"/>
    </row>
    <row r="3500" spans="1:2" x14ac:dyDescent="0.25">
      <c r="A3500" s="201"/>
      <c r="B3500" s="201"/>
    </row>
    <row r="3501" spans="1:2" x14ac:dyDescent="0.25">
      <c r="A3501" s="201"/>
      <c r="B3501" s="201"/>
    </row>
    <row r="3502" spans="1:2" x14ac:dyDescent="0.25">
      <c r="A3502" s="201"/>
      <c r="B3502" s="201"/>
    </row>
    <row r="3503" spans="1:2" x14ac:dyDescent="0.25">
      <c r="A3503" s="201"/>
      <c r="B3503" s="201"/>
    </row>
    <row r="3504" spans="1:2" x14ac:dyDescent="0.25">
      <c r="A3504" s="201"/>
      <c r="B3504" s="201"/>
    </row>
    <row r="3505" spans="1:2" x14ac:dyDescent="0.25">
      <c r="A3505" s="201"/>
      <c r="B3505" s="201"/>
    </row>
    <row r="3506" spans="1:2" x14ac:dyDescent="0.25">
      <c r="A3506" s="201"/>
      <c r="B3506" s="201"/>
    </row>
    <row r="3507" spans="1:2" x14ac:dyDescent="0.25">
      <c r="A3507" s="201"/>
      <c r="B3507" s="201"/>
    </row>
    <row r="3508" spans="1:2" x14ac:dyDescent="0.25">
      <c r="A3508" s="201"/>
      <c r="B3508" s="201"/>
    </row>
    <row r="3509" spans="1:2" x14ac:dyDescent="0.25">
      <c r="A3509" s="201"/>
      <c r="B3509" s="201"/>
    </row>
    <row r="3510" spans="1:2" x14ac:dyDescent="0.25">
      <c r="A3510" s="201"/>
      <c r="B3510" s="201"/>
    </row>
    <row r="3511" spans="1:2" x14ac:dyDescent="0.25">
      <c r="A3511" s="201"/>
      <c r="B3511" s="201"/>
    </row>
    <row r="3512" spans="1:2" x14ac:dyDescent="0.25">
      <c r="A3512" s="201"/>
      <c r="B3512" s="201"/>
    </row>
    <row r="3513" spans="1:2" x14ac:dyDescent="0.25">
      <c r="A3513" s="201"/>
      <c r="B3513" s="201"/>
    </row>
    <row r="3514" spans="1:2" x14ac:dyDescent="0.25">
      <c r="A3514" s="201"/>
      <c r="B3514" s="201"/>
    </row>
    <row r="3515" spans="1:2" x14ac:dyDescent="0.25">
      <c r="A3515" s="201"/>
      <c r="B3515" s="201"/>
    </row>
    <row r="3516" spans="1:2" x14ac:dyDescent="0.25">
      <c r="A3516" s="201"/>
      <c r="B3516" s="201"/>
    </row>
    <row r="3517" spans="1:2" x14ac:dyDescent="0.25">
      <c r="A3517" s="201"/>
      <c r="B3517" s="201"/>
    </row>
    <row r="3518" spans="1:2" x14ac:dyDescent="0.25">
      <c r="A3518" s="201"/>
      <c r="B3518" s="201"/>
    </row>
    <row r="3519" spans="1:2" x14ac:dyDescent="0.25">
      <c r="A3519" s="201"/>
      <c r="B3519" s="201"/>
    </row>
    <row r="3520" spans="1:2" x14ac:dyDescent="0.25">
      <c r="A3520" s="201"/>
      <c r="B3520" s="201"/>
    </row>
    <row r="3521" spans="1:2" x14ac:dyDescent="0.25">
      <c r="A3521" s="201"/>
      <c r="B3521" s="201"/>
    </row>
    <row r="3522" spans="1:2" x14ac:dyDescent="0.25">
      <c r="A3522" s="201"/>
      <c r="B3522" s="201"/>
    </row>
    <row r="3523" spans="1:2" x14ac:dyDescent="0.25">
      <c r="A3523" s="201"/>
      <c r="B3523" s="201"/>
    </row>
    <row r="3524" spans="1:2" x14ac:dyDescent="0.25">
      <c r="A3524" s="201"/>
      <c r="B3524" s="201"/>
    </row>
    <row r="3525" spans="1:2" x14ac:dyDescent="0.25">
      <c r="A3525" s="201"/>
      <c r="B3525" s="201"/>
    </row>
    <row r="3526" spans="1:2" x14ac:dyDescent="0.25">
      <c r="A3526" s="201"/>
      <c r="B3526" s="201"/>
    </row>
    <row r="3527" spans="1:2" x14ac:dyDescent="0.25">
      <c r="A3527" s="201"/>
      <c r="B3527" s="201"/>
    </row>
    <row r="3528" spans="1:2" x14ac:dyDescent="0.25">
      <c r="A3528" s="201"/>
      <c r="B3528" s="201"/>
    </row>
    <row r="3529" spans="1:2" x14ac:dyDescent="0.25">
      <c r="A3529" s="201"/>
      <c r="B3529" s="201"/>
    </row>
    <row r="3530" spans="1:2" x14ac:dyDescent="0.25">
      <c r="A3530" s="201"/>
      <c r="B3530" s="201"/>
    </row>
    <row r="3531" spans="1:2" x14ac:dyDescent="0.25">
      <c r="A3531" s="201"/>
      <c r="B3531" s="201"/>
    </row>
    <row r="3532" spans="1:2" x14ac:dyDescent="0.25">
      <c r="A3532" s="201"/>
      <c r="B3532" s="201"/>
    </row>
    <row r="3533" spans="1:2" x14ac:dyDescent="0.25">
      <c r="A3533" s="201"/>
      <c r="B3533" s="201"/>
    </row>
    <row r="3534" spans="1:2" x14ac:dyDescent="0.25">
      <c r="A3534" s="201"/>
      <c r="B3534" s="201"/>
    </row>
    <row r="3535" spans="1:2" x14ac:dyDescent="0.25">
      <c r="A3535" s="201"/>
      <c r="B3535" s="201"/>
    </row>
    <row r="3536" spans="1:2" x14ac:dyDescent="0.25">
      <c r="A3536" s="201"/>
      <c r="B3536" s="201"/>
    </row>
    <row r="3537" spans="1:2" x14ac:dyDescent="0.25">
      <c r="A3537" s="201"/>
      <c r="B3537" s="201"/>
    </row>
    <row r="3538" spans="1:2" x14ac:dyDescent="0.25">
      <c r="A3538" s="201"/>
      <c r="B3538" s="201"/>
    </row>
    <row r="3539" spans="1:2" x14ac:dyDescent="0.25">
      <c r="A3539" s="201"/>
      <c r="B3539" s="201"/>
    </row>
    <row r="3540" spans="1:2" x14ac:dyDescent="0.25">
      <c r="A3540" s="201"/>
      <c r="B3540" s="201"/>
    </row>
    <row r="3541" spans="1:2" x14ac:dyDescent="0.25">
      <c r="A3541" s="201"/>
      <c r="B3541" s="201"/>
    </row>
    <row r="3542" spans="1:2" x14ac:dyDescent="0.25">
      <c r="A3542" s="201"/>
      <c r="B3542" s="201"/>
    </row>
    <row r="3543" spans="1:2" x14ac:dyDescent="0.25">
      <c r="A3543" s="201"/>
      <c r="B3543" s="201"/>
    </row>
    <row r="3544" spans="1:2" x14ac:dyDescent="0.25">
      <c r="A3544" s="201"/>
      <c r="B3544" s="201"/>
    </row>
    <row r="3545" spans="1:2" x14ac:dyDescent="0.25">
      <c r="A3545" s="201"/>
      <c r="B3545" s="201"/>
    </row>
    <row r="3546" spans="1:2" x14ac:dyDescent="0.25">
      <c r="A3546" s="201"/>
      <c r="B3546" s="201"/>
    </row>
    <row r="3547" spans="1:2" x14ac:dyDescent="0.25">
      <c r="A3547" s="201"/>
      <c r="B3547" s="201"/>
    </row>
    <row r="3548" spans="1:2" x14ac:dyDescent="0.25">
      <c r="A3548" s="201"/>
      <c r="B3548" s="201"/>
    </row>
    <row r="3549" spans="1:2" x14ac:dyDescent="0.25">
      <c r="A3549" s="201"/>
      <c r="B3549" s="201"/>
    </row>
    <row r="3550" spans="1:2" x14ac:dyDescent="0.25">
      <c r="A3550" s="201"/>
      <c r="B3550" s="201"/>
    </row>
    <row r="3551" spans="1:2" x14ac:dyDescent="0.25">
      <c r="A3551" s="201"/>
      <c r="B3551" s="201"/>
    </row>
    <row r="3552" spans="1:2" x14ac:dyDescent="0.25">
      <c r="A3552" s="201"/>
      <c r="B3552" s="201"/>
    </row>
    <row r="3553" spans="1:2" x14ac:dyDescent="0.25">
      <c r="A3553" s="201"/>
      <c r="B3553" s="201"/>
    </row>
    <row r="3554" spans="1:2" x14ac:dyDescent="0.25">
      <c r="A3554" s="201"/>
      <c r="B3554" s="201"/>
    </row>
    <row r="3555" spans="1:2" x14ac:dyDescent="0.25">
      <c r="A3555" s="201"/>
      <c r="B3555" s="201"/>
    </row>
    <row r="3556" spans="1:2" x14ac:dyDescent="0.25">
      <c r="A3556" s="201"/>
      <c r="B3556" s="201"/>
    </row>
    <row r="3557" spans="1:2" x14ac:dyDescent="0.25">
      <c r="A3557" s="201"/>
      <c r="B3557" s="201"/>
    </row>
    <row r="3558" spans="1:2" x14ac:dyDescent="0.25">
      <c r="A3558" s="201"/>
      <c r="B3558" s="201"/>
    </row>
    <row r="3559" spans="1:2" x14ac:dyDescent="0.25">
      <c r="A3559" s="201"/>
      <c r="B3559" s="201"/>
    </row>
    <row r="3560" spans="1:2" x14ac:dyDescent="0.25">
      <c r="A3560" s="201"/>
      <c r="B3560" s="201"/>
    </row>
    <row r="3561" spans="1:2" x14ac:dyDescent="0.25">
      <c r="A3561" s="201"/>
      <c r="B3561" s="201"/>
    </row>
    <row r="3562" spans="1:2" x14ac:dyDescent="0.25">
      <c r="A3562" s="201"/>
      <c r="B3562" s="201"/>
    </row>
    <row r="3563" spans="1:2" x14ac:dyDescent="0.25">
      <c r="A3563" s="201"/>
      <c r="B3563" s="201"/>
    </row>
    <row r="3564" spans="1:2" x14ac:dyDescent="0.25">
      <c r="A3564" s="201"/>
      <c r="B3564" s="201"/>
    </row>
    <row r="3565" spans="1:2" x14ac:dyDescent="0.25">
      <c r="A3565" s="201"/>
      <c r="B3565" s="201"/>
    </row>
    <row r="3566" spans="1:2" x14ac:dyDescent="0.25">
      <c r="A3566" s="201"/>
      <c r="B3566" s="201"/>
    </row>
    <row r="3567" spans="1:2" x14ac:dyDescent="0.25">
      <c r="A3567" s="201"/>
      <c r="B3567" s="201"/>
    </row>
    <row r="3568" spans="1:2" x14ac:dyDescent="0.25">
      <c r="A3568" s="201"/>
      <c r="B3568" s="201"/>
    </row>
    <row r="3569" spans="1:2" x14ac:dyDescent="0.25">
      <c r="A3569" s="201"/>
      <c r="B3569" s="201"/>
    </row>
    <row r="3570" spans="1:2" x14ac:dyDescent="0.25">
      <c r="A3570" s="201"/>
      <c r="B3570" s="201"/>
    </row>
    <row r="3571" spans="1:2" x14ac:dyDescent="0.25">
      <c r="A3571" s="201"/>
      <c r="B3571" s="201"/>
    </row>
    <row r="3572" spans="1:2" x14ac:dyDescent="0.25">
      <c r="A3572" s="201"/>
      <c r="B3572" s="201"/>
    </row>
    <row r="3573" spans="1:2" x14ac:dyDescent="0.25">
      <c r="A3573" s="201"/>
      <c r="B3573" s="201"/>
    </row>
    <row r="3574" spans="1:2" x14ac:dyDescent="0.25">
      <c r="A3574" s="201"/>
      <c r="B3574" s="201"/>
    </row>
    <row r="3575" spans="1:2" x14ac:dyDescent="0.25">
      <c r="A3575" s="201"/>
      <c r="B3575" s="201"/>
    </row>
    <row r="3576" spans="1:2" x14ac:dyDescent="0.25">
      <c r="A3576" s="201"/>
      <c r="B3576" s="201"/>
    </row>
    <row r="3577" spans="1:2" x14ac:dyDescent="0.25">
      <c r="A3577" s="201"/>
      <c r="B3577" s="201"/>
    </row>
    <row r="3578" spans="1:2" x14ac:dyDescent="0.25">
      <c r="A3578" s="201"/>
      <c r="B3578" s="201"/>
    </row>
    <row r="3579" spans="1:2" x14ac:dyDescent="0.25">
      <c r="A3579" s="201"/>
      <c r="B3579" s="201"/>
    </row>
    <row r="3580" spans="1:2" x14ac:dyDescent="0.25">
      <c r="A3580" s="201"/>
      <c r="B3580" s="201"/>
    </row>
    <row r="3581" spans="1:2" x14ac:dyDescent="0.25">
      <c r="A3581" s="201"/>
      <c r="B3581" s="201"/>
    </row>
    <row r="3582" spans="1:2" x14ac:dyDescent="0.25">
      <c r="A3582" s="201"/>
      <c r="B3582" s="201"/>
    </row>
    <row r="3583" spans="1:2" x14ac:dyDescent="0.25">
      <c r="A3583" s="201"/>
      <c r="B3583" s="201"/>
    </row>
    <row r="3584" spans="1:2" x14ac:dyDescent="0.25">
      <c r="A3584" s="201"/>
      <c r="B3584" s="201"/>
    </row>
    <row r="3585" spans="1:2" x14ac:dyDescent="0.25">
      <c r="A3585" s="201"/>
      <c r="B3585" s="201"/>
    </row>
    <row r="3586" spans="1:2" x14ac:dyDescent="0.25">
      <c r="A3586" s="201"/>
      <c r="B3586" s="201"/>
    </row>
    <row r="3587" spans="1:2" x14ac:dyDescent="0.25">
      <c r="A3587" s="201"/>
      <c r="B3587" s="201"/>
    </row>
    <row r="3588" spans="1:2" x14ac:dyDescent="0.25">
      <c r="A3588" s="201"/>
      <c r="B3588" s="201"/>
    </row>
    <row r="3589" spans="1:2" x14ac:dyDescent="0.25">
      <c r="A3589" s="201"/>
      <c r="B3589" s="201"/>
    </row>
    <row r="3590" spans="1:2" x14ac:dyDescent="0.25">
      <c r="A3590" s="201"/>
      <c r="B3590" s="201"/>
    </row>
    <row r="3591" spans="1:2" x14ac:dyDescent="0.25">
      <c r="A3591" s="201"/>
      <c r="B3591" s="201"/>
    </row>
    <row r="3592" spans="1:2" x14ac:dyDescent="0.25">
      <c r="A3592" s="201"/>
      <c r="B3592" s="201"/>
    </row>
    <row r="3593" spans="1:2" x14ac:dyDescent="0.25">
      <c r="A3593" s="201"/>
      <c r="B3593" s="201"/>
    </row>
    <row r="3594" spans="1:2" x14ac:dyDescent="0.25">
      <c r="A3594" s="201"/>
      <c r="B3594" s="201"/>
    </row>
    <row r="3595" spans="1:2" x14ac:dyDescent="0.25">
      <c r="A3595" s="201"/>
      <c r="B3595" s="201"/>
    </row>
    <row r="3596" spans="1:2" x14ac:dyDescent="0.25">
      <c r="A3596" s="201"/>
      <c r="B3596" s="201"/>
    </row>
    <row r="3597" spans="1:2" x14ac:dyDescent="0.25">
      <c r="A3597" s="201"/>
      <c r="B3597" s="201"/>
    </row>
    <row r="3598" spans="1:2" x14ac:dyDescent="0.25">
      <c r="A3598" s="201"/>
      <c r="B3598" s="201"/>
    </row>
    <row r="3599" spans="1:2" x14ac:dyDescent="0.25">
      <c r="A3599" s="201"/>
      <c r="B3599" s="201"/>
    </row>
    <row r="3600" spans="1:2" x14ac:dyDescent="0.25">
      <c r="A3600" s="201"/>
      <c r="B3600" s="201"/>
    </row>
    <row r="3601" spans="1:2" x14ac:dyDescent="0.25">
      <c r="A3601" s="201"/>
      <c r="B3601" s="201"/>
    </row>
    <row r="3602" spans="1:2" x14ac:dyDescent="0.25">
      <c r="A3602" s="201"/>
      <c r="B3602" s="201"/>
    </row>
    <row r="3603" spans="1:2" x14ac:dyDescent="0.25">
      <c r="A3603" s="201"/>
      <c r="B3603" s="201"/>
    </row>
    <row r="3604" spans="1:2" x14ac:dyDescent="0.25">
      <c r="A3604" s="201"/>
      <c r="B3604" s="201"/>
    </row>
    <row r="3605" spans="1:2" x14ac:dyDescent="0.25">
      <c r="A3605" s="201"/>
      <c r="B3605" s="201"/>
    </row>
    <row r="3606" spans="1:2" x14ac:dyDescent="0.25">
      <c r="A3606" s="201"/>
      <c r="B3606" s="201"/>
    </row>
    <row r="3607" spans="1:2" x14ac:dyDescent="0.25">
      <c r="A3607" s="201"/>
      <c r="B3607" s="201"/>
    </row>
    <row r="3608" spans="1:2" x14ac:dyDescent="0.25">
      <c r="A3608" s="201"/>
      <c r="B3608" s="201"/>
    </row>
    <row r="3609" spans="1:2" x14ac:dyDescent="0.25">
      <c r="A3609" s="201"/>
      <c r="B3609" s="201"/>
    </row>
    <row r="3610" spans="1:2" x14ac:dyDescent="0.25">
      <c r="A3610" s="201"/>
      <c r="B3610" s="201"/>
    </row>
    <row r="3611" spans="1:2" x14ac:dyDescent="0.25">
      <c r="A3611" s="201"/>
      <c r="B3611" s="201"/>
    </row>
    <row r="3612" spans="1:2" x14ac:dyDescent="0.25">
      <c r="A3612" s="201"/>
      <c r="B3612" s="201"/>
    </row>
    <row r="3613" spans="1:2" x14ac:dyDescent="0.25">
      <c r="A3613" s="201"/>
      <c r="B3613" s="201"/>
    </row>
    <row r="3614" spans="1:2" x14ac:dyDescent="0.25">
      <c r="A3614" s="201"/>
      <c r="B3614" s="201"/>
    </row>
    <row r="3615" spans="1:2" x14ac:dyDescent="0.25">
      <c r="A3615" s="201"/>
      <c r="B3615" s="201"/>
    </row>
    <row r="3616" spans="1:2" x14ac:dyDescent="0.25">
      <c r="A3616" s="201"/>
      <c r="B3616" s="201"/>
    </row>
    <row r="3617" spans="1:2" x14ac:dyDescent="0.25">
      <c r="A3617" s="201"/>
      <c r="B3617" s="201"/>
    </row>
    <row r="3618" spans="1:2" x14ac:dyDescent="0.25">
      <c r="A3618" s="201"/>
      <c r="B3618" s="201"/>
    </row>
    <row r="3619" spans="1:2" x14ac:dyDescent="0.25">
      <c r="A3619" s="201"/>
      <c r="B3619" s="201"/>
    </row>
    <row r="3620" spans="1:2" x14ac:dyDescent="0.25">
      <c r="A3620" s="201"/>
      <c r="B3620" s="201"/>
    </row>
    <row r="3621" spans="1:2" x14ac:dyDescent="0.25">
      <c r="A3621" s="201"/>
      <c r="B3621" s="201"/>
    </row>
    <row r="3622" spans="1:2" x14ac:dyDescent="0.25">
      <c r="A3622" s="201"/>
      <c r="B3622" s="201"/>
    </row>
    <row r="3623" spans="1:2" x14ac:dyDescent="0.25">
      <c r="A3623" s="201"/>
      <c r="B3623" s="201"/>
    </row>
    <row r="3624" spans="1:2" x14ac:dyDescent="0.25">
      <c r="A3624" s="201"/>
      <c r="B3624" s="201"/>
    </row>
    <row r="3625" spans="1:2" x14ac:dyDescent="0.25">
      <c r="A3625" s="201"/>
      <c r="B3625" s="201"/>
    </row>
    <row r="3626" spans="1:2" x14ac:dyDescent="0.25">
      <c r="A3626" s="201"/>
      <c r="B3626" s="201"/>
    </row>
    <row r="3627" spans="1:2" x14ac:dyDescent="0.25">
      <c r="A3627" s="201"/>
      <c r="B3627" s="201"/>
    </row>
    <row r="3628" spans="1:2" x14ac:dyDescent="0.25">
      <c r="A3628" s="201"/>
      <c r="B3628" s="201"/>
    </row>
    <row r="3629" spans="1:2" x14ac:dyDescent="0.25">
      <c r="A3629" s="201"/>
      <c r="B3629" s="201"/>
    </row>
    <row r="3630" spans="1:2" x14ac:dyDescent="0.25">
      <c r="A3630" s="201"/>
      <c r="B3630" s="201"/>
    </row>
    <row r="3631" spans="1:2" x14ac:dyDescent="0.25">
      <c r="A3631" s="201"/>
      <c r="B3631" s="201"/>
    </row>
    <row r="3632" spans="1:2" x14ac:dyDescent="0.25">
      <c r="A3632" s="201"/>
      <c r="B3632" s="201"/>
    </row>
    <row r="3633" spans="1:2" x14ac:dyDescent="0.25">
      <c r="A3633" s="201"/>
      <c r="B3633" s="201"/>
    </row>
    <row r="3634" spans="1:2" x14ac:dyDescent="0.25">
      <c r="A3634" s="201"/>
      <c r="B3634" s="201"/>
    </row>
    <row r="3635" spans="1:2" x14ac:dyDescent="0.25">
      <c r="A3635" s="201"/>
      <c r="B3635" s="201"/>
    </row>
    <row r="3636" spans="1:2" x14ac:dyDescent="0.25">
      <c r="A3636" s="201"/>
      <c r="B3636" s="201"/>
    </row>
    <row r="3637" spans="1:2" x14ac:dyDescent="0.25">
      <c r="A3637" s="201"/>
      <c r="B3637" s="201"/>
    </row>
    <row r="3638" spans="1:2" x14ac:dyDescent="0.25">
      <c r="A3638" s="201"/>
      <c r="B3638" s="201"/>
    </row>
    <row r="3639" spans="1:2" x14ac:dyDescent="0.25">
      <c r="A3639" s="201"/>
      <c r="B3639" s="201"/>
    </row>
    <row r="3640" spans="1:2" x14ac:dyDescent="0.25">
      <c r="A3640" s="201"/>
      <c r="B3640" s="201"/>
    </row>
    <row r="3641" spans="1:2" x14ac:dyDescent="0.25">
      <c r="A3641" s="201"/>
      <c r="B3641" s="201"/>
    </row>
    <row r="3642" spans="1:2" x14ac:dyDescent="0.25">
      <c r="A3642" s="201"/>
      <c r="B3642" s="201"/>
    </row>
    <row r="3643" spans="1:2" x14ac:dyDescent="0.25">
      <c r="A3643" s="201"/>
      <c r="B3643" s="201"/>
    </row>
    <row r="3644" spans="1:2" x14ac:dyDescent="0.25">
      <c r="A3644" s="201"/>
      <c r="B3644" s="201"/>
    </row>
    <row r="3645" spans="1:2" x14ac:dyDescent="0.25">
      <c r="A3645" s="201"/>
      <c r="B3645" s="201"/>
    </row>
    <row r="3646" spans="1:2" x14ac:dyDescent="0.25">
      <c r="A3646" s="201"/>
      <c r="B3646" s="201"/>
    </row>
    <row r="3647" spans="1:2" x14ac:dyDescent="0.25">
      <c r="A3647" s="201"/>
      <c r="B3647" s="201"/>
    </row>
    <row r="3648" spans="1:2" x14ac:dyDescent="0.25">
      <c r="A3648" s="201"/>
      <c r="B3648" s="201"/>
    </row>
    <row r="3649" spans="1:2" x14ac:dyDescent="0.25">
      <c r="A3649" s="201"/>
      <c r="B3649" s="201"/>
    </row>
    <row r="3650" spans="1:2" x14ac:dyDescent="0.25">
      <c r="A3650" s="201"/>
      <c r="B3650" s="201"/>
    </row>
    <row r="3651" spans="1:2" x14ac:dyDescent="0.25">
      <c r="A3651" s="201"/>
      <c r="B3651" s="201"/>
    </row>
    <row r="3652" spans="1:2" x14ac:dyDescent="0.25">
      <c r="A3652" s="201"/>
      <c r="B3652" s="201"/>
    </row>
    <row r="3653" spans="1:2" x14ac:dyDescent="0.25">
      <c r="A3653" s="201"/>
      <c r="B3653" s="201"/>
    </row>
    <row r="3654" spans="1:2" x14ac:dyDescent="0.25">
      <c r="A3654" s="201"/>
      <c r="B3654" s="201"/>
    </row>
    <row r="3655" spans="1:2" x14ac:dyDescent="0.25">
      <c r="A3655" s="201"/>
      <c r="B3655" s="201"/>
    </row>
    <row r="3656" spans="1:2" x14ac:dyDescent="0.25">
      <c r="A3656" s="201"/>
      <c r="B3656" s="201"/>
    </row>
    <row r="3657" spans="1:2" x14ac:dyDescent="0.25">
      <c r="A3657" s="201"/>
      <c r="B3657" s="201"/>
    </row>
    <row r="3658" spans="1:2" x14ac:dyDescent="0.25">
      <c r="A3658" s="201"/>
      <c r="B3658" s="201"/>
    </row>
    <row r="3659" spans="1:2" x14ac:dyDescent="0.25">
      <c r="A3659" s="201"/>
      <c r="B3659" s="201"/>
    </row>
    <row r="3660" spans="1:2" x14ac:dyDescent="0.25">
      <c r="A3660" s="201"/>
      <c r="B3660" s="201"/>
    </row>
    <row r="3661" spans="1:2" x14ac:dyDescent="0.25">
      <c r="A3661" s="201"/>
      <c r="B3661" s="201"/>
    </row>
    <row r="3662" spans="1:2" x14ac:dyDescent="0.25">
      <c r="A3662" s="201"/>
      <c r="B3662" s="201"/>
    </row>
    <row r="3663" spans="1:2" x14ac:dyDescent="0.25">
      <c r="A3663" s="201"/>
      <c r="B3663" s="201"/>
    </row>
    <row r="3664" spans="1:2" x14ac:dyDescent="0.25">
      <c r="A3664" s="201"/>
      <c r="B3664" s="201"/>
    </row>
    <row r="3665" spans="1:2" x14ac:dyDescent="0.25">
      <c r="A3665" s="201"/>
      <c r="B3665" s="201"/>
    </row>
    <row r="3666" spans="1:2" x14ac:dyDescent="0.25">
      <c r="A3666" s="201"/>
      <c r="B3666" s="201"/>
    </row>
    <row r="3667" spans="1:2" x14ac:dyDescent="0.25">
      <c r="A3667" s="201"/>
      <c r="B3667" s="201"/>
    </row>
    <row r="3668" spans="1:2" x14ac:dyDescent="0.25">
      <c r="A3668" s="201"/>
      <c r="B3668" s="201"/>
    </row>
    <row r="3669" spans="1:2" x14ac:dyDescent="0.25">
      <c r="A3669" s="201"/>
      <c r="B3669" s="201"/>
    </row>
    <row r="3670" spans="1:2" x14ac:dyDescent="0.25">
      <c r="A3670" s="201"/>
      <c r="B3670" s="201"/>
    </row>
    <row r="3671" spans="1:2" x14ac:dyDescent="0.25">
      <c r="A3671" s="201"/>
      <c r="B3671" s="201"/>
    </row>
    <row r="3672" spans="1:2" x14ac:dyDescent="0.25">
      <c r="A3672" s="201"/>
      <c r="B3672" s="201"/>
    </row>
    <row r="3673" spans="1:2" x14ac:dyDescent="0.25">
      <c r="A3673" s="201"/>
      <c r="B3673" s="201"/>
    </row>
    <row r="3674" spans="1:2" x14ac:dyDescent="0.25">
      <c r="A3674" s="201"/>
      <c r="B3674" s="201"/>
    </row>
    <row r="3675" spans="1:2" x14ac:dyDescent="0.25">
      <c r="A3675" s="201"/>
      <c r="B3675" s="201"/>
    </row>
    <row r="3676" spans="1:2" x14ac:dyDescent="0.25">
      <c r="A3676" s="201"/>
      <c r="B3676" s="201"/>
    </row>
    <row r="3677" spans="1:2" x14ac:dyDescent="0.25">
      <c r="A3677" s="201"/>
      <c r="B3677" s="201"/>
    </row>
    <row r="3678" spans="1:2" x14ac:dyDescent="0.25">
      <c r="A3678" s="201"/>
      <c r="B3678" s="201"/>
    </row>
    <row r="3679" spans="1:2" x14ac:dyDescent="0.25">
      <c r="A3679" s="201"/>
      <c r="B3679" s="201"/>
    </row>
    <row r="3680" spans="1:2" x14ac:dyDescent="0.25">
      <c r="A3680" s="201"/>
      <c r="B3680" s="201"/>
    </row>
    <row r="3681" spans="1:2" x14ac:dyDescent="0.25">
      <c r="A3681" s="201"/>
      <c r="B3681" s="201"/>
    </row>
    <row r="3682" spans="1:2" x14ac:dyDescent="0.25">
      <c r="A3682" s="201"/>
      <c r="B3682" s="201"/>
    </row>
    <row r="3683" spans="1:2" x14ac:dyDescent="0.25">
      <c r="A3683" s="201"/>
      <c r="B3683" s="201"/>
    </row>
    <row r="3684" spans="1:2" x14ac:dyDescent="0.25">
      <c r="A3684" s="201"/>
      <c r="B3684" s="201"/>
    </row>
    <row r="3685" spans="1:2" x14ac:dyDescent="0.25">
      <c r="A3685" s="201"/>
      <c r="B3685" s="201"/>
    </row>
    <row r="3686" spans="1:2" x14ac:dyDescent="0.25">
      <c r="A3686" s="201"/>
      <c r="B3686" s="201"/>
    </row>
    <row r="3687" spans="1:2" x14ac:dyDescent="0.25">
      <c r="A3687" s="201"/>
      <c r="B3687" s="201"/>
    </row>
    <row r="3688" spans="1:2" x14ac:dyDescent="0.25">
      <c r="A3688" s="201"/>
      <c r="B3688" s="201"/>
    </row>
    <row r="3689" spans="1:2" x14ac:dyDescent="0.25">
      <c r="A3689" s="201"/>
      <c r="B3689" s="201"/>
    </row>
    <row r="3690" spans="1:2" x14ac:dyDescent="0.25">
      <c r="A3690" s="201"/>
      <c r="B3690" s="201"/>
    </row>
    <row r="3691" spans="1:2" x14ac:dyDescent="0.25">
      <c r="A3691" s="201"/>
      <c r="B3691" s="201"/>
    </row>
    <row r="3692" spans="1:2" x14ac:dyDescent="0.25">
      <c r="A3692" s="201"/>
      <c r="B3692" s="201"/>
    </row>
    <row r="3693" spans="1:2" x14ac:dyDescent="0.25">
      <c r="A3693" s="201"/>
      <c r="B3693" s="201"/>
    </row>
    <row r="3694" spans="1:2" x14ac:dyDescent="0.25">
      <c r="A3694" s="201"/>
      <c r="B3694" s="201"/>
    </row>
    <row r="3695" spans="1:2" x14ac:dyDescent="0.25">
      <c r="A3695" s="201"/>
      <c r="B3695" s="201"/>
    </row>
    <row r="3696" spans="1:2" x14ac:dyDescent="0.25">
      <c r="A3696" s="201"/>
      <c r="B3696" s="201"/>
    </row>
    <row r="3697" spans="1:2" x14ac:dyDescent="0.25">
      <c r="A3697" s="201"/>
      <c r="B3697" s="201"/>
    </row>
    <row r="3698" spans="1:2" x14ac:dyDescent="0.25">
      <c r="A3698" s="201"/>
      <c r="B3698" s="201"/>
    </row>
    <row r="3699" spans="1:2" x14ac:dyDescent="0.25">
      <c r="A3699" s="201"/>
      <c r="B3699" s="201"/>
    </row>
    <row r="3700" spans="1:2" x14ac:dyDescent="0.25">
      <c r="A3700" s="201"/>
      <c r="B3700" s="201"/>
    </row>
    <row r="3701" spans="1:2" x14ac:dyDescent="0.25">
      <c r="A3701" s="201"/>
      <c r="B3701" s="201"/>
    </row>
    <row r="3702" spans="1:2" x14ac:dyDescent="0.25">
      <c r="A3702" s="201"/>
      <c r="B3702" s="201"/>
    </row>
    <row r="3703" spans="1:2" x14ac:dyDescent="0.25">
      <c r="A3703" s="201"/>
      <c r="B3703" s="201"/>
    </row>
    <row r="3704" spans="1:2" x14ac:dyDescent="0.25">
      <c r="A3704" s="201"/>
      <c r="B3704" s="201"/>
    </row>
    <row r="3705" spans="1:2" x14ac:dyDescent="0.25">
      <c r="A3705" s="201"/>
      <c r="B3705" s="201"/>
    </row>
    <row r="3706" spans="1:2" x14ac:dyDescent="0.25">
      <c r="A3706" s="201"/>
      <c r="B3706" s="201"/>
    </row>
    <row r="3707" spans="1:2" x14ac:dyDescent="0.25">
      <c r="A3707" s="201"/>
      <c r="B3707" s="201"/>
    </row>
    <row r="3708" spans="1:2" x14ac:dyDescent="0.25">
      <c r="A3708" s="201"/>
      <c r="B3708" s="201"/>
    </row>
    <row r="3709" spans="1:2" x14ac:dyDescent="0.25">
      <c r="A3709" s="201"/>
      <c r="B3709" s="201"/>
    </row>
    <row r="3710" spans="1:2" x14ac:dyDescent="0.25">
      <c r="A3710" s="201"/>
      <c r="B3710" s="201"/>
    </row>
    <row r="3711" spans="1:2" x14ac:dyDescent="0.25">
      <c r="A3711" s="201"/>
      <c r="B3711" s="201"/>
    </row>
    <row r="3712" spans="1:2" x14ac:dyDescent="0.25">
      <c r="A3712" s="201"/>
      <c r="B3712" s="201"/>
    </row>
    <row r="3713" spans="1:2" x14ac:dyDescent="0.25">
      <c r="A3713" s="201"/>
      <c r="B3713" s="201"/>
    </row>
    <row r="3714" spans="1:2" x14ac:dyDescent="0.25">
      <c r="A3714" s="201"/>
      <c r="B3714" s="201"/>
    </row>
    <row r="3715" spans="1:2" x14ac:dyDescent="0.25">
      <c r="A3715" s="201"/>
      <c r="B3715" s="201"/>
    </row>
    <row r="3716" spans="1:2" x14ac:dyDescent="0.25">
      <c r="A3716" s="201"/>
      <c r="B3716" s="201"/>
    </row>
    <row r="3717" spans="1:2" x14ac:dyDescent="0.25">
      <c r="A3717" s="201"/>
      <c r="B3717" s="201"/>
    </row>
    <row r="3718" spans="1:2" x14ac:dyDescent="0.25">
      <c r="A3718" s="201"/>
      <c r="B3718" s="201"/>
    </row>
    <row r="3719" spans="1:2" x14ac:dyDescent="0.25">
      <c r="A3719" s="201"/>
      <c r="B3719" s="201"/>
    </row>
    <row r="3720" spans="1:2" x14ac:dyDescent="0.25">
      <c r="A3720" s="201"/>
      <c r="B3720" s="201"/>
    </row>
    <row r="3721" spans="1:2" x14ac:dyDescent="0.25">
      <c r="A3721" s="201"/>
      <c r="B3721" s="201"/>
    </row>
    <row r="3722" spans="1:2" x14ac:dyDescent="0.25">
      <c r="A3722" s="201"/>
      <c r="B3722" s="201"/>
    </row>
    <row r="3723" spans="1:2" x14ac:dyDescent="0.25">
      <c r="A3723" s="201"/>
      <c r="B3723" s="201"/>
    </row>
    <row r="3724" spans="1:2" x14ac:dyDescent="0.25">
      <c r="A3724" s="201"/>
      <c r="B3724" s="201"/>
    </row>
    <row r="3725" spans="1:2" x14ac:dyDescent="0.25">
      <c r="A3725" s="201"/>
      <c r="B3725" s="201"/>
    </row>
    <row r="3726" spans="1:2" x14ac:dyDescent="0.25">
      <c r="A3726" s="201"/>
      <c r="B3726" s="201"/>
    </row>
    <row r="3727" spans="1:2" x14ac:dyDescent="0.25">
      <c r="A3727" s="201"/>
      <c r="B3727" s="201"/>
    </row>
    <row r="3728" spans="1:2" x14ac:dyDescent="0.25">
      <c r="A3728" s="201"/>
      <c r="B3728" s="201"/>
    </row>
    <row r="3729" spans="1:2" x14ac:dyDescent="0.25">
      <c r="A3729" s="201"/>
      <c r="B3729" s="201"/>
    </row>
    <row r="3730" spans="1:2" x14ac:dyDescent="0.25">
      <c r="A3730" s="201"/>
      <c r="B3730" s="201"/>
    </row>
    <row r="3731" spans="1:2" x14ac:dyDescent="0.25">
      <c r="A3731" s="201"/>
      <c r="B3731" s="201"/>
    </row>
    <row r="3732" spans="1:2" x14ac:dyDescent="0.25">
      <c r="A3732" s="201"/>
      <c r="B3732" s="201"/>
    </row>
    <row r="3733" spans="1:2" x14ac:dyDescent="0.25">
      <c r="A3733" s="201"/>
      <c r="B3733" s="201"/>
    </row>
    <row r="3734" spans="1:2" x14ac:dyDescent="0.25">
      <c r="A3734" s="201"/>
      <c r="B3734" s="201"/>
    </row>
    <row r="3735" spans="1:2" x14ac:dyDescent="0.25">
      <c r="A3735" s="201"/>
      <c r="B3735" s="201"/>
    </row>
    <row r="3736" spans="1:2" x14ac:dyDescent="0.25">
      <c r="A3736" s="201"/>
      <c r="B3736" s="201"/>
    </row>
    <row r="3737" spans="1:2" x14ac:dyDescent="0.25">
      <c r="A3737" s="201"/>
      <c r="B3737" s="201"/>
    </row>
    <row r="3738" spans="1:2" x14ac:dyDescent="0.25">
      <c r="A3738" s="201"/>
      <c r="B3738" s="201"/>
    </row>
    <row r="3739" spans="1:2" x14ac:dyDescent="0.25">
      <c r="A3739" s="201"/>
      <c r="B3739" s="201"/>
    </row>
    <row r="3740" spans="1:2" x14ac:dyDescent="0.25">
      <c r="A3740" s="201"/>
      <c r="B3740" s="201"/>
    </row>
    <row r="3741" spans="1:2" x14ac:dyDescent="0.25">
      <c r="A3741" s="201"/>
      <c r="B3741" s="201"/>
    </row>
    <row r="3742" spans="1:2" x14ac:dyDescent="0.25">
      <c r="A3742" s="201"/>
      <c r="B3742" s="201"/>
    </row>
    <row r="3743" spans="1:2" x14ac:dyDescent="0.25">
      <c r="A3743" s="201"/>
      <c r="B3743" s="201"/>
    </row>
    <row r="3744" spans="1:2" x14ac:dyDescent="0.25">
      <c r="A3744" s="201"/>
      <c r="B3744" s="201"/>
    </row>
    <row r="3745" spans="1:2" x14ac:dyDescent="0.25">
      <c r="A3745" s="201"/>
      <c r="B3745" s="201"/>
    </row>
    <row r="3746" spans="1:2" x14ac:dyDescent="0.25">
      <c r="A3746" s="201"/>
      <c r="B3746" s="201"/>
    </row>
    <row r="3747" spans="1:2" x14ac:dyDescent="0.25">
      <c r="A3747" s="201"/>
      <c r="B3747" s="201"/>
    </row>
    <row r="3748" spans="1:2" x14ac:dyDescent="0.25">
      <c r="A3748" s="201"/>
      <c r="B3748" s="201"/>
    </row>
    <row r="3749" spans="1:2" x14ac:dyDescent="0.25">
      <c r="A3749" s="201"/>
      <c r="B3749" s="201"/>
    </row>
    <row r="3750" spans="1:2" x14ac:dyDescent="0.25">
      <c r="A3750" s="201"/>
      <c r="B3750" s="201"/>
    </row>
    <row r="3751" spans="1:2" x14ac:dyDescent="0.25">
      <c r="A3751" s="201"/>
      <c r="B3751" s="201"/>
    </row>
    <row r="3752" spans="1:2" x14ac:dyDescent="0.25">
      <c r="A3752" s="201"/>
      <c r="B3752" s="201"/>
    </row>
    <row r="3753" spans="1:2" x14ac:dyDescent="0.25">
      <c r="A3753" s="201"/>
      <c r="B3753" s="201"/>
    </row>
    <row r="3754" spans="1:2" x14ac:dyDescent="0.25">
      <c r="A3754" s="201"/>
      <c r="B3754" s="201"/>
    </row>
    <row r="3755" spans="1:2" x14ac:dyDescent="0.25">
      <c r="A3755" s="201"/>
      <c r="B3755" s="201"/>
    </row>
    <row r="3756" spans="1:2" x14ac:dyDescent="0.25">
      <c r="A3756" s="201"/>
      <c r="B3756" s="201"/>
    </row>
    <row r="3757" spans="1:2" x14ac:dyDescent="0.25">
      <c r="A3757" s="201"/>
      <c r="B3757" s="201"/>
    </row>
    <row r="3758" spans="1:2" x14ac:dyDescent="0.25">
      <c r="A3758" s="201"/>
      <c r="B3758" s="201"/>
    </row>
    <row r="3759" spans="1:2" x14ac:dyDescent="0.25">
      <c r="A3759" s="201"/>
      <c r="B3759" s="201"/>
    </row>
    <row r="3760" spans="1:2" x14ac:dyDescent="0.25">
      <c r="A3760" s="201"/>
      <c r="B3760" s="201"/>
    </row>
    <row r="3761" spans="1:2" x14ac:dyDescent="0.25">
      <c r="A3761" s="201"/>
      <c r="B3761" s="201"/>
    </row>
    <row r="3762" spans="1:2" x14ac:dyDescent="0.25">
      <c r="A3762" s="201"/>
      <c r="B3762" s="201"/>
    </row>
    <row r="3763" spans="1:2" x14ac:dyDescent="0.25">
      <c r="A3763" s="201"/>
      <c r="B3763" s="201"/>
    </row>
    <row r="3764" spans="1:2" x14ac:dyDescent="0.25">
      <c r="A3764" s="201"/>
      <c r="B3764" s="201"/>
    </row>
    <row r="3765" spans="1:2" x14ac:dyDescent="0.25">
      <c r="A3765" s="201"/>
      <c r="B3765" s="201"/>
    </row>
    <row r="3766" spans="1:2" x14ac:dyDescent="0.25">
      <c r="A3766" s="201"/>
      <c r="B3766" s="201"/>
    </row>
    <row r="3767" spans="1:2" x14ac:dyDescent="0.25">
      <c r="A3767" s="201"/>
      <c r="B3767" s="201"/>
    </row>
    <row r="3768" spans="1:2" x14ac:dyDescent="0.25">
      <c r="A3768" s="201"/>
      <c r="B3768" s="201"/>
    </row>
    <row r="3769" spans="1:2" x14ac:dyDescent="0.25">
      <c r="A3769" s="201"/>
      <c r="B3769" s="201"/>
    </row>
    <row r="3770" spans="1:2" x14ac:dyDescent="0.25">
      <c r="A3770" s="201"/>
      <c r="B3770" s="201"/>
    </row>
    <row r="3771" spans="1:2" x14ac:dyDescent="0.25">
      <c r="A3771" s="201"/>
      <c r="B3771" s="201"/>
    </row>
    <row r="3772" spans="1:2" x14ac:dyDescent="0.25">
      <c r="A3772" s="201"/>
      <c r="B3772" s="201"/>
    </row>
    <row r="3773" spans="1:2" x14ac:dyDescent="0.25">
      <c r="A3773" s="201"/>
      <c r="B3773" s="201"/>
    </row>
    <row r="3774" spans="1:2" x14ac:dyDescent="0.25">
      <c r="A3774" s="201"/>
      <c r="B3774" s="201"/>
    </row>
    <row r="3775" spans="1:2" x14ac:dyDescent="0.25">
      <c r="A3775" s="201"/>
      <c r="B3775" s="201"/>
    </row>
    <row r="3776" spans="1:2" x14ac:dyDescent="0.25">
      <c r="A3776" s="201"/>
      <c r="B3776" s="201"/>
    </row>
    <row r="3777" spans="1:2" x14ac:dyDescent="0.25">
      <c r="A3777" s="201"/>
      <c r="B3777" s="201"/>
    </row>
    <row r="3778" spans="1:2" x14ac:dyDescent="0.25">
      <c r="A3778" s="201"/>
      <c r="B3778" s="201"/>
    </row>
    <row r="3779" spans="1:2" x14ac:dyDescent="0.25">
      <c r="A3779" s="201"/>
      <c r="B3779" s="201"/>
    </row>
    <row r="3780" spans="1:2" x14ac:dyDescent="0.25">
      <c r="A3780" s="201"/>
      <c r="B3780" s="201"/>
    </row>
    <row r="3781" spans="1:2" x14ac:dyDescent="0.25">
      <c r="A3781" s="201"/>
      <c r="B3781" s="201"/>
    </row>
    <row r="3782" spans="1:2" x14ac:dyDescent="0.25">
      <c r="A3782" s="201"/>
      <c r="B3782" s="201"/>
    </row>
    <row r="3783" spans="1:2" x14ac:dyDescent="0.25">
      <c r="A3783" s="201"/>
      <c r="B3783" s="201"/>
    </row>
    <row r="3784" spans="1:2" x14ac:dyDescent="0.25">
      <c r="A3784" s="201"/>
      <c r="B3784" s="201"/>
    </row>
    <row r="3785" spans="1:2" x14ac:dyDescent="0.25">
      <c r="A3785" s="201"/>
      <c r="B3785" s="201"/>
    </row>
    <row r="3786" spans="1:2" x14ac:dyDescent="0.25">
      <c r="A3786" s="201"/>
      <c r="B3786" s="201"/>
    </row>
    <row r="3787" spans="1:2" x14ac:dyDescent="0.25">
      <c r="A3787" s="201"/>
      <c r="B3787" s="201"/>
    </row>
    <row r="3788" spans="1:2" x14ac:dyDescent="0.25">
      <c r="A3788" s="201"/>
      <c r="B3788" s="201"/>
    </row>
    <row r="3789" spans="1:2" x14ac:dyDescent="0.25">
      <c r="A3789" s="201"/>
      <c r="B3789" s="201"/>
    </row>
    <row r="3790" spans="1:2" x14ac:dyDescent="0.25">
      <c r="A3790" s="201"/>
      <c r="B3790" s="201"/>
    </row>
    <row r="3791" spans="1:2" x14ac:dyDescent="0.25">
      <c r="A3791" s="201"/>
      <c r="B3791" s="201"/>
    </row>
    <row r="3792" spans="1:2" x14ac:dyDescent="0.25">
      <c r="A3792" s="201"/>
      <c r="B3792" s="201"/>
    </row>
    <row r="3793" spans="1:2" x14ac:dyDescent="0.25">
      <c r="A3793" s="201"/>
      <c r="B3793" s="201"/>
    </row>
    <row r="3794" spans="1:2" x14ac:dyDescent="0.25">
      <c r="A3794" s="201"/>
      <c r="B3794" s="201"/>
    </row>
    <row r="3795" spans="1:2" x14ac:dyDescent="0.25">
      <c r="A3795" s="201"/>
      <c r="B3795" s="201"/>
    </row>
    <row r="3796" spans="1:2" x14ac:dyDescent="0.25">
      <c r="A3796" s="201"/>
      <c r="B3796" s="201"/>
    </row>
    <row r="3797" spans="1:2" x14ac:dyDescent="0.25">
      <c r="A3797" s="201"/>
      <c r="B3797" s="201"/>
    </row>
    <row r="3798" spans="1:2" x14ac:dyDescent="0.25">
      <c r="A3798" s="201"/>
      <c r="B3798" s="201"/>
    </row>
    <row r="3799" spans="1:2" x14ac:dyDescent="0.25">
      <c r="A3799" s="201"/>
      <c r="B3799" s="201"/>
    </row>
    <row r="3800" spans="1:2" x14ac:dyDescent="0.25">
      <c r="A3800" s="201"/>
      <c r="B3800" s="201"/>
    </row>
    <row r="3801" spans="1:2" x14ac:dyDescent="0.25">
      <c r="A3801" s="201"/>
      <c r="B3801" s="201"/>
    </row>
    <row r="3802" spans="1:2" x14ac:dyDescent="0.25">
      <c r="A3802" s="201"/>
      <c r="B3802" s="201"/>
    </row>
    <row r="3803" spans="1:2" x14ac:dyDescent="0.25">
      <c r="A3803" s="201"/>
      <c r="B3803" s="201"/>
    </row>
    <row r="3804" spans="1:2" x14ac:dyDescent="0.25">
      <c r="A3804" s="201"/>
      <c r="B3804" s="201"/>
    </row>
    <row r="3805" spans="1:2" x14ac:dyDescent="0.25">
      <c r="A3805" s="201"/>
      <c r="B3805" s="201"/>
    </row>
    <row r="3806" spans="1:2" x14ac:dyDescent="0.25">
      <c r="A3806" s="201"/>
      <c r="B3806" s="201"/>
    </row>
    <row r="3807" spans="1:2" x14ac:dyDescent="0.25">
      <c r="A3807" s="201"/>
      <c r="B3807" s="201"/>
    </row>
    <row r="3808" spans="1:2" x14ac:dyDescent="0.25">
      <c r="A3808" s="201"/>
      <c r="B3808" s="201"/>
    </row>
    <row r="3809" spans="1:2" x14ac:dyDescent="0.25">
      <c r="A3809" s="201"/>
      <c r="B3809" s="201"/>
    </row>
    <row r="3810" spans="1:2" x14ac:dyDescent="0.25">
      <c r="A3810" s="201"/>
      <c r="B3810" s="201"/>
    </row>
    <row r="3811" spans="1:2" x14ac:dyDescent="0.25">
      <c r="A3811" s="201"/>
      <c r="B3811" s="201"/>
    </row>
    <row r="3812" spans="1:2" x14ac:dyDescent="0.25">
      <c r="A3812" s="201"/>
      <c r="B3812" s="201"/>
    </row>
    <row r="3813" spans="1:2" x14ac:dyDescent="0.25">
      <c r="A3813" s="201"/>
      <c r="B3813" s="201"/>
    </row>
    <row r="3814" spans="1:2" x14ac:dyDescent="0.25">
      <c r="A3814" s="201"/>
      <c r="B3814" s="201"/>
    </row>
    <row r="3815" spans="1:2" x14ac:dyDescent="0.25">
      <c r="A3815" s="201"/>
      <c r="B3815" s="201"/>
    </row>
    <row r="3816" spans="1:2" x14ac:dyDescent="0.25">
      <c r="A3816" s="201"/>
      <c r="B3816" s="201"/>
    </row>
    <row r="3817" spans="1:2" x14ac:dyDescent="0.25">
      <c r="A3817" s="201"/>
      <c r="B3817" s="201"/>
    </row>
    <row r="3818" spans="1:2" x14ac:dyDescent="0.25">
      <c r="A3818" s="201"/>
      <c r="B3818" s="201"/>
    </row>
    <row r="3819" spans="1:2" x14ac:dyDescent="0.25">
      <c r="A3819" s="201"/>
      <c r="B3819" s="201"/>
    </row>
    <row r="3820" spans="1:2" x14ac:dyDescent="0.25">
      <c r="A3820" s="201"/>
      <c r="B3820" s="201"/>
    </row>
    <row r="3821" spans="1:2" x14ac:dyDescent="0.25">
      <c r="A3821" s="201"/>
      <c r="B3821" s="201"/>
    </row>
    <row r="3822" spans="1:2" x14ac:dyDescent="0.25">
      <c r="A3822" s="201"/>
      <c r="B3822" s="201"/>
    </row>
    <row r="3823" spans="1:2" x14ac:dyDescent="0.25">
      <c r="A3823" s="201"/>
      <c r="B3823" s="201"/>
    </row>
    <row r="3824" spans="1:2" x14ac:dyDescent="0.25">
      <c r="A3824" s="201"/>
      <c r="B3824" s="201"/>
    </row>
    <row r="3825" spans="1:2" x14ac:dyDescent="0.25">
      <c r="A3825" s="201"/>
      <c r="B3825" s="201"/>
    </row>
    <row r="3826" spans="1:2" x14ac:dyDescent="0.25">
      <c r="A3826" s="201"/>
      <c r="B3826" s="201"/>
    </row>
    <row r="3827" spans="1:2" x14ac:dyDescent="0.25">
      <c r="A3827" s="201"/>
      <c r="B3827" s="201"/>
    </row>
    <row r="3828" spans="1:2" x14ac:dyDescent="0.25">
      <c r="A3828" s="201"/>
      <c r="B3828" s="201"/>
    </row>
    <row r="3829" spans="1:2" x14ac:dyDescent="0.25">
      <c r="A3829" s="201"/>
      <c r="B3829" s="201"/>
    </row>
    <row r="3830" spans="1:2" x14ac:dyDescent="0.25">
      <c r="A3830" s="201"/>
      <c r="B3830" s="201"/>
    </row>
    <row r="3831" spans="1:2" x14ac:dyDescent="0.25">
      <c r="A3831" s="201"/>
      <c r="B3831" s="201"/>
    </row>
    <row r="3832" spans="1:2" x14ac:dyDescent="0.25">
      <c r="A3832" s="201"/>
      <c r="B3832" s="201"/>
    </row>
    <row r="3833" spans="1:2" x14ac:dyDescent="0.25">
      <c r="A3833" s="201"/>
      <c r="B3833" s="201"/>
    </row>
    <row r="3834" spans="1:2" x14ac:dyDescent="0.25">
      <c r="A3834" s="201"/>
      <c r="B3834" s="201"/>
    </row>
    <row r="3835" spans="1:2" x14ac:dyDescent="0.25">
      <c r="A3835" s="201"/>
      <c r="B3835" s="201"/>
    </row>
    <row r="3836" spans="1:2" x14ac:dyDescent="0.25">
      <c r="A3836" s="201"/>
      <c r="B3836" s="201"/>
    </row>
    <row r="3837" spans="1:2" x14ac:dyDescent="0.25">
      <c r="A3837" s="201"/>
      <c r="B3837" s="201"/>
    </row>
    <row r="3838" spans="1:2" x14ac:dyDescent="0.25">
      <c r="A3838" s="201"/>
      <c r="B3838" s="201"/>
    </row>
    <row r="3839" spans="1:2" x14ac:dyDescent="0.25">
      <c r="A3839" s="201"/>
      <c r="B3839" s="201"/>
    </row>
    <row r="3840" spans="1:2" x14ac:dyDescent="0.25">
      <c r="A3840" s="201"/>
      <c r="B3840" s="201"/>
    </row>
    <row r="3841" spans="1:2" x14ac:dyDescent="0.25">
      <c r="A3841" s="201"/>
      <c r="B3841" s="201"/>
    </row>
    <row r="3842" spans="1:2" x14ac:dyDescent="0.25">
      <c r="A3842" s="201"/>
      <c r="B3842" s="201"/>
    </row>
    <row r="3843" spans="1:2" x14ac:dyDescent="0.25">
      <c r="A3843" s="201"/>
      <c r="B3843" s="201"/>
    </row>
    <row r="3844" spans="1:2" x14ac:dyDescent="0.25">
      <c r="A3844" s="201"/>
      <c r="B3844" s="201"/>
    </row>
    <row r="3845" spans="1:2" x14ac:dyDescent="0.25">
      <c r="A3845" s="201"/>
      <c r="B3845" s="201"/>
    </row>
    <row r="3846" spans="1:2" x14ac:dyDescent="0.25">
      <c r="A3846" s="201"/>
      <c r="B3846" s="201"/>
    </row>
    <row r="3847" spans="1:2" x14ac:dyDescent="0.25">
      <c r="A3847" s="201"/>
      <c r="B3847" s="201"/>
    </row>
    <row r="3848" spans="1:2" x14ac:dyDescent="0.25">
      <c r="A3848" s="201"/>
      <c r="B3848" s="201"/>
    </row>
    <row r="3849" spans="1:2" x14ac:dyDescent="0.25">
      <c r="A3849" s="201"/>
      <c r="B3849" s="201"/>
    </row>
    <row r="3850" spans="1:2" x14ac:dyDescent="0.25">
      <c r="A3850" s="201"/>
      <c r="B3850" s="201"/>
    </row>
    <row r="3851" spans="1:2" x14ac:dyDescent="0.25">
      <c r="A3851" s="201"/>
      <c r="B3851" s="201"/>
    </row>
    <row r="3852" spans="1:2" x14ac:dyDescent="0.25">
      <c r="A3852" s="201"/>
      <c r="B3852" s="201"/>
    </row>
    <row r="3853" spans="1:2" x14ac:dyDescent="0.25">
      <c r="A3853" s="201"/>
      <c r="B3853" s="201"/>
    </row>
    <row r="3854" spans="1:2" x14ac:dyDescent="0.25">
      <c r="A3854" s="201"/>
      <c r="B3854" s="201"/>
    </row>
    <row r="3855" spans="1:2" x14ac:dyDescent="0.25">
      <c r="A3855" s="201"/>
      <c r="B3855" s="201"/>
    </row>
    <row r="3856" spans="1:2" x14ac:dyDescent="0.25">
      <c r="A3856" s="201"/>
      <c r="B3856" s="201"/>
    </row>
    <row r="3857" spans="1:2" x14ac:dyDescent="0.25">
      <c r="A3857" s="201"/>
      <c r="B3857" s="201"/>
    </row>
    <row r="3858" spans="1:2" x14ac:dyDescent="0.25">
      <c r="A3858" s="201"/>
      <c r="B3858" s="201"/>
    </row>
    <row r="3859" spans="1:2" x14ac:dyDescent="0.25">
      <c r="A3859" s="201"/>
      <c r="B3859" s="201"/>
    </row>
    <row r="3860" spans="1:2" x14ac:dyDescent="0.25">
      <c r="A3860" s="201"/>
      <c r="B3860" s="201"/>
    </row>
    <row r="3861" spans="1:2" x14ac:dyDescent="0.25">
      <c r="A3861" s="201"/>
      <c r="B3861" s="201"/>
    </row>
    <row r="3862" spans="1:2" x14ac:dyDescent="0.25">
      <c r="A3862" s="201"/>
      <c r="B3862" s="201"/>
    </row>
    <row r="3863" spans="1:2" x14ac:dyDescent="0.25">
      <c r="A3863" s="201"/>
      <c r="B3863" s="201"/>
    </row>
    <row r="3864" spans="1:2" x14ac:dyDescent="0.25">
      <c r="A3864" s="201"/>
      <c r="B3864" s="201"/>
    </row>
    <row r="3865" spans="1:2" x14ac:dyDescent="0.25">
      <c r="A3865" s="201"/>
      <c r="B3865" s="201"/>
    </row>
    <row r="3866" spans="1:2" x14ac:dyDescent="0.25">
      <c r="A3866" s="201"/>
      <c r="B3866" s="201"/>
    </row>
    <row r="3867" spans="1:2" x14ac:dyDescent="0.25">
      <c r="A3867" s="201"/>
      <c r="B3867" s="201"/>
    </row>
    <row r="3868" spans="1:2" x14ac:dyDescent="0.25">
      <c r="A3868" s="201"/>
      <c r="B3868" s="201"/>
    </row>
    <row r="3869" spans="1:2" x14ac:dyDescent="0.25">
      <c r="A3869" s="201"/>
      <c r="B3869" s="201"/>
    </row>
    <row r="3870" spans="1:2" x14ac:dyDescent="0.25">
      <c r="A3870" s="201"/>
      <c r="B3870" s="201"/>
    </row>
    <row r="3871" spans="1:2" x14ac:dyDescent="0.25">
      <c r="A3871" s="201"/>
      <c r="B3871" s="201"/>
    </row>
    <row r="3872" spans="1:2" x14ac:dyDescent="0.25">
      <c r="A3872" s="201"/>
      <c r="B3872" s="201"/>
    </row>
    <row r="3873" spans="1:2" x14ac:dyDescent="0.25">
      <c r="A3873" s="201"/>
      <c r="B3873" s="201"/>
    </row>
    <row r="3874" spans="1:2" x14ac:dyDescent="0.25">
      <c r="A3874" s="201"/>
      <c r="B3874" s="201"/>
    </row>
    <row r="3875" spans="1:2" x14ac:dyDescent="0.25">
      <c r="A3875" s="201"/>
      <c r="B3875" s="201"/>
    </row>
    <row r="3876" spans="1:2" x14ac:dyDescent="0.25">
      <c r="A3876" s="201"/>
      <c r="B3876" s="201"/>
    </row>
    <row r="3877" spans="1:2" x14ac:dyDescent="0.25">
      <c r="A3877" s="201"/>
      <c r="B3877" s="201"/>
    </row>
    <row r="3878" spans="1:2" x14ac:dyDescent="0.25">
      <c r="A3878" s="201"/>
      <c r="B3878" s="201"/>
    </row>
    <row r="3879" spans="1:2" x14ac:dyDescent="0.25">
      <c r="A3879" s="201"/>
      <c r="B3879" s="201"/>
    </row>
    <row r="3880" spans="1:2" x14ac:dyDescent="0.25">
      <c r="A3880" s="201"/>
      <c r="B3880" s="201"/>
    </row>
    <row r="3881" spans="1:2" x14ac:dyDescent="0.25">
      <c r="A3881" s="201"/>
      <c r="B3881" s="201"/>
    </row>
    <row r="3882" spans="1:2" x14ac:dyDescent="0.25">
      <c r="A3882" s="201"/>
      <c r="B3882" s="201"/>
    </row>
    <row r="3883" spans="1:2" x14ac:dyDescent="0.25">
      <c r="A3883" s="201"/>
      <c r="B3883" s="201"/>
    </row>
    <row r="3884" spans="1:2" x14ac:dyDescent="0.25">
      <c r="A3884" s="201"/>
      <c r="B3884" s="201"/>
    </row>
    <row r="3885" spans="1:2" x14ac:dyDescent="0.25">
      <c r="A3885" s="201"/>
      <c r="B3885" s="201"/>
    </row>
    <row r="3886" spans="1:2" x14ac:dyDescent="0.25">
      <c r="A3886" s="201"/>
      <c r="B3886" s="201"/>
    </row>
    <row r="3887" spans="1:2" x14ac:dyDescent="0.25">
      <c r="A3887" s="201"/>
      <c r="B3887" s="201"/>
    </row>
    <row r="3888" spans="1:2" x14ac:dyDescent="0.25">
      <c r="A3888" s="201"/>
      <c r="B3888" s="201"/>
    </row>
    <row r="3889" spans="1:2" x14ac:dyDescent="0.25">
      <c r="A3889" s="201"/>
      <c r="B3889" s="201"/>
    </row>
    <row r="3890" spans="1:2" x14ac:dyDescent="0.25">
      <c r="A3890" s="201"/>
      <c r="B3890" s="201"/>
    </row>
    <row r="3891" spans="1:2" x14ac:dyDescent="0.25">
      <c r="A3891" s="201"/>
      <c r="B3891" s="201"/>
    </row>
    <row r="3892" spans="1:2" x14ac:dyDescent="0.25">
      <c r="A3892" s="201"/>
      <c r="B3892" s="201"/>
    </row>
    <row r="3893" spans="1:2" x14ac:dyDescent="0.25">
      <c r="A3893" s="201"/>
      <c r="B3893" s="201"/>
    </row>
    <row r="3894" spans="1:2" x14ac:dyDescent="0.25">
      <c r="A3894" s="201"/>
      <c r="B3894" s="201"/>
    </row>
    <row r="3895" spans="1:2" x14ac:dyDescent="0.25">
      <c r="A3895" s="201"/>
      <c r="B3895" s="201"/>
    </row>
    <row r="3896" spans="1:2" x14ac:dyDescent="0.25">
      <c r="A3896" s="201"/>
      <c r="B3896" s="201"/>
    </row>
    <row r="3897" spans="1:2" x14ac:dyDescent="0.25">
      <c r="A3897" s="201"/>
      <c r="B3897" s="201"/>
    </row>
    <row r="3898" spans="1:2" x14ac:dyDescent="0.25">
      <c r="A3898" s="201"/>
      <c r="B3898" s="201"/>
    </row>
    <row r="3899" spans="1:2" x14ac:dyDescent="0.25">
      <c r="A3899" s="201"/>
      <c r="B3899" s="201"/>
    </row>
    <row r="3900" spans="1:2" x14ac:dyDescent="0.25">
      <c r="A3900" s="201"/>
      <c r="B3900" s="201"/>
    </row>
    <row r="3901" spans="1:2" x14ac:dyDescent="0.25">
      <c r="A3901" s="201"/>
      <c r="B3901" s="201"/>
    </row>
    <row r="3902" spans="1:2" x14ac:dyDescent="0.25">
      <c r="A3902" s="201"/>
      <c r="B3902" s="201"/>
    </row>
    <row r="3903" spans="1:2" x14ac:dyDescent="0.25">
      <c r="A3903" s="201"/>
      <c r="B3903" s="201"/>
    </row>
    <row r="3904" spans="1:2" x14ac:dyDescent="0.25">
      <c r="A3904" s="201"/>
      <c r="B3904" s="201"/>
    </row>
    <row r="3905" spans="1:2" x14ac:dyDescent="0.25">
      <c r="A3905" s="201"/>
      <c r="B3905" s="201"/>
    </row>
    <row r="3906" spans="1:2" x14ac:dyDescent="0.25">
      <c r="A3906" s="201"/>
      <c r="B3906" s="201"/>
    </row>
    <row r="3907" spans="1:2" x14ac:dyDescent="0.25">
      <c r="A3907" s="201"/>
      <c r="B3907" s="201"/>
    </row>
    <row r="3908" spans="1:2" x14ac:dyDescent="0.25">
      <c r="A3908" s="201"/>
      <c r="B3908" s="201"/>
    </row>
    <row r="3909" spans="1:2" x14ac:dyDescent="0.25">
      <c r="A3909" s="201"/>
      <c r="B3909" s="201"/>
    </row>
    <row r="3910" spans="1:2" x14ac:dyDescent="0.25">
      <c r="A3910" s="201"/>
      <c r="B3910" s="201"/>
    </row>
    <row r="3911" spans="1:2" x14ac:dyDescent="0.25">
      <c r="A3911" s="201"/>
      <c r="B3911" s="201"/>
    </row>
    <row r="3912" spans="1:2" x14ac:dyDescent="0.25">
      <c r="A3912" s="201"/>
      <c r="B3912" s="201"/>
    </row>
    <row r="3913" spans="1:2" x14ac:dyDescent="0.25">
      <c r="A3913" s="201"/>
      <c r="B3913" s="201"/>
    </row>
    <row r="3914" spans="1:2" x14ac:dyDescent="0.25">
      <c r="A3914" s="201"/>
      <c r="B3914" s="201"/>
    </row>
    <row r="3915" spans="1:2" x14ac:dyDescent="0.25">
      <c r="A3915" s="201"/>
      <c r="B3915" s="201"/>
    </row>
    <row r="3916" spans="1:2" x14ac:dyDescent="0.25">
      <c r="A3916" s="201"/>
      <c r="B3916" s="201"/>
    </row>
    <row r="3917" spans="1:2" x14ac:dyDescent="0.25">
      <c r="A3917" s="201"/>
      <c r="B3917" s="201"/>
    </row>
    <row r="3918" spans="1:2" x14ac:dyDescent="0.25">
      <c r="A3918" s="201"/>
      <c r="B3918" s="201"/>
    </row>
    <row r="3919" spans="1:2" x14ac:dyDescent="0.25">
      <c r="A3919" s="201"/>
      <c r="B3919" s="201"/>
    </row>
    <row r="3920" spans="1:2" x14ac:dyDescent="0.25">
      <c r="A3920" s="201"/>
      <c r="B3920" s="201"/>
    </row>
    <row r="3921" spans="1:2" x14ac:dyDescent="0.25">
      <c r="A3921" s="201"/>
      <c r="B3921" s="201"/>
    </row>
    <row r="3922" spans="1:2" x14ac:dyDescent="0.25">
      <c r="A3922" s="201"/>
      <c r="B3922" s="201"/>
    </row>
    <row r="3923" spans="1:2" x14ac:dyDescent="0.25">
      <c r="A3923" s="201"/>
      <c r="B3923" s="201"/>
    </row>
    <row r="3924" spans="1:2" x14ac:dyDescent="0.25">
      <c r="A3924" s="201"/>
      <c r="B3924" s="201"/>
    </row>
    <row r="3925" spans="1:2" x14ac:dyDescent="0.25">
      <c r="A3925" s="201"/>
      <c r="B3925" s="201"/>
    </row>
    <row r="3926" spans="1:2" x14ac:dyDescent="0.25">
      <c r="A3926" s="201"/>
      <c r="B3926" s="201"/>
    </row>
    <row r="3927" spans="1:2" x14ac:dyDescent="0.25">
      <c r="A3927" s="201"/>
      <c r="B3927" s="201"/>
    </row>
    <row r="3928" spans="1:2" x14ac:dyDescent="0.25">
      <c r="A3928" s="201"/>
      <c r="B3928" s="201"/>
    </row>
    <row r="3929" spans="1:2" x14ac:dyDescent="0.25">
      <c r="A3929" s="201"/>
      <c r="B3929" s="201"/>
    </row>
    <row r="3930" spans="1:2" x14ac:dyDescent="0.25">
      <c r="A3930" s="201"/>
      <c r="B3930" s="201"/>
    </row>
    <row r="3931" spans="1:2" x14ac:dyDescent="0.25">
      <c r="A3931" s="201"/>
      <c r="B3931" s="201"/>
    </row>
    <row r="3932" spans="1:2" x14ac:dyDescent="0.25">
      <c r="A3932" s="201"/>
      <c r="B3932" s="201"/>
    </row>
    <row r="3933" spans="1:2" x14ac:dyDescent="0.25">
      <c r="A3933" s="201"/>
      <c r="B3933" s="201"/>
    </row>
    <row r="3934" spans="1:2" x14ac:dyDescent="0.25">
      <c r="A3934" s="201"/>
      <c r="B3934" s="201"/>
    </row>
    <row r="3935" spans="1:2" x14ac:dyDescent="0.25">
      <c r="A3935" s="201"/>
      <c r="B3935" s="201"/>
    </row>
    <row r="3936" spans="1:2" x14ac:dyDescent="0.25">
      <c r="A3936" s="201"/>
      <c r="B3936" s="201"/>
    </row>
    <row r="3937" spans="1:2" x14ac:dyDescent="0.25">
      <c r="A3937" s="201"/>
      <c r="B3937" s="201"/>
    </row>
    <row r="3938" spans="1:2" x14ac:dyDescent="0.25">
      <c r="A3938" s="201"/>
      <c r="B3938" s="201"/>
    </row>
    <row r="3939" spans="1:2" x14ac:dyDescent="0.25">
      <c r="A3939" s="201"/>
      <c r="B3939" s="201"/>
    </row>
    <row r="3940" spans="1:2" x14ac:dyDescent="0.25">
      <c r="A3940" s="201"/>
      <c r="B3940" s="201"/>
    </row>
    <row r="3941" spans="1:2" x14ac:dyDescent="0.25">
      <c r="A3941" s="201"/>
      <c r="B3941" s="201"/>
    </row>
    <row r="3942" spans="1:2" x14ac:dyDescent="0.25">
      <c r="A3942" s="201"/>
      <c r="B3942" s="201"/>
    </row>
    <row r="3943" spans="1:2" x14ac:dyDescent="0.25">
      <c r="A3943" s="201"/>
      <c r="B3943" s="201"/>
    </row>
    <row r="3944" spans="1:2" x14ac:dyDescent="0.25">
      <c r="A3944" s="201"/>
      <c r="B3944" s="201"/>
    </row>
    <row r="3945" spans="1:2" x14ac:dyDescent="0.25">
      <c r="A3945" s="201"/>
      <c r="B3945" s="201"/>
    </row>
    <row r="3946" spans="1:2" x14ac:dyDescent="0.25">
      <c r="A3946" s="201"/>
      <c r="B3946" s="201"/>
    </row>
    <row r="3947" spans="1:2" x14ac:dyDescent="0.25">
      <c r="A3947" s="201"/>
      <c r="B3947" s="201"/>
    </row>
    <row r="3948" spans="1:2" x14ac:dyDescent="0.25">
      <c r="A3948" s="201"/>
      <c r="B3948" s="201"/>
    </row>
    <row r="3949" spans="1:2" x14ac:dyDescent="0.25">
      <c r="A3949" s="201"/>
      <c r="B3949" s="201"/>
    </row>
    <row r="3950" spans="1:2" x14ac:dyDescent="0.25">
      <c r="A3950" s="201"/>
      <c r="B3950" s="201"/>
    </row>
    <row r="3951" spans="1:2" x14ac:dyDescent="0.25">
      <c r="A3951" s="201"/>
      <c r="B3951" s="201"/>
    </row>
    <row r="3952" spans="1:2" x14ac:dyDescent="0.25">
      <c r="A3952" s="201"/>
      <c r="B3952" s="201"/>
    </row>
    <row r="3953" spans="1:2" x14ac:dyDescent="0.25">
      <c r="A3953" s="201"/>
      <c r="B3953" s="201"/>
    </row>
    <row r="3954" spans="1:2" x14ac:dyDescent="0.25">
      <c r="A3954" s="201"/>
      <c r="B3954" s="201"/>
    </row>
    <row r="3955" spans="1:2" x14ac:dyDescent="0.25">
      <c r="A3955" s="201"/>
      <c r="B3955" s="201"/>
    </row>
    <row r="3956" spans="1:2" x14ac:dyDescent="0.25">
      <c r="A3956" s="201"/>
      <c r="B3956" s="201"/>
    </row>
    <row r="3957" spans="1:2" x14ac:dyDescent="0.25">
      <c r="A3957" s="201"/>
      <c r="B3957" s="201"/>
    </row>
    <row r="3958" spans="1:2" x14ac:dyDescent="0.25">
      <c r="A3958" s="201"/>
      <c r="B3958" s="201"/>
    </row>
    <row r="3959" spans="1:2" x14ac:dyDescent="0.25">
      <c r="A3959" s="201"/>
      <c r="B3959" s="201"/>
    </row>
    <row r="3960" spans="1:2" x14ac:dyDescent="0.25">
      <c r="A3960" s="201"/>
      <c r="B3960" s="201"/>
    </row>
    <row r="3961" spans="1:2" x14ac:dyDescent="0.25">
      <c r="A3961" s="201"/>
      <c r="B3961" s="201"/>
    </row>
    <row r="3962" spans="1:2" x14ac:dyDescent="0.25">
      <c r="A3962" s="201"/>
      <c r="B3962" s="201"/>
    </row>
    <row r="3963" spans="1:2" x14ac:dyDescent="0.25">
      <c r="A3963" s="201"/>
      <c r="B3963" s="201"/>
    </row>
    <row r="3964" spans="1:2" x14ac:dyDescent="0.25">
      <c r="A3964" s="201"/>
      <c r="B3964" s="201"/>
    </row>
    <row r="3965" spans="1:2" x14ac:dyDescent="0.25">
      <c r="A3965" s="201"/>
      <c r="B3965" s="201"/>
    </row>
    <row r="3966" spans="1:2" x14ac:dyDescent="0.25">
      <c r="A3966" s="201"/>
      <c r="B3966" s="201"/>
    </row>
    <row r="3967" spans="1:2" x14ac:dyDescent="0.25">
      <c r="A3967" s="201"/>
      <c r="B3967" s="201"/>
    </row>
    <row r="3968" spans="1:2" x14ac:dyDescent="0.25">
      <c r="A3968" s="201"/>
      <c r="B3968" s="201"/>
    </row>
    <row r="3969" spans="1:2" x14ac:dyDescent="0.25">
      <c r="A3969" s="201"/>
      <c r="B3969" s="201"/>
    </row>
    <row r="3970" spans="1:2" x14ac:dyDescent="0.25">
      <c r="A3970" s="201"/>
      <c r="B3970" s="201"/>
    </row>
    <row r="3971" spans="1:2" x14ac:dyDescent="0.25">
      <c r="A3971" s="201"/>
      <c r="B3971" s="201"/>
    </row>
    <row r="3972" spans="1:2" x14ac:dyDescent="0.25">
      <c r="A3972" s="201"/>
      <c r="B3972" s="201"/>
    </row>
    <row r="3973" spans="1:2" x14ac:dyDescent="0.25">
      <c r="A3973" s="201"/>
      <c r="B3973" s="201"/>
    </row>
    <row r="3974" spans="1:2" x14ac:dyDescent="0.25">
      <c r="A3974" s="201"/>
      <c r="B3974" s="201"/>
    </row>
    <row r="3975" spans="1:2" x14ac:dyDescent="0.25">
      <c r="A3975" s="201"/>
      <c r="B3975" s="201"/>
    </row>
    <row r="3976" spans="1:2" x14ac:dyDescent="0.25">
      <c r="A3976" s="201"/>
      <c r="B3976" s="201"/>
    </row>
    <row r="3977" spans="1:2" x14ac:dyDescent="0.25">
      <c r="A3977" s="201"/>
      <c r="B3977" s="201"/>
    </row>
    <row r="3978" spans="1:2" x14ac:dyDescent="0.25">
      <c r="A3978" s="201"/>
      <c r="B3978" s="201"/>
    </row>
    <row r="3979" spans="1:2" x14ac:dyDescent="0.25">
      <c r="A3979" s="201"/>
      <c r="B3979" s="201"/>
    </row>
    <row r="3980" spans="1:2" x14ac:dyDescent="0.25">
      <c r="A3980" s="201"/>
      <c r="B3980" s="201"/>
    </row>
    <row r="3981" spans="1:2" x14ac:dyDescent="0.25">
      <c r="A3981" s="201"/>
      <c r="B3981" s="201"/>
    </row>
    <row r="3982" spans="1:2" x14ac:dyDescent="0.25">
      <c r="A3982" s="201"/>
      <c r="B3982" s="201"/>
    </row>
    <row r="3983" spans="1:2" x14ac:dyDescent="0.25">
      <c r="A3983" s="201"/>
      <c r="B3983" s="201"/>
    </row>
    <row r="3984" spans="1:2" x14ac:dyDescent="0.25">
      <c r="A3984" s="201"/>
      <c r="B3984" s="201"/>
    </row>
    <row r="3985" spans="1:2" x14ac:dyDescent="0.25">
      <c r="A3985" s="201"/>
      <c r="B3985" s="201"/>
    </row>
    <row r="3986" spans="1:2" x14ac:dyDescent="0.25">
      <c r="A3986" s="201"/>
      <c r="B3986" s="201"/>
    </row>
    <row r="3987" spans="1:2" x14ac:dyDescent="0.25">
      <c r="A3987" s="201"/>
      <c r="B3987" s="201"/>
    </row>
    <row r="3988" spans="1:2" x14ac:dyDescent="0.25">
      <c r="A3988" s="201"/>
      <c r="B3988" s="201"/>
    </row>
    <row r="3989" spans="1:2" x14ac:dyDescent="0.25">
      <c r="A3989" s="201"/>
      <c r="B3989" s="201"/>
    </row>
    <row r="3990" spans="1:2" x14ac:dyDescent="0.25">
      <c r="A3990" s="201"/>
      <c r="B3990" s="201"/>
    </row>
    <row r="3991" spans="1:2" x14ac:dyDescent="0.25">
      <c r="A3991" s="201"/>
      <c r="B3991" s="201"/>
    </row>
    <row r="3992" spans="1:2" x14ac:dyDescent="0.25">
      <c r="A3992" s="201"/>
      <c r="B3992" s="201"/>
    </row>
    <row r="3993" spans="1:2" x14ac:dyDescent="0.25">
      <c r="A3993" s="201"/>
      <c r="B3993" s="201"/>
    </row>
    <row r="3994" spans="1:2" x14ac:dyDescent="0.25">
      <c r="A3994" s="201"/>
      <c r="B3994" s="201"/>
    </row>
    <row r="3995" spans="1:2" x14ac:dyDescent="0.25">
      <c r="A3995" s="201"/>
      <c r="B3995" s="201"/>
    </row>
    <row r="3996" spans="1:2" x14ac:dyDescent="0.25">
      <c r="A3996" s="201"/>
      <c r="B3996" s="201"/>
    </row>
    <row r="3997" spans="1:2" x14ac:dyDescent="0.25">
      <c r="A3997" s="201"/>
      <c r="B3997" s="201"/>
    </row>
    <row r="3998" spans="1:2" x14ac:dyDescent="0.25">
      <c r="A3998" s="201"/>
      <c r="B3998" s="201"/>
    </row>
    <row r="3999" spans="1:2" x14ac:dyDescent="0.25">
      <c r="A3999" s="201"/>
      <c r="B3999" s="201"/>
    </row>
    <row r="4000" spans="1:2" x14ac:dyDescent="0.25">
      <c r="A4000" s="201"/>
      <c r="B4000" s="201"/>
    </row>
    <row r="4001" spans="1:2" x14ac:dyDescent="0.25">
      <c r="A4001" s="201"/>
      <c r="B4001" s="201"/>
    </row>
    <row r="4002" spans="1:2" x14ac:dyDescent="0.25">
      <c r="A4002" s="201"/>
      <c r="B4002" s="201"/>
    </row>
    <row r="4003" spans="1:2" x14ac:dyDescent="0.25">
      <c r="A4003" s="201"/>
      <c r="B4003" s="201"/>
    </row>
    <row r="4004" spans="1:2" x14ac:dyDescent="0.25">
      <c r="A4004" s="201"/>
      <c r="B4004" s="201"/>
    </row>
    <row r="4005" spans="1:2" x14ac:dyDescent="0.25">
      <c r="A4005" s="201"/>
      <c r="B4005" s="201"/>
    </row>
    <row r="4006" spans="1:2" x14ac:dyDescent="0.25">
      <c r="A4006" s="201"/>
      <c r="B4006" s="201"/>
    </row>
    <row r="4007" spans="1:2" x14ac:dyDescent="0.25">
      <c r="A4007" s="201"/>
      <c r="B4007" s="201"/>
    </row>
    <row r="4008" spans="1:2" x14ac:dyDescent="0.25">
      <c r="A4008" s="201"/>
      <c r="B4008" s="201"/>
    </row>
    <row r="4009" spans="1:2" x14ac:dyDescent="0.25">
      <c r="A4009" s="201"/>
      <c r="B4009" s="201"/>
    </row>
    <row r="4010" spans="1:2" x14ac:dyDescent="0.25">
      <c r="A4010" s="201"/>
      <c r="B4010" s="201"/>
    </row>
    <row r="4011" spans="1:2" x14ac:dyDescent="0.25">
      <c r="A4011" s="201"/>
      <c r="B4011" s="201"/>
    </row>
    <row r="4012" spans="1:2" x14ac:dyDescent="0.25">
      <c r="A4012" s="201"/>
      <c r="B4012" s="201"/>
    </row>
    <row r="4013" spans="1:2" x14ac:dyDescent="0.25">
      <c r="A4013" s="201"/>
      <c r="B4013" s="201"/>
    </row>
    <row r="4014" spans="1:2" x14ac:dyDescent="0.25">
      <c r="A4014" s="201"/>
      <c r="B4014" s="201"/>
    </row>
    <row r="4015" spans="1:2" x14ac:dyDescent="0.25">
      <c r="A4015" s="201"/>
      <c r="B4015" s="201"/>
    </row>
    <row r="4016" spans="1:2" x14ac:dyDescent="0.25">
      <c r="A4016" s="201"/>
      <c r="B4016" s="201"/>
    </row>
    <row r="4017" spans="1:2" x14ac:dyDescent="0.25">
      <c r="A4017" s="201"/>
      <c r="B4017" s="201"/>
    </row>
    <row r="4018" spans="1:2" x14ac:dyDescent="0.25">
      <c r="A4018" s="201"/>
      <c r="B4018" s="201"/>
    </row>
    <row r="4019" spans="1:2" x14ac:dyDescent="0.25">
      <c r="A4019" s="201"/>
      <c r="B4019" s="201"/>
    </row>
    <row r="4020" spans="1:2" x14ac:dyDescent="0.25">
      <c r="A4020" s="201"/>
      <c r="B4020" s="201"/>
    </row>
    <row r="4021" spans="1:2" x14ac:dyDescent="0.25">
      <c r="A4021" s="201"/>
      <c r="B4021" s="201"/>
    </row>
    <row r="4022" spans="1:2" x14ac:dyDescent="0.25">
      <c r="A4022" s="201"/>
      <c r="B4022" s="201"/>
    </row>
    <row r="4023" spans="1:2" x14ac:dyDescent="0.25">
      <c r="A4023" s="201"/>
      <c r="B4023" s="201"/>
    </row>
    <row r="4024" spans="1:2" x14ac:dyDescent="0.25">
      <c r="A4024" s="201"/>
      <c r="B4024" s="201"/>
    </row>
    <row r="4025" spans="1:2" x14ac:dyDescent="0.25">
      <c r="A4025" s="201"/>
      <c r="B4025" s="201"/>
    </row>
    <row r="4026" spans="1:2" x14ac:dyDescent="0.25">
      <c r="A4026" s="201"/>
      <c r="B4026" s="201"/>
    </row>
    <row r="4027" spans="1:2" x14ac:dyDescent="0.25">
      <c r="A4027" s="201"/>
      <c r="B4027" s="201"/>
    </row>
    <row r="4028" spans="1:2" x14ac:dyDescent="0.25">
      <c r="A4028" s="201"/>
      <c r="B4028" s="201"/>
    </row>
    <row r="4029" spans="1:2" x14ac:dyDescent="0.25">
      <c r="A4029" s="201"/>
      <c r="B4029" s="201"/>
    </row>
    <row r="4030" spans="1:2" x14ac:dyDescent="0.25">
      <c r="A4030" s="201"/>
      <c r="B4030" s="201"/>
    </row>
    <row r="4031" spans="1:2" x14ac:dyDescent="0.25">
      <c r="A4031" s="201"/>
      <c r="B4031" s="201"/>
    </row>
    <row r="4032" spans="1:2" x14ac:dyDescent="0.25">
      <c r="A4032" s="201"/>
      <c r="B4032" s="201"/>
    </row>
    <row r="4033" spans="1:2" x14ac:dyDescent="0.25">
      <c r="A4033" s="201"/>
      <c r="B4033" s="201"/>
    </row>
    <row r="4034" spans="1:2" x14ac:dyDescent="0.25">
      <c r="A4034" s="201"/>
      <c r="B4034" s="201"/>
    </row>
    <row r="4035" spans="1:2" x14ac:dyDescent="0.25">
      <c r="A4035" s="201"/>
      <c r="B4035" s="201"/>
    </row>
    <row r="4036" spans="1:2" x14ac:dyDescent="0.25">
      <c r="A4036" s="201"/>
      <c r="B4036" s="201"/>
    </row>
    <row r="4037" spans="1:2" x14ac:dyDescent="0.25">
      <c r="A4037" s="201"/>
      <c r="B4037" s="201"/>
    </row>
    <row r="4038" spans="1:2" x14ac:dyDescent="0.25">
      <c r="A4038" s="201"/>
      <c r="B4038" s="201"/>
    </row>
    <row r="4039" spans="1:2" x14ac:dyDescent="0.25">
      <c r="A4039" s="201"/>
      <c r="B4039" s="201"/>
    </row>
    <row r="4040" spans="1:2" x14ac:dyDescent="0.25">
      <c r="A4040" s="201"/>
      <c r="B4040" s="201"/>
    </row>
    <row r="4041" spans="1:2" x14ac:dyDescent="0.25">
      <c r="A4041" s="201"/>
      <c r="B4041" s="201"/>
    </row>
    <row r="4042" spans="1:2" x14ac:dyDescent="0.25">
      <c r="A4042" s="201"/>
      <c r="B4042" s="201"/>
    </row>
    <row r="4043" spans="1:2" x14ac:dyDescent="0.25">
      <c r="A4043" s="201"/>
      <c r="B4043" s="201"/>
    </row>
    <row r="4044" spans="1:2" x14ac:dyDescent="0.25">
      <c r="A4044" s="201"/>
      <c r="B4044" s="201"/>
    </row>
    <row r="4045" spans="1:2" x14ac:dyDescent="0.25">
      <c r="A4045" s="201"/>
      <c r="B4045" s="201"/>
    </row>
    <row r="4046" spans="1:2" x14ac:dyDescent="0.25">
      <c r="A4046" s="201"/>
      <c r="B4046" s="201"/>
    </row>
    <row r="4047" spans="1:2" x14ac:dyDescent="0.25">
      <c r="A4047" s="201"/>
      <c r="B4047" s="201"/>
    </row>
    <row r="4048" spans="1:2" x14ac:dyDescent="0.25">
      <c r="A4048" s="201"/>
      <c r="B4048" s="201"/>
    </row>
    <row r="4049" spans="1:2" x14ac:dyDescent="0.25">
      <c r="A4049" s="201"/>
      <c r="B4049" s="201"/>
    </row>
    <row r="4050" spans="1:2" x14ac:dyDescent="0.25">
      <c r="A4050" s="201"/>
      <c r="B4050" s="201"/>
    </row>
    <row r="4051" spans="1:2" x14ac:dyDescent="0.25">
      <c r="A4051" s="201"/>
      <c r="B4051" s="201"/>
    </row>
    <row r="4052" spans="1:2" x14ac:dyDescent="0.25">
      <c r="A4052" s="201"/>
      <c r="B4052" s="201"/>
    </row>
    <row r="4053" spans="1:2" x14ac:dyDescent="0.25">
      <c r="A4053" s="201"/>
      <c r="B4053" s="201"/>
    </row>
    <row r="4054" spans="1:2" x14ac:dyDescent="0.25">
      <c r="A4054" s="201"/>
      <c r="B4054" s="201"/>
    </row>
    <row r="4055" spans="1:2" x14ac:dyDescent="0.25">
      <c r="A4055" s="201"/>
      <c r="B4055" s="201"/>
    </row>
    <row r="4056" spans="1:2" x14ac:dyDescent="0.25">
      <c r="A4056" s="201"/>
      <c r="B4056" s="201"/>
    </row>
    <row r="4057" spans="1:2" x14ac:dyDescent="0.25">
      <c r="A4057" s="201"/>
      <c r="B4057" s="201"/>
    </row>
    <row r="4058" spans="1:2" x14ac:dyDescent="0.25">
      <c r="A4058" s="201"/>
      <c r="B4058" s="201"/>
    </row>
    <row r="4059" spans="1:2" x14ac:dyDescent="0.25">
      <c r="A4059" s="201"/>
      <c r="B4059" s="201"/>
    </row>
    <row r="4060" spans="1:2" x14ac:dyDescent="0.25">
      <c r="A4060" s="201"/>
      <c r="B4060" s="201"/>
    </row>
    <row r="4061" spans="1:2" x14ac:dyDescent="0.25">
      <c r="A4061" s="201"/>
      <c r="B4061" s="201"/>
    </row>
    <row r="4062" spans="1:2" x14ac:dyDescent="0.25">
      <c r="A4062" s="201"/>
      <c r="B4062" s="201"/>
    </row>
    <row r="4063" spans="1:2" x14ac:dyDescent="0.25">
      <c r="A4063" s="201"/>
      <c r="B4063" s="201"/>
    </row>
    <row r="4064" spans="1:2" x14ac:dyDescent="0.25">
      <c r="A4064" s="201"/>
      <c r="B4064" s="201"/>
    </row>
    <row r="4065" spans="1:2" x14ac:dyDescent="0.25">
      <c r="A4065" s="201"/>
      <c r="B4065" s="201"/>
    </row>
    <row r="4066" spans="1:2" x14ac:dyDescent="0.25">
      <c r="A4066" s="201"/>
      <c r="B4066" s="201"/>
    </row>
    <row r="4067" spans="1:2" x14ac:dyDescent="0.25">
      <c r="A4067" s="201"/>
      <c r="B4067" s="201"/>
    </row>
    <row r="4068" spans="1:2" x14ac:dyDescent="0.25">
      <c r="A4068" s="201"/>
      <c r="B4068" s="201"/>
    </row>
    <row r="4069" spans="1:2" x14ac:dyDescent="0.25">
      <c r="A4069" s="201"/>
      <c r="B4069" s="201"/>
    </row>
    <row r="4070" spans="1:2" x14ac:dyDescent="0.25">
      <c r="A4070" s="201"/>
      <c r="B4070" s="201"/>
    </row>
    <row r="4071" spans="1:2" x14ac:dyDescent="0.25">
      <c r="A4071" s="201"/>
      <c r="B4071" s="201"/>
    </row>
    <row r="4072" spans="1:2" x14ac:dyDescent="0.25">
      <c r="A4072" s="201"/>
      <c r="B4072" s="201"/>
    </row>
    <row r="4073" spans="1:2" x14ac:dyDescent="0.25">
      <c r="A4073" s="201"/>
      <c r="B4073" s="201"/>
    </row>
    <row r="4074" spans="1:2" x14ac:dyDescent="0.25">
      <c r="A4074" s="201"/>
      <c r="B4074" s="201"/>
    </row>
    <row r="4075" spans="1:2" x14ac:dyDescent="0.25">
      <c r="A4075" s="201"/>
      <c r="B4075" s="201"/>
    </row>
    <row r="4076" spans="1:2" x14ac:dyDescent="0.25">
      <c r="A4076" s="201"/>
      <c r="B4076" s="201"/>
    </row>
    <row r="4077" spans="1:2" x14ac:dyDescent="0.25">
      <c r="A4077" s="201"/>
      <c r="B4077" s="201"/>
    </row>
    <row r="4078" spans="1:2" x14ac:dyDescent="0.25">
      <c r="A4078" s="201"/>
      <c r="B4078" s="201"/>
    </row>
    <row r="4079" spans="1:2" x14ac:dyDescent="0.25">
      <c r="A4079" s="201"/>
      <c r="B4079" s="201"/>
    </row>
    <row r="4080" spans="1:2" x14ac:dyDescent="0.25">
      <c r="A4080" s="201"/>
      <c r="B4080" s="201"/>
    </row>
    <row r="4081" spans="1:2" x14ac:dyDescent="0.25">
      <c r="A4081" s="201"/>
      <c r="B4081" s="201"/>
    </row>
    <row r="4082" spans="1:2" x14ac:dyDescent="0.25">
      <c r="A4082" s="201"/>
      <c r="B4082" s="201"/>
    </row>
    <row r="4083" spans="1:2" x14ac:dyDescent="0.25">
      <c r="A4083" s="201"/>
      <c r="B4083" s="201"/>
    </row>
    <row r="4084" spans="1:2" x14ac:dyDescent="0.25">
      <c r="A4084" s="201"/>
      <c r="B4084" s="201"/>
    </row>
    <row r="4085" spans="1:2" x14ac:dyDescent="0.25">
      <c r="A4085" s="201"/>
      <c r="B4085" s="201"/>
    </row>
    <row r="4086" spans="1:2" x14ac:dyDescent="0.25">
      <c r="A4086" s="201"/>
      <c r="B4086" s="201"/>
    </row>
    <row r="4087" spans="1:2" x14ac:dyDescent="0.25">
      <c r="A4087" s="201"/>
      <c r="B4087" s="201"/>
    </row>
    <row r="4088" spans="1:2" x14ac:dyDescent="0.25">
      <c r="A4088" s="201"/>
      <c r="B4088" s="201"/>
    </row>
    <row r="4089" spans="1:2" x14ac:dyDescent="0.25">
      <c r="A4089" s="201"/>
      <c r="B4089" s="201"/>
    </row>
    <row r="4090" spans="1:2" x14ac:dyDescent="0.25">
      <c r="A4090" s="201"/>
      <c r="B4090" s="201"/>
    </row>
    <row r="4091" spans="1:2" x14ac:dyDescent="0.25">
      <c r="A4091" s="201"/>
      <c r="B4091" s="201"/>
    </row>
    <row r="4092" spans="1:2" x14ac:dyDescent="0.25">
      <c r="A4092" s="201"/>
      <c r="B4092" s="201"/>
    </row>
    <row r="4093" spans="1:2" x14ac:dyDescent="0.25">
      <c r="A4093" s="201"/>
      <c r="B4093" s="201"/>
    </row>
    <row r="4094" spans="1:2" x14ac:dyDescent="0.25">
      <c r="A4094" s="201"/>
      <c r="B4094" s="201"/>
    </row>
    <row r="4095" spans="1:2" x14ac:dyDescent="0.25">
      <c r="A4095" s="201"/>
      <c r="B4095" s="201"/>
    </row>
    <row r="4096" spans="1:2" x14ac:dyDescent="0.25">
      <c r="A4096" s="201"/>
      <c r="B4096" s="201"/>
    </row>
    <row r="4097" spans="1:2" x14ac:dyDescent="0.25">
      <c r="A4097" s="201"/>
      <c r="B4097" s="201"/>
    </row>
    <row r="4098" spans="1:2" x14ac:dyDescent="0.25">
      <c r="A4098" s="201"/>
      <c r="B4098" s="201"/>
    </row>
    <row r="4099" spans="1:2" x14ac:dyDescent="0.25">
      <c r="A4099" s="201"/>
      <c r="B4099" s="201"/>
    </row>
    <row r="4100" spans="1:2" x14ac:dyDescent="0.25">
      <c r="A4100" s="201"/>
      <c r="B4100" s="201"/>
    </row>
    <row r="4101" spans="1:2" x14ac:dyDescent="0.25">
      <c r="A4101" s="201"/>
      <c r="B4101" s="201"/>
    </row>
    <row r="4102" spans="1:2" x14ac:dyDescent="0.25">
      <c r="A4102" s="201"/>
      <c r="B4102" s="201"/>
    </row>
    <row r="4103" spans="1:2" x14ac:dyDescent="0.25">
      <c r="A4103" s="201"/>
      <c r="B4103" s="201"/>
    </row>
    <row r="4104" spans="1:2" x14ac:dyDescent="0.25">
      <c r="A4104" s="201"/>
      <c r="B4104" s="201"/>
    </row>
    <row r="4105" spans="1:2" x14ac:dyDescent="0.25">
      <c r="A4105" s="201"/>
      <c r="B4105" s="201"/>
    </row>
    <row r="4106" spans="1:2" x14ac:dyDescent="0.25">
      <c r="A4106" s="201"/>
      <c r="B4106" s="201"/>
    </row>
    <row r="4107" spans="1:2" x14ac:dyDescent="0.25">
      <c r="A4107" s="201"/>
      <c r="B4107" s="201"/>
    </row>
    <row r="4108" spans="1:2" x14ac:dyDescent="0.25">
      <c r="A4108" s="201"/>
      <c r="B4108" s="201"/>
    </row>
    <row r="4109" spans="1:2" x14ac:dyDescent="0.25">
      <c r="A4109" s="201"/>
      <c r="B4109" s="201"/>
    </row>
    <row r="4110" spans="1:2" x14ac:dyDescent="0.25">
      <c r="A4110" s="201"/>
      <c r="B4110" s="201"/>
    </row>
    <row r="4111" spans="1:2" x14ac:dyDescent="0.25">
      <c r="A4111" s="201"/>
      <c r="B4111" s="201"/>
    </row>
    <row r="4112" spans="1:2" x14ac:dyDescent="0.25">
      <c r="A4112" s="201"/>
      <c r="B4112" s="201"/>
    </row>
    <row r="4113" spans="1:2" x14ac:dyDescent="0.25">
      <c r="A4113" s="201"/>
      <c r="B4113" s="201"/>
    </row>
    <row r="4114" spans="1:2" x14ac:dyDescent="0.25">
      <c r="A4114" s="201"/>
      <c r="B4114" s="201"/>
    </row>
    <row r="4115" spans="1:2" x14ac:dyDescent="0.25">
      <c r="A4115" s="201"/>
      <c r="B4115" s="201"/>
    </row>
    <row r="4116" spans="1:2" x14ac:dyDescent="0.25">
      <c r="A4116" s="201"/>
      <c r="B4116" s="201"/>
    </row>
    <row r="4117" spans="1:2" x14ac:dyDescent="0.25">
      <c r="A4117" s="201"/>
      <c r="B4117" s="201"/>
    </row>
    <row r="4118" spans="1:2" x14ac:dyDescent="0.25">
      <c r="A4118" s="201"/>
      <c r="B4118" s="201"/>
    </row>
    <row r="4119" spans="1:2" x14ac:dyDescent="0.25">
      <c r="A4119" s="201"/>
      <c r="B4119" s="201"/>
    </row>
    <row r="4120" spans="1:2" x14ac:dyDescent="0.25">
      <c r="A4120" s="201"/>
      <c r="B4120" s="201"/>
    </row>
    <row r="4121" spans="1:2" x14ac:dyDescent="0.25">
      <c r="A4121" s="201"/>
      <c r="B4121" s="201"/>
    </row>
    <row r="4122" spans="1:2" x14ac:dyDescent="0.25">
      <c r="A4122" s="201"/>
      <c r="B4122" s="201"/>
    </row>
    <row r="4123" spans="1:2" x14ac:dyDescent="0.25">
      <c r="A4123" s="201"/>
      <c r="B4123" s="201"/>
    </row>
    <row r="4124" spans="1:2" x14ac:dyDescent="0.25">
      <c r="A4124" s="201"/>
      <c r="B4124" s="201"/>
    </row>
    <row r="4125" spans="1:2" x14ac:dyDescent="0.25">
      <c r="A4125" s="201"/>
      <c r="B4125" s="201"/>
    </row>
    <row r="4126" spans="1:2" x14ac:dyDescent="0.25">
      <c r="A4126" s="201"/>
      <c r="B4126" s="201"/>
    </row>
    <row r="4127" spans="1:2" x14ac:dyDescent="0.25">
      <c r="A4127" s="201"/>
      <c r="B4127" s="201"/>
    </row>
    <row r="4128" spans="1:2" x14ac:dyDescent="0.25">
      <c r="A4128" s="201"/>
      <c r="B4128" s="201"/>
    </row>
    <row r="4129" spans="1:2" x14ac:dyDescent="0.25">
      <c r="A4129" s="201"/>
      <c r="B4129" s="201"/>
    </row>
    <row r="4130" spans="1:2" x14ac:dyDescent="0.25">
      <c r="A4130" s="201"/>
      <c r="B4130" s="201"/>
    </row>
    <row r="4131" spans="1:2" x14ac:dyDescent="0.25">
      <c r="A4131" s="201"/>
      <c r="B4131" s="201"/>
    </row>
    <row r="4132" spans="1:2" x14ac:dyDescent="0.25">
      <c r="A4132" s="201"/>
      <c r="B4132" s="201"/>
    </row>
    <row r="4133" spans="1:2" x14ac:dyDescent="0.25">
      <c r="A4133" s="201"/>
      <c r="B4133" s="201"/>
    </row>
    <row r="4134" spans="1:2" x14ac:dyDescent="0.25">
      <c r="A4134" s="201"/>
      <c r="B4134" s="201"/>
    </row>
    <row r="4135" spans="1:2" x14ac:dyDescent="0.25">
      <c r="A4135" s="201"/>
      <c r="B4135" s="201"/>
    </row>
    <row r="4136" spans="1:2" x14ac:dyDescent="0.25">
      <c r="A4136" s="201"/>
      <c r="B4136" s="201"/>
    </row>
    <row r="4137" spans="1:2" x14ac:dyDescent="0.25">
      <c r="A4137" s="201"/>
      <c r="B4137" s="201"/>
    </row>
    <row r="4138" spans="1:2" x14ac:dyDescent="0.25">
      <c r="A4138" s="201"/>
      <c r="B4138" s="201"/>
    </row>
    <row r="4139" spans="1:2" x14ac:dyDescent="0.25">
      <c r="A4139" s="201"/>
      <c r="B4139" s="201"/>
    </row>
    <row r="4140" spans="1:2" x14ac:dyDescent="0.25">
      <c r="A4140" s="201"/>
      <c r="B4140" s="201"/>
    </row>
    <row r="4141" spans="1:2" x14ac:dyDescent="0.25">
      <c r="A4141" s="201"/>
      <c r="B4141" s="201"/>
    </row>
    <row r="4142" spans="1:2" x14ac:dyDescent="0.25">
      <c r="A4142" s="201"/>
      <c r="B4142" s="201"/>
    </row>
    <row r="4143" spans="1:2" x14ac:dyDescent="0.25">
      <c r="A4143" s="201"/>
      <c r="B4143" s="201"/>
    </row>
    <row r="4144" spans="1:2" x14ac:dyDescent="0.25">
      <c r="A4144" s="201"/>
      <c r="B4144" s="201"/>
    </row>
    <row r="4145" spans="1:2" x14ac:dyDescent="0.25">
      <c r="A4145" s="201"/>
      <c r="B4145" s="201"/>
    </row>
    <row r="4146" spans="1:2" x14ac:dyDescent="0.25">
      <c r="A4146" s="201"/>
      <c r="B4146" s="201"/>
    </row>
    <row r="4147" spans="1:2" x14ac:dyDescent="0.25">
      <c r="A4147" s="201"/>
      <c r="B4147" s="201"/>
    </row>
    <row r="4148" spans="1:2" x14ac:dyDescent="0.25">
      <c r="A4148" s="201"/>
      <c r="B4148" s="201"/>
    </row>
    <row r="4149" spans="1:2" x14ac:dyDescent="0.25">
      <c r="A4149" s="201"/>
      <c r="B4149" s="201"/>
    </row>
    <row r="4150" spans="1:2" x14ac:dyDescent="0.25">
      <c r="A4150" s="201"/>
      <c r="B4150" s="201"/>
    </row>
    <row r="4151" spans="1:2" x14ac:dyDescent="0.25">
      <c r="A4151" s="201"/>
      <c r="B4151" s="201"/>
    </row>
    <row r="4152" spans="1:2" x14ac:dyDescent="0.25">
      <c r="A4152" s="201"/>
      <c r="B4152" s="201"/>
    </row>
    <row r="4153" spans="1:2" x14ac:dyDescent="0.25">
      <c r="A4153" s="201"/>
      <c r="B4153" s="201"/>
    </row>
    <row r="4154" spans="1:2" x14ac:dyDescent="0.25">
      <c r="A4154" s="201"/>
      <c r="B4154" s="201"/>
    </row>
    <row r="4155" spans="1:2" x14ac:dyDescent="0.25">
      <c r="A4155" s="201"/>
      <c r="B4155" s="201"/>
    </row>
    <row r="4156" spans="1:2" x14ac:dyDescent="0.25">
      <c r="A4156" s="201"/>
      <c r="B4156" s="201"/>
    </row>
    <row r="4157" spans="1:2" x14ac:dyDescent="0.25">
      <c r="A4157" s="201"/>
      <c r="B4157" s="201"/>
    </row>
    <row r="4158" spans="1:2" x14ac:dyDescent="0.25">
      <c r="A4158" s="201"/>
      <c r="B4158" s="201"/>
    </row>
    <row r="4159" spans="1:2" x14ac:dyDescent="0.25">
      <c r="A4159" s="201"/>
      <c r="B4159" s="201"/>
    </row>
    <row r="4160" spans="1:2" x14ac:dyDescent="0.25">
      <c r="A4160" s="201"/>
      <c r="B4160" s="201"/>
    </row>
    <row r="4161" spans="1:2" x14ac:dyDescent="0.25">
      <c r="A4161" s="201"/>
      <c r="B4161" s="201"/>
    </row>
    <row r="4162" spans="1:2" x14ac:dyDescent="0.25">
      <c r="A4162" s="201"/>
      <c r="B4162" s="201"/>
    </row>
    <row r="4163" spans="1:2" x14ac:dyDescent="0.25">
      <c r="A4163" s="201"/>
      <c r="B4163" s="201"/>
    </row>
    <row r="4164" spans="1:2" x14ac:dyDescent="0.25">
      <c r="A4164" s="201"/>
      <c r="B4164" s="201"/>
    </row>
    <row r="4165" spans="1:2" x14ac:dyDescent="0.25">
      <c r="A4165" s="201"/>
      <c r="B4165" s="201"/>
    </row>
    <row r="4166" spans="1:2" x14ac:dyDescent="0.25">
      <c r="A4166" s="201"/>
      <c r="B4166" s="201"/>
    </row>
    <row r="4167" spans="1:2" x14ac:dyDescent="0.25">
      <c r="A4167" s="201"/>
      <c r="B4167" s="201"/>
    </row>
    <row r="4168" spans="1:2" x14ac:dyDescent="0.25">
      <c r="A4168" s="201"/>
      <c r="B4168" s="201"/>
    </row>
    <row r="4169" spans="1:2" x14ac:dyDescent="0.25">
      <c r="A4169" s="201"/>
      <c r="B4169" s="201"/>
    </row>
    <row r="4170" spans="1:2" x14ac:dyDescent="0.25">
      <c r="A4170" s="201"/>
      <c r="B4170" s="201"/>
    </row>
    <row r="4171" spans="1:2" x14ac:dyDescent="0.25">
      <c r="A4171" s="201"/>
      <c r="B4171" s="201"/>
    </row>
    <row r="4172" spans="1:2" x14ac:dyDescent="0.25">
      <c r="A4172" s="201"/>
      <c r="B4172" s="201"/>
    </row>
    <row r="4173" spans="1:2" x14ac:dyDescent="0.25">
      <c r="A4173" s="201"/>
      <c r="B4173" s="201"/>
    </row>
    <row r="4174" spans="1:2" x14ac:dyDescent="0.25">
      <c r="A4174" s="201"/>
      <c r="B4174" s="201"/>
    </row>
    <row r="4175" spans="1:2" x14ac:dyDescent="0.25">
      <c r="A4175" s="201"/>
      <c r="B4175" s="201"/>
    </row>
    <row r="4176" spans="1:2" x14ac:dyDescent="0.25">
      <c r="A4176" s="201"/>
      <c r="B4176" s="201"/>
    </row>
    <row r="4177" spans="1:2" x14ac:dyDescent="0.25">
      <c r="A4177" s="201"/>
      <c r="B4177" s="201"/>
    </row>
    <row r="4178" spans="1:2" x14ac:dyDescent="0.25">
      <c r="A4178" s="201"/>
      <c r="B4178" s="201"/>
    </row>
    <row r="4179" spans="1:2" x14ac:dyDescent="0.25">
      <c r="A4179" s="201"/>
      <c r="B4179" s="201"/>
    </row>
    <row r="4180" spans="1:2" x14ac:dyDescent="0.25">
      <c r="A4180" s="201"/>
      <c r="B4180" s="201"/>
    </row>
    <row r="4181" spans="1:2" x14ac:dyDescent="0.25">
      <c r="A4181" s="201"/>
      <c r="B4181" s="201"/>
    </row>
    <row r="4182" spans="1:2" x14ac:dyDescent="0.25">
      <c r="A4182" s="201"/>
      <c r="B4182" s="201"/>
    </row>
    <row r="4183" spans="1:2" x14ac:dyDescent="0.25">
      <c r="A4183" s="201"/>
      <c r="B4183" s="201"/>
    </row>
    <row r="4184" spans="1:2" x14ac:dyDescent="0.25">
      <c r="A4184" s="201"/>
      <c r="B4184" s="201"/>
    </row>
    <row r="4185" spans="1:2" x14ac:dyDescent="0.25">
      <c r="A4185" s="201"/>
      <c r="B4185" s="201"/>
    </row>
    <row r="4186" spans="1:2" x14ac:dyDescent="0.25">
      <c r="A4186" s="201"/>
      <c r="B4186" s="201"/>
    </row>
    <row r="4187" spans="1:2" x14ac:dyDescent="0.25">
      <c r="A4187" s="201"/>
      <c r="B4187" s="201"/>
    </row>
    <row r="4188" spans="1:2" x14ac:dyDescent="0.25">
      <c r="A4188" s="201"/>
      <c r="B4188" s="201"/>
    </row>
    <row r="4189" spans="1:2" x14ac:dyDescent="0.25">
      <c r="A4189" s="201"/>
      <c r="B4189" s="201"/>
    </row>
    <row r="4190" spans="1:2" x14ac:dyDescent="0.25">
      <c r="A4190" s="201"/>
      <c r="B4190" s="201"/>
    </row>
    <row r="4191" spans="1:2" x14ac:dyDescent="0.25">
      <c r="A4191" s="201"/>
      <c r="B4191" s="201"/>
    </row>
    <row r="4192" spans="1:2" x14ac:dyDescent="0.25">
      <c r="A4192" s="201"/>
      <c r="B4192" s="201"/>
    </row>
    <row r="4193" spans="1:2" x14ac:dyDescent="0.25">
      <c r="A4193" s="201"/>
      <c r="B4193" s="201"/>
    </row>
    <row r="4194" spans="1:2" x14ac:dyDescent="0.25">
      <c r="A4194" s="201"/>
      <c r="B4194" s="201"/>
    </row>
    <row r="4195" spans="1:2" x14ac:dyDescent="0.25">
      <c r="A4195" s="201"/>
      <c r="B4195" s="201"/>
    </row>
    <row r="4196" spans="1:2" x14ac:dyDescent="0.25">
      <c r="A4196" s="201"/>
      <c r="B4196" s="201"/>
    </row>
    <row r="4197" spans="1:2" x14ac:dyDescent="0.25">
      <c r="A4197" s="201"/>
      <c r="B4197" s="201"/>
    </row>
    <row r="4198" spans="1:2" x14ac:dyDescent="0.25">
      <c r="A4198" s="201"/>
      <c r="B4198" s="201"/>
    </row>
    <row r="4199" spans="1:2" x14ac:dyDescent="0.25">
      <c r="A4199" s="201"/>
      <c r="B4199" s="201"/>
    </row>
    <row r="4200" spans="1:2" x14ac:dyDescent="0.25">
      <c r="A4200" s="201"/>
      <c r="B4200" s="201"/>
    </row>
    <row r="4201" spans="1:2" x14ac:dyDescent="0.25">
      <c r="A4201" s="201"/>
      <c r="B4201" s="201"/>
    </row>
    <row r="4202" spans="1:2" x14ac:dyDescent="0.25">
      <c r="A4202" s="201"/>
      <c r="B4202" s="201"/>
    </row>
    <row r="4203" spans="1:2" x14ac:dyDescent="0.25">
      <c r="A4203" s="201"/>
      <c r="B4203" s="201"/>
    </row>
    <row r="4204" spans="1:2" x14ac:dyDescent="0.25">
      <c r="A4204" s="201"/>
      <c r="B4204" s="201"/>
    </row>
    <row r="4205" spans="1:2" x14ac:dyDescent="0.25">
      <c r="A4205" s="201"/>
      <c r="B4205" s="201"/>
    </row>
    <row r="4206" spans="1:2" x14ac:dyDescent="0.25">
      <c r="A4206" s="201"/>
      <c r="B4206" s="201"/>
    </row>
    <row r="4207" spans="1:2" x14ac:dyDescent="0.25">
      <c r="A4207" s="201"/>
      <c r="B4207" s="201"/>
    </row>
    <row r="4208" spans="1:2" x14ac:dyDescent="0.25">
      <c r="A4208" s="201"/>
      <c r="B4208" s="201"/>
    </row>
    <row r="4209" spans="1:2" x14ac:dyDescent="0.25">
      <c r="A4209" s="201"/>
      <c r="B4209" s="201"/>
    </row>
    <row r="4210" spans="1:2" x14ac:dyDescent="0.25">
      <c r="A4210" s="201"/>
      <c r="B4210" s="201"/>
    </row>
    <row r="4211" spans="1:2" x14ac:dyDescent="0.25">
      <c r="A4211" s="201"/>
      <c r="B4211" s="201"/>
    </row>
    <row r="4212" spans="1:2" x14ac:dyDescent="0.25">
      <c r="A4212" s="201"/>
      <c r="B4212" s="201"/>
    </row>
    <row r="4213" spans="1:2" x14ac:dyDescent="0.25">
      <c r="A4213" s="201"/>
      <c r="B4213" s="201"/>
    </row>
    <row r="4214" spans="1:2" x14ac:dyDescent="0.25">
      <c r="A4214" s="201"/>
      <c r="B4214" s="201"/>
    </row>
    <row r="4215" spans="1:2" x14ac:dyDescent="0.25">
      <c r="A4215" s="201"/>
      <c r="B4215" s="201"/>
    </row>
    <row r="4216" spans="1:2" x14ac:dyDescent="0.25">
      <c r="A4216" s="201"/>
      <c r="B4216" s="201"/>
    </row>
    <row r="4217" spans="1:2" x14ac:dyDescent="0.25">
      <c r="A4217" s="201"/>
      <c r="B4217" s="201"/>
    </row>
    <row r="4218" spans="1:2" x14ac:dyDescent="0.25">
      <c r="A4218" s="201"/>
      <c r="B4218" s="201"/>
    </row>
    <row r="4219" spans="1:2" x14ac:dyDescent="0.25">
      <c r="A4219" s="201"/>
      <c r="B4219" s="201"/>
    </row>
    <row r="4220" spans="1:2" x14ac:dyDescent="0.25">
      <c r="A4220" s="201"/>
      <c r="B4220" s="201"/>
    </row>
    <row r="4221" spans="1:2" x14ac:dyDescent="0.25">
      <c r="A4221" s="201"/>
      <c r="B4221" s="201"/>
    </row>
    <row r="4222" spans="1:2" x14ac:dyDescent="0.25">
      <c r="A4222" s="201"/>
      <c r="B4222" s="201"/>
    </row>
    <row r="4223" spans="1:2" x14ac:dyDescent="0.25">
      <c r="A4223" s="201"/>
      <c r="B4223" s="201"/>
    </row>
    <row r="4224" spans="1:2" x14ac:dyDescent="0.25">
      <c r="A4224" s="201"/>
      <c r="B4224" s="201"/>
    </row>
    <row r="4225" spans="1:2" x14ac:dyDescent="0.25">
      <c r="A4225" s="201"/>
      <c r="B4225" s="201"/>
    </row>
    <row r="4226" spans="1:2" x14ac:dyDescent="0.25">
      <c r="A4226" s="201"/>
      <c r="B4226" s="201"/>
    </row>
    <row r="4227" spans="1:2" x14ac:dyDescent="0.25">
      <c r="A4227" s="201"/>
      <c r="B4227" s="201"/>
    </row>
    <row r="4228" spans="1:2" x14ac:dyDescent="0.25">
      <c r="A4228" s="201"/>
      <c r="B4228" s="201"/>
    </row>
    <row r="4229" spans="1:2" x14ac:dyDescent="0.25">
      <c r="A4229" s="201"/>
      <c r="B4229" s="201"/>
    </row>
    <row r="4230" spans="1:2" x14ac:dyDescent="0.25">
      <c r="A4230" s="201"/>
      <c r="B4230" s="201"/>
    </row>
    <row r="4231" spans="1:2" x14ac:dyDescent="0.25">
      <c r="A4231" s="201"/>
      <c r="B4231" s="201"/>
    </row>
    <row r="4232" spans="1:2" x14ac:dyDescent="0.25">
      <c r="A4232" s="201"/>
      <c r="B4232" s="201"/>
    </row>
    <row r="4233" spans="1:2" x14ac:dyDescent="0.25">
      <c r="A4233" s="201"/>
      <c r="B4233" s="201"/>
    </row>
    <row r="4234" spans="1:2" x14ac:dyDescent="0.25">
      <c r="A4234" s="201"/>
      <c r="B4234" s="201"/>
    </row>
    <row r="4235" spans="1:2" x14ac:dyDescent="0.25">
      <c r="A4235" s="201"/>
      <c r="B4235" s="201"/>
    </row>
    <row r="4236" spans="1:2" x14ac:dyDescent="0.25">
      <c r="A4236" s="201"/>
      <c r="B4236" s="201"/>
    </row>
    <row r="4237" spans="1:2" x14ac:dyDescent="0.25">
      <c r="A4237" s="201"/>
      <c r="B4237" s="201"/>
    </row>
    <row r="4238" spans="1:2" x14ac:dyDescent="0.25">
      <c r="A4238" s="201"/>
      <c r="B4238" s="201"/>
    </row>
    <row r="4239" spans="1:2" x14ac:dyDescent="0.25">
      <c r="A4239" s="201"/>
      <c r="B4239" s="201"/>
    </row>
    <row r="4240" spans="1:2" x14ac:dyDescent="0.25">
      <c r="A4240" s="201"/>
      <c r="B4240" s="201"/>
    </row>
    <row r="4241" spans="1:2" x14ac:dyDescent="0.25">
      <c r="A4241" s="201"/>
      <c r="B4241" s="201"/>
    </row>
    <row r="4242" spans="1:2" x14ac:dyDescent="0.25">
      <c r="A4242" s="201"/>
      <c r="B4242" s="201"/>
    </row>
    <row r="4243" spans="1:2" x14ac:dyDescent="0.25">
      <c r="A4243" s="201"/>
      <c r="B4243" s="201"/>
    </row>
    <row r="4244" spans="1:2" x14ac:dyDescent="0.25">
      <c r="A4244" s="201"/>
      <c r="B4244" s="201"/>
    </row>
    <row r="4245" spans="1:2" x14ac:dyDescent="0.25">
      <c r="A4245" s="201"/>
      <c r="B4245" s="201"/>
    </row>
    <row r="4246" spans="1:2" x14ac:dyDescent="0.25">
      <c r="A4246" s="201"/>
      <c r="B4246" s="201"/>
    </row>
    <row r="4247" spans="1:2" x14ac:dyDescent="0.25">
      <c r="A4247" s="201"/>
      <c r="B4247" s="201"/>
    </row>
    <row r="4248" spans="1:2" x14ac:dyDescent="0.25">
      <c r="A4248" s="201"/>
      <c r="B4248" s="201"/>
    </row>
    <row r="4249" spans="1:2" x14ac:dyDescent="0.25">
      <c r="A4249" s="201"/>
      <c r="B4249" s="201"/>
    </row>
    <row r="4250" spans="1:2" x14ac:dyDescent="0.25">
      <c r="A4250" s="201"/>
      <c r="B4250" s="201"/>
    </row>
    <row r="4251" spans="1:2" x14ac:dyDescent="0.25">
      <c r="A4251" s="201"/>
      <c r="B4251" s="201"/>
    </row>
    <row r="4252" spans="1:2" x14ac:dyDescent="0.25">
      <c r="A4252" s="201"/>
      <c r="B4252" s="201"/>
    </row>
    <row r="4253" spans="1:2" x14ac:dyDescent="0.25">
      <c r="A4253" s="201"/>
      <c r="B4253" s="201"/>
    </row>
    <row r="4254" spans="1:2" x14ac:dyDescent="0.25">
      <c r="A4254" s="201"/>
      <c r="B4254" s="201"/>
    </row>
    <row r="4255" spans="1:2" x14ac:dyDescent="0.25">
      <c r="A4255" s="201"/>
      <c r="B4255" s="201"/>
    </row>
    <row r="4256" spans="1:2" x14ac:dyDescent="0.25">
      <c r="A4256" s="201"/>
      <c r="B4256" s="201"/>
    </row>
    <row r="4257" spans="1:2" x14ac:dyDescent="0.25">
      <c r="A4257" s="201"/>
      <c r="B4257" s="201"/>
    </row>
    <row r="4258" spans="1:2" x14ac:dyDescent="0.25">
      <c r="A4258" s="201"/>
      <c r="B4258" s="201"/>
    </row>
    <row r="4259" spans="1:2" x14ac:dyDescent="0.25">
      <c r="A4259" s="201"/>
      <c r="B4259" s="201"/>
    </row>
    <row r="4260" spans="1:2" x14ac:dyDescent="0.25">
      <c r="A4260" s="201"/>
      <c r="B4260" s="201"/>
    </row>
    <row r="4261" spans="1:2" x14ac:dyDescent="0.25">
      <c r="A4261" s="201"/>
      <c r="B4261" s="201"/>
    </row>
    <row r="4262" spans="1:2" x14ac:dyDescent="0.25">
      <c r="A4262" s="201"/>
      <c r="B4262" s="201"/>
    </row>
    <row r="4263" spans="1:2" x14ac:dyDescent="0.25">
      <c r="A4263" s="201"/>
      <c r="B4263" s="201"/>
    </row>
    <row r="4264" spans="1:2" x14ac:dyDescent="0.25">
      <c r="A4264" s="201"/>
      <c r="B4264" s="201"/>
    </row>
    <row r="4265" spans="1:2" x14ac:dyDescent="0.25">
      <c r="A4265" s="201"/>
      <c r="B4265" s="201"/>
    </row>
    <row r="4266" spans="1:2" x14ac:dyDescent="0.25">
      <c r="A4266" s="201"/>
      <c r="B4266" s="201"/>
    </row>
    <row r="4267" spans="1:2" x14ac:dyDescent="0.25">
      <c r="A4267" s="201"/>
      <c r="B4267" s="201"/>
    </row>
    <row r="4268" spans="1:2" x14ac:dyDescent="0.25">
      <c r="A4268" s="201"/>
      <c r="B4268" s="201"/>
    </row>
    <row r="4269" spans="1:2" x14ac:dyDescent="0.25">
      <c r="A4269" s="201"/>
      <c r="B4269" s="201"/>
    </row>
    <row r="4270" spans="1:2" x14ac:dyDescent="0.25">
      <c r="A4270" s="201"/>
      <c r="B4270" s="201"/>
    </row>
    <row r="4271" spans="1:2" x14ac:dyDescent="0.25">
      <c r="A4271" s="201"/>
      <c r="B4271" s="201"/>
    </row>
    <row r="4272" spans="1:2" x14ac:dyDescent="0.25">
      <c r="A4272" s="201"/>
      <c r="B4272" s="201"/>
    </row>
    <row r="4273" spans="1:2" x14ac:dyDescent="0.25">
      <c r="A4273" s="201"/>
      <c r="B4273" s="201"/>
    </row>
    <row r="4274" spans="1:2" x14ac:dyDescent="0.25">
      <c r="A4274" s="201"/>
      <c r="B4274" s="201"/>
    </row>
    <row r="4275" spans="1:2" x14ac:dyDescent="0.25">
      <c r="A4275" s="201"/>
      <c r="B4275" s="201"/>
    </row>
    <row r="4276" spans="1:2" x14ac:dyDescent="0.25">
      <c r="A4276" s="201"/>
      <c r="B4276" s="201"/>
    </row>
    <row r="4277" spans="1:2" x14ac:dyDescent="0.25">
      <c r="A4277" s="201"/>
      <c r="B4277" s="201"/>
    </row>
    <row r="4278" spans="1:2" x14ac:dyDescent="0.25">
      <c r="A4278" s="201"/>
      <c r="B4278" s="201"/>
    </row>
    <row r="4279" spans="1:2" x14ac:dyDescent="0.25">
      <c r="A4279" s="201"/>
      <c r="B4279" s="201"/>
    </row>
    <row r="4280" spans="1:2" x14ac:dyDescent="0.25">
      <c r="A4280" s="201"/>
      <c r="B4280" s="201"/>
    </row>
    <row r="4281" spans="1:2" x14ac:dyDescent="0.25">
      <c r="A4281" s="201"/>
      <c r="B4281" s="201"/>
    </row>
    <row r="4282" spans="1:2" x14ac:dyDescent="0.25">
      <c r="A4282" s="201"/>
      <c r="B4282" s="201"/>
    </row>
    <row r="4283" spans="1:2" x14ac:dyDescent="0.25">
      <c r="A4283" s="201"/>
      <c r="B4283" s="201"/>
    </row>
    <row r="4284" spans="1:2" x14ac:dyDescent="0.25">
      <c r="A4284" s="201"/>
      <c r="B4284" s="201"/>
    </row>
    <row r="4285" spans="1:2" x14ac:dyDescent="0.25">
      <c r="A4285" s="201"/>
      <c r="B4285" s="201"/>
    </row>
    <row r="4286" spans="1:2" x14ac:dyDescent="0.25">
      <c r="A4286" s="201"/>
      <c r="B4286" s="201"/>
    </row>
    <row r="4287" spans="1:2" x14ac:dyDescent="0.25">
      <c r="A4287" s="201"/>
      <c r="B4287" s="201"/>
    </row>
    <row r="4288" spans="1:2" x14ac:dyDescent="0.25">
      <c r="A4288" s="201"/>
      <c r="B4288" s="201"/>
    </row>
    <row r="4289" spans="1:2" x14ac:dyDescent="0.25">
      <c r="A4289" s="201"/>
      <c r="B4289" s="201"/>
    </row>
    <row r="4290" spans="1:2" x14ac:dyDescent="0.25">
      <c r="A4290" s="201"/>
      <c r="B4290" s="201"/>
    </row>
    <row r="4291" spans="1:2" x14ac:dyDescent="0.25">
      <c r="A4291" s="201"/>
      <c r="B4291" s="201"/>
    </row>
    <row r="4292" spans="1:2" x14ac:dyDescent="0.25">
      <c r="A4292" s="201"/>
      <c r="B4292" s="201"/>
    </row>
    <row r="4293" spans="1:2" x14ac:dyDescent="0.25">
      <c r="A4293" s="201"/>
      <c r="B4293" s="201"/>
    </row>
    <row r="4294" spans="1:2" x14ac:dyDescent="0.25">
      <c r="A4294" s="201"/>
      <c r="B4294" s="201"/>
    </row>
    <row r="4295" spans="1:2" x14ac:dyDescent="0.25">
      <c r="A4295" s="201"/>
      <c r="B4295" s="201"/>
    </row>
    <row r="4296" spans="1:2" x14ac:dyDescent="0.25">
      <c r="A4296" s="201"/>
      <c r="B4296" s="201"/>
    </row>
    <row r="4297" spans="1:2" x14ac:dyDescent="0.25">
      <c r="A4297" s="201"/>
      <c r="B4297" s="201"/>
    </row>
    <row r="4298" spans="1:2" x14ac:dyDescent="0.25">
      <c r="A4298" s="201"/>
      <c r="B4298" s="201"/>
    </row>
    <row r="4299" spans="1:2" x14ac:dyDescent="0.25">
      <c r="A4299" s="201"/>
      <c r="B4299" s="201"/>
    </row>
    <row r="4300" spans="1:2" x14ac:dyDescent="0.25">
      <c r="A4300" s="201"/>
      <c r="B4300" s="201"/>
    </row>
    <row r="4301" spans="1:2" x14ac:dyDescent="0.25">
      <c r="A4301" s="201"/>
      <c r="B4301" s="201"/>
    </row>
    <row r="4302" spans="1:2" x14ac:dyDescent="0.25">
      <c r="A4302" s="201"/>
      <c r="B4302" s="201"/>
    </row>
    <row r="4303" spans="1:2" x14ac:dyDescent="0.25">
      <c r="A4303" s="201"/>
      <c r="B4303" s="201"/>
    </row>
    <row r="4304" spans="1:2" x14ac:dyDescent="0.25">
      <c r="A4304" s="201"/>
      <c r="B4304" s="201"/>
    </row>
    <row r="4305" spans="1:2" x14ac:dyDescent="0.25">
      <c r="A4305" s="201"/>
      <c r="B4305" s="201"/>
    </row>
    <row r="4306" spans="1:2" x14ac:dyDescent="0.25">
      <c r="A4306" s="201"/>
      <c r="B4306" s="201"/>
    </row>
    <row r="4307" spans="1:2" x14ac:dyDescent="0.25">
      <c r="A4307" s="201"/>
      <c r="B4307" s="201"/>
    </row>
    <row r="4308" spans="1:2" x14ac:dyDescent="0.25">
      <c r="A4308" s="201"/>
      <c r="B4308" s="201"/>
    </row>
    <row r="4309" spans="1:2" x14ac:dyDescent="0.25">
      <c r="A4309" s="201"/>
      <c r="B4309" s="201"/>
    </row>
    <row r="4310" spans="1:2" x14ac:dyDescent="0.25">
      <c r="A4310" s="201"/>
      <c r="B4310" s="201"/>
    </row>
    <row r="4311" spans="1:2" x14ac:dyDescent="0.25">
      <c r="A4311" s="201"/>
      <c r="B4311" s="201"/>
    </row>
    <row r="4312" spans="1:2" x14ac:dyDescent="0.25">
      <c r="A4312" s="201"/>
      <c r="B4312" s="201"/>
    </row>
    <row r="4313" spans="1:2" x14ac:dyDescent="0.25">
      <c r="A4313" s="201"/>
      <c r="B4313" s="201"/>
    </row>
    <row r="4314" spans="1:2" x14ac:dyDescent="0.25">
      <c r="A4314" s="201"/>
      <c r="B4314" s="201"/>
    </row>
    <row r="4315" spans="1:2" x14ac:dyDescent="0.25">
      <c r="A4315" s="201"/>
      <c r="B4315" s="201"/>
    </row>
    <row r="4316" spans="1:2" x14ac:dyDescent="0.25">
      <c r="A4316" s="201"/>
      <c r="B4316" s="201"/>
    </row>
    <row r="4317" spans="1:2" x14ac:dyDescent="0.25">
      <c r="A4317" s="201"/>
      <c r="B4317" s="201"/>
    </row>
    <row r="4318" spans="1:2" x14ac:dyDescent="0.25">
      <c r="A4318" s="201"/>
      <c r="B4318" s="201"/>
    </row>
    <row r="4319" spans="1:2" x14ac:dyDescent="0.25">
      <c r="A4319" s="201"/>
      <c r="B4319" s="201"/>
    </row>
    <row r="4320" spans="1:2" x14ac:dyDescent="0.25">
      <c r="A4320" s="201"/>
      <c r="B4320" s="201"/>
    </row>
    <row r="4321" spans="1:2" x14ac:dyDescent="0.25">
      <c r="A4321" s="201"/>
      <c r="B4321" s="201"/>
    </row>
    <row r="4322" spans="1:2" x14ac:dyDescent="0.25">
      <c r="A4322" s="201"/>
      <c r="B4322" s="201"/>
    </row>
    <row r="4323" spans="1:2" x14ac:dyDescent="0.25">
      <c r="A4323" s="201"/>
      <c r="B4323" s="201"/>
    </row>
    <row r="4324" spans="1:2" x14ac:dyDescent="0.25">
      <c r="A4324" s="201"/>
      <c r="B4324" s="201"/>
    </row>
    <row r="4325" spans="1:2" x14ac:dyDescent="0.25">
      <c r="A4325" s="201"/>
      <c r="B4325" s="201"/>
    </row>
    <row r="4326" spans="1:2" x14ac:dyDescent="0.25">
      <c r="A4326" s="201"/>
      <c r="B4326" s="201"/>
    </row>
    <row r="4327" spans="1:2" x14ac:dyDescent="0.25">
      <c r="A4327" s="201"/>
      <c r="B4327" s="201"/>
    </row>
    <row r="4328" spans="1:2" x14ac:dyDescent="0.25">
      <c r="A4328" s="201"/>
      <c r="B4328" s="201"/>
    </row>
    <row r="4329" spans="1:2" x14ac:dyDescent="0.25">
      <c r="A4329" s="201"/>
      <c r="B4329" s="201"/>
    </row>
    <row r="4330" spans="1:2" x14ac:dyDescent="0.25">
      <c r="A4330" s="201"/>
      <c r="B4330" s="201"/>
    </row>
    <row r="4331" spans="1:2" x14ac:dyDescent="0.25">
      <c r="A4331" s="201"/>
      <c r="B4331" s="201"/>
    </row>
    <row r="4332" spans="1:2" x14ac:dyDescent="0.25">
      <c r="A4332" s="201"/>
      <c r="B4332" s="201"/>
    </row>
    <row r="4333" spans="1:2" x14ac:dyDescent="0.25">
      <c r="A4333" s="201"/>
      <c r="B4333" s="201"/>
    </row>
    <row r="4334" spans="1:2" x14ac:dyDescent="0.25">
      <c r="A4334" s="201"/>
      <c r="B4334" s="201"/>
    </row>
    <row r="4335" spans="1:2" x14ac:dyDescent="0.25">
      <c r="A4335" s="201"/>
      <c r="B4335" s="201"/>
    </row>
    <row r="4336" spans="1:2" x14ac:dyDescent="0.25">
      <c r="A4336" s="201"/>
      <c r="B4336" s="201"/>
    </row>
    <row r="4337" spans="1:2" x14ac:dyDescent="0.25">
      <c r="A4337" s="201"/>
      <c r="B4337" s="201"/>
    </row>
    <row r="4338" spans="1:2" x14ac:dyDescent="0.25">
      <c r="A4338" s="201"/>
      <c r="B4338" s="201"/>
    </row>
    <row r="4339" spans="1:2" x14ac:dyDescent="0.25">
      <c r="A4339" s="201"/>
      <c r="B4339" s="201"/>
    </row>
    <row r="4340" spans="1:2" x14ac:dyDescent="0.25">
      <c r="A4340" s="201"/>
      <c r="B4340" s="201"/>
    </row>
    <row r="4341" spans="1:2" x14ac:dyDescent="0.25">
      <c r="A4341" s="201"/>
      <c r="B4341" s="201"/>
    </row>
    <row r="4342" spans="1:2" x14ac:dyDescent="0.25">
      <c r="A4342" s="201"/>
      <c r="B4342" s="201"/>
    </row>
    <row r="4343" spans="1:2" x14ac:dyDescent="0.25">
      <c r="A4343" s="201"/>
      <c r="B4343" s="201"/>
    </row>
    <row r="4344" spans="1:2" x14ac:dyDescent="0.25">
      <c r="A4344" s="201"/>
      <c r="B4344" s="201"/>
    </row>
    <row r="4345" spans="1:2" x14ac:dyDescent="0.25">
      <c r="A4345" s="201"/>
      <c r="B4345" s="201"/>
    </row>
    <row r="4346" spans="1:2" x14ac:dyDescent="0.25">
      <c r="A4346" s="201"/>
      <c r="B4346" s="201"/>
    </row>
    <row r="4347" spans="1:2" x14ac:dyDescent="0.25">
      <c r="A4347" s="201"/>
      <c r="B4347" s="201"/>
    </row>
    <row r="4348" spans="1:2" x14ac:dyDescent="0.25">
      <c r="A4348" s="201"/>
      <c r="B4348" s="201"/>
    </row>
    <row r="4349" spans="1:2" x14ac:dyDescent="0.25">
      <c r="A4349" s="201"/>
      <c r="B4349" s="201"/>
    </row>
    <row r="4350" spans="1:2" x14ac:dyDescent="0.25">
      <c r="A4350" s="201"/>
      <c r="B4350" s="201"/>
    </row>
    <row r="4351" spans="1:2" x14ac:dyDescent="0.25">
      <c r="A4351" s="201"/>
      <c r="B4351" s="201"/>
    </row>
    <row r="4352" spans="1:2" x14ac:dyDescent="0.25">
      <c r="A4352" s="201"/>
      <c r="B4352" s="201"/>
    </row>
    <row r="4353" spans="1:2" x14ac:dyDescent="0.25">
      <c r="A4353" s="201"/>
      <c r="B4353" s="201"/>
    </row>
    <row r="4354" spans="1:2" x14ac:dyDescent="0.25">
      <c r="A4354" s="201"/>
      <c r="B4354" s="201"/>
    </row>
    <row r="4355" spans="1:2" x14ac:dyDescent="0.25">
      <c r="A4355" s="201"/>
      <c r="B4355" s="201"/>
    </row>
    <row r="4356" spans="1:2" x14ac:dyDescent="0.25">
      <c r="A4356" s="201"/>
      <c r="B4356" s="201"/>
    </row>
    <row r="4357" spans="1:2" x14ac:dyDescent="0.25">
      <c r="A4357" s="201"/>
      <c r="B4357" s="201"/>
    </row>
    <row r="4358" spans="1:2" x14ac:dyDescent="0.25">
      <c r="A4358" s="201"/>
      <c r="B4358" s="201"/>
    </row>
    <row r="4359" spans="1:2" x14ac:dyDescent="0.25">
      <c r="A4359" s="201"/>
      <c r="B4359" s="201"/>
    </row>
    <row r="4360" spans="1:2" x14ac:dyDescent="0.25">
      <c r="A4360" s="201"/>
      <c r="B4360" s="201"/>
    </row>
    <row r="4361" spans="1:2" x14ac:dyDescent="0.25">
      <c r="A4361" s="201"/>
      <c r="B4361" s="201"/>
    </row>
    <row r="4362" spans="1:2" x14ac:dyDescent="0.25">
      <c r="A4362" s="201"/>
      <c r="B4362" s="201"/>
    </row>
    <row r="4363" spans="1:2" x14ac:dyDescent="0.25">
      <c r="A4363" s="201"/>
      <c r="B4363" s="201"/>
    </row>
    <row r="4364" spans="1:2" x14ac:dyDescent="0.25">
      <c r="A4364" s="201"/>
      <c r="B4364" s="201"/>
    </row>
    <row r="4365" spans="1:2" x14ac:dyDescent="0.25">
      <c r="A4365" s="201"/>
      <c r="B4365" s="201"/>
    </row>
    <row r="4366" spans="1:2" x14ac:dyDescent="0.25">
      <c r="A4366" s="201"/>
      <c r="B4366" s="201"/>
    </row>
    <row r="4367" spans="1:2" x14ac:dyDescent="0.25">
      <c r="A4367" s="201"/>
      <c r="B4367" s="201"/>
    </row>
    <row r="4368" spans="1:2" x14ac:dyDescent="0.25">
      <c r="A4368" s="201"/>
      <c r="B4368" s="201"/>
    </row>
    <row r="4369" spans="1:2" x14ac:dyDescent="0.25">
      <c r="A4369" s="201"/>
      <c r="B4369" s="201"/>
    </row>
    <row r="4370" spans="1:2" x14ac:dyDescent="0.25">
      <c r="A4370" s="201"/>
      <c r="B4370" s="201"/>
    </row>
    <row r="4371" spans="1:2" x14ac:dyDescent="0.25">
      <c r="A4371" s="201"/>
      <c r="B4371" s="201"/>
    </row>
    <row r="4372" spans="1:2" x14ac:dyDescent="0.25">
      <c r="A4372" s="201"/>
      <c r="B4372" s="201"/>
    </row>
    <row r="4373" spans="1:2" x14ac:dyDescent="0.25">
      <c r="A4373" s="201"/>
      <c r="B4373" s="201"/>
    </row>
    <row r="4374" spans="1:2" x14ac:dyDescent="0.25">
      <c r="A4374" s="201"/>
      <c r="B4374" s="201"/>
    </row>
    <row r="4375" spans="1:2" x14ac:dyDescent="0.25">
      <c r="A4375" s="201"/>
      <c r="B4375" s="201"/>
    </row>
    <row r="4376" spans="1:2" x14ac:dyDescent="0.25">
      <c r="A4376" s="201"/>
      <c r="B4376" s="201"/>
    </row>
    <row r="4377" spans="1:2" x14ac:dyDescent="0.25">
      <c r="A4377" s="201"/>
      <c r="B4377" s="201"/>
    </row>
    <row r="4378" spans="1:2" x14ac:dyDescent="0.25">
      <c r="A4378" s="201"/>
      <c r="B4378" s="201"/>
    </row>
    <row r="4379" spans="1:2" x14ac:dyDescent="0.25">
      <c r="A4379" s="201"/>
      <c r="B4379" s="201"/>
    </row>
    <row r="4380" spans="1:2" x14ac:dyDescent="0.25">
      <c r="A4380" s="201"/>
      <c r="B4380" s="201"/>
    </row>
    <row r="4381" spans="1:2" x14ac:dyDescent="0.25">
      <c r="A4381" s="201"/>
      <c r="B4381" s="201"/>
    </row>
    <row r="4382" spans="1:2" x14ac:dyDescent="0.25">
      <c r="A4382" s="201"/>
      <c r="B4382" s="201"/>
    </row>
    <row r="4383" spans="1:2" x14ac:dyDescent="0.25">
      <c r="A4383" s="201"/>
      <c r="B4383" s="201"/>
    </row>
    <row r="4384" spans="1:2" x14ac:dyDescent="0.25">
      <c r="A4384" s="201"/>
      <c r="B4384" s="201"/>
    </row>
    <row r="4385" spans="1:2" x14ac:dyDescent="0.25">
      <c r="A4385" s="201"/>
      <c r="B4385" s="201"/>
    </row>
    <row r="4386" spans="1:2" x14ac:dyDescent="0.25">
      <c r="A4386" s="201"/>
      <c r="B4386" s="201"/>
    </row>
    <row r="4387" spans="1:2" x14ac:dyDescent="0.25">
      <c r="A4387" s="201"/>
      <c r="B4387" s="201"/>
    </row>
    <row r="4388" spans="1:2" x14ac:dyDescent="0.25">
      <c r="A4388" s="201"/>
      <c r="B4388" s="201"/>
    </row>
    <row r="4389" spans="1:2" x14ac:dyDescent="0.25">
      <c r="A4389" s="201"/>
      <c r="B4389" s="201"/>
    </row>
    <row r="4390" spans="1:2" x14ac:dyDescent="0.25">
      <c r="A4390" s="201"/>
      <c r="B4390" s="201"/>
    </row>
    <row r="4391" spans="1:2" x14ac:dyDescent="0.25">
      <c r="A4391" s="201"/>
      <c r="B4391" s="201"/>
    </row>
    <row r="4392" spans="1:2" x14ac:dyDescent="0.25">
      <c r="A4392" s="201"/>
      <c r="B4392" s="201"/>
    </row>
    <row r="4393" spans="1:2" x14ac:dyDescent="0.25">
      <c r="A4393" s="201"/>
      <c r="B4393" s="201"/>
    </row>
    <row r="4394" spans="1:2" x14ac:dyDescent="0.25">
      <c r="A4394" s="201"/>
      <c r="B4394" s="201"/>
    </row>
    <row r="4395" spans="1:2" x14ac:dyDescent="0.25">
      <c r="A4395" s="201"/>
      <c r="B4395" s="201"/>
    </row>
    <row r="4396" spans="1:2" x14ac:dyDescent="0.25">
      <c r="A4396" s="201"/>
      <c r="B4396" s="201"/>
    </row>
    <row r="4397" spans="1:2" x14ac:dyDescent="0.25">
      <c r="A4397" s="201"/>
      <c r="B4397" s="201"/>
    </row>
    <row r="4398" spans="1:2" x14ac:dyDescent="0.25">
      <c r="A4398" s="201"/>
      <c r="B4398" s="201"/>
    </row>
    <row r="4399" spans="1:2" x14ac:dyDescent="0.25">
      <c r="A4399" s="201"/>
      <c r="B4399" s="201"/>
    </row>
    <row r="4400" spans="1:2" x14ac:dyDescent="0.25">
      <c r="A4400" s="201"/>
      <c r="B4400" s="201"/>
    </row>
    <row r="4401" spans="1:2" x14ac:dyDescent="0.25">
      <c r="A4401" s="201"/>
      <c r="B4401" s="201"/>
    </row>
    <row r="4402" spans="1:2" x14ac:dyDescent="0.25">
      <c r="A4402" s="201"/>
      <c r="B4402" s="201"/>
    </row>
    <row r="4403" spans="1:2" x14ac:dyDescent="0.25">
      <c r="A4403" s="201"/>
      <c r="B4403" s="201"/>
    </row>
    <row r="4404" spans="1:2" x14ac:dyDescent="0.25">
      <c r="A4404" s="201"/>
      <c r="B4404" s="201"/>
    </row>
    <row r="4405" spans="1:2" x14ac:dyDescent="0.25">
      <c r="A4405" s="201"/>
      <c r="B4405" s="201"/>
    </row>
    <row r="4406" spans="1:2" x14ac:dyDescent="0.25">
      <c r="A4406" s="201"/>
      <c r="B4406" s="201"/>
    </row>
    <row r="4407" spans="1:2" x14ac:dyDescent="0.25">
      <c r="A4407" s="201"/>
      <c r="B4407" s="201"/>
    </row>
    <row r="4408" spans="1:2" x14ac:dyDescent="0.25">
      <c r="A4408" s="201"/>
      <c r="B4408" s="201"/>
    </row>
    <row r="4409" spans="1:2" x14ac:dyDescent="0.25">
      <c r="A4409" s="201"/>
      <c r="B4409" s="201"/>
    </row>
    <row r="4410" spans="1:2" x14ac:dyDescent="0.25">
      <c r="A4410" s="201"/>
      <c r="B4410" s="201"/>
    </row>
    <row r="4411" spans="1:2" x14ac:dyDescent="0.25">
      <c r="A4411" s="201"/>
      <c r="B4411" s="201"/>
    </row>
    <row r="4412" spans="1:2" x14ac:dyDescent="0.25">
      <c r="A4412" s="201"/>
      <c r="B4412" s="201"/>
    </row>
    <row r="4413" spans="1:2" x14ac:dyDescent="0.25">
      <c r="A4413" s="201"/>
      <c r="B4413" s="201"/>
    </row>
    <row r="4414" spans="1:2" x14ac:dyDescent="0.25">
      <c r="A4414" s="201"/>
      <c r="B4414" s="201"/>
    </row>
    <row r="4415" spans="1:2" x14ac:dyDescent="0.25">
      <c r="A4415" s="201"/>
      <c r="B4415" s="201"/>
    </row>
    <row r="4416" spans="1:2" x14ac:dyDescent="0.25">
      <c r="A4416" s="201"/>
      <c r="B4416" s="201"/>
    </row>
    <row r="4417" spans="1:2" x14ac:dyDescent="0.25">
      <c r="A4417" s="201"/>
      <c r="B4417" s="201"/>
    </row>
    <row r="4418" spans="1:2" x14ac:dyDescent="0.25">
      <c r="A4418" s="201"/>
      <c r="B4418" s="201"/>
    </row>
    <row r="4419" spans="1:2" x14ac:dyDescent="0.25">
      <c r="A4419" s="201"/>
      <c r="B4419" s="201"/>
    </row>
    <row r="4420" spans="1:2" x14ac:dyDescent="0.25">
      <c r="A4420" s="201"/>
      <c r="B4420" s="201"/>
    </row>
    <row r="4421" spans="1:2" x14ac:dyDescent="0.25">
      <c r="A4421" s="201"/>
      <c r="B4421" s="201"/>
    </row>
    <row r="4422" spans="1:2" x14ac:dyDescent="0.25">
      <c r="A4422" s="201"/>
      <c r="B4422" s="201"/>
    </row>
    <row r="4423" spans="1:2" x14ac:dyDescent="0.25">
      <c r="A4423" s="201"/>
      <c r="B4423" s="201"/>
    </row>
    <row r="4424" spans="1:2" x14ac:dyDescent="0.25">
      <c r="A4424" s="201"/>
      <c r="B4424" s="201"/>
    </row>
    <row r="4425" spans="1:2" x14ac:dyDescent="0.25">
      <c r="A4425" s="201"/>
      <c r="B4425" s="201"/>
    </row>
    <row r="4426" spans="1:2" x14ac:dyDescent="0.25">
      <c r="A4426" s="201"/>
      <c r="B4426" s="201"/>
    </row>
    <row r="4427" spans="1:2" x14ac:dyDescent="0.25">
      <c r="A4427" s="201"/>
      <c r="B4427" s="201"/>
    </row>
    <row r="4428" spans="1:2" x14ac:dyDescent="0.25">
      <c r="A4428" s="201"/>
      <c r="B4428" s="201"/>
    </row>
    <row r="4429" spans="1:2" x14ac:dyDescent="0.25">
      <c r="A4429" s="201"/>
      <c r="B4429" s="201"/>
    </row>
    <row r="4430" spans="1:2" x14ac:dyDescent="0.25">
      <c r="A4430" s="201"/>
      <c r="B4430" s="201"/>
    </row>
    <row r="4431" spans="1:2" x14ac:dyDescent="0.25">
      <c r="A4431" s="201"/>
      <c r="B4431" s="201"/>
    </row>
    <row r="4432" spans="1:2" x14ac:dyDescent="0.25">
      <c r="A4432" s="201"/>
      <c r="B4432" s="201"/>
    </row>
    <row r="4433" spans="1:2" x14ac:dyDescent="0.25">
      <c r="A4433" s="201"/>
      <c r="B4433" s="201"/>
    </row>
    <row r="4434" spans="1:2" x14ac:dyDescent="0.25">
      <c r="A4434" s="201"/>
      <c r="B4434" s="201"/>
    </row>
    <row r="4435" spans="1:2" x14ac:dyDescent="0.25">
      <c r="A4435" s="201"/>
      <c r="B4435" s="201"/>
    </row>
    <row r="4436" spans="1:2" x14ac:dyDescent="0.25">
      <c r="A4436" s="201"/>
      <c r="B4436" s="201"/>
    </row>
    <row r="4437" spans="1:2" x14ac:dyDescent="0.25">
      <c r="A4437" s="201"/>
      <c r="B4437" s="201"/>
    </row>
    <row r="4438" spans="1:2" x14ac:dyDescent="0.25">
      <c r="A4438" s="201"/>
      <c r="B4438" s="201"/>
    </row>
    <row r="4439" spans="1:2" x14ac:dyDescent="0.25">
      <c r="A4439" s="201"/>
      <c r="B4439" s="201"/>
    </row>
    <row r="4440" spans="1:2" x14ac:dyDescent="0.25">
      <c r="A4440" s="201"/>
      <c r="B4440" s="201"/>
    </row>
    <row r="4441" spans="1:2" x14ac:dyDescent="0.25">
      <c r="A4441" s="201"/>
      <c r="B4441" s="201"/>
    </row>
    <row r="4442" spans="1:2" x14ac:dyDescent="0.25">
      <c r="A4442" s="201"/>
      <c r="B4442" s="201"/>
    </row>
    <row r="4443" spans="1:2" x14ac:dyDescent="0.25">
      <c r="A4443" s="201"/>
      <c r="B4443" s="201"/>
    </row>
    <row r="4444" spans="1:2" x14ac:dyDescent="0.25">
      <c r="A4444" s="201"/>
      <c r="B4444" s="201"/>
    </row>
    <row r="4445" spans="1:2" x14ac:dyDescent="0.25">
      <c r="A4445" s="201"/>
      <c r="B4445" s="201"/>
    </row>
    <row r="4446" spans="1:2" x14ac:dyDescent="0.25">
      <c r="A4446" s="201"/>
      <c r="B4446" s="201"/>
    </row>
    <row r="4447" spans="1:2" x14ac:dyDescent="0.25">
      <c r="A4447" s="201"/>
      <c r="B4447" s="201"/>
    </row>
    <row r="4448" spans="1:2" x14ac:dyDescent="0.25">
      <c r="A4448" s="201"/>
      <c r="B4448" s="201"/>
    </row>
    <row r="4449" spans="1:2" x14ac:dyDescent="0.25">
      <c r="A4449" s="201"/>
      <c r="B4449" s="201"/>
    </row>
    <row r="4450" spans="1:2" x14ac:dyDescent="0.25">
      <c r="A4450" s="201"/>
      <c r="B4450" s="201"/>
    </row>
    <row r="4451" spans="1:2" x14ac:dyDescent="0.25">
      <c r="A4451" s="201"/>
      <c r="B4451" s="201"/>
    </row>
    <row r="4452" spans="1:2" x14ac:dyDescent="0.25">
      <c r="A4452" s="201"/>
      <c r="B4452" s="201"/>
    </row>
    <row r="4453" spans="1:2" x14ac:dyDescent="0.25">
      <c r="A4453" s="201"/>
      <c r="B4453" s="201"/>
    </row>
    <row r="4454" spans="1:2" x14ac:dyDescent="0.25">
      <c r="A4454" s="201"/>
      <c r="B4454" s="201"/>
    </row>
    <row r="4455" spans="1:2" x14ac:dyDescent="0.25">
      <c r="A4455" s="201"/>
      <c r="B4455" s="201"/>
    </row>
    <row r="4456" spans="1:2" x14ac:dyDescent="0.25">
      <c r="A4456" s="201"/>
      <c r="B4456" s="201"/>
    </row>
    <row r="4457" spans="1:2" x14ac:dyDescent="0.25">
      <c r="A4457" s="201"/>
      <c r="B4457" s="201"/>
    </row>
    <row r="4458" spans="1:2" x14ac:dyDescent="0.25">
      <c r="A4458" s="201"/>
      <c r="B4458" s="201"/>
    </row>
    <row r="4459" spans="1:2" x14ac:dyDescent="0.25">
      <c r="A4459" s="201"/>
      <c r="B4459" s="201"/>
    </row>
    <row r="4460" spans="1:2" x14ac:dyDescent="0.25">
      <c r="A4460" s="201"/>
      <c r="B4460" s="201"/>
    </row>
    <row r="4461" spans="1:2" x14ac:dyDescent="0.25">
      <c r="A4461" s="201"/>
      <c r="B4461" s="201"/>
    </row>
    <row r="4462" spans="1:2" x14ac:dyDescent="0.25">
      <c r="A4462" s="201"/>
      <c r="B4462" s="201"/>
    </row>
    <row r="4463" spans="1:2" x14ac:dyDescent="0.25">
      <c r="A4463" s="201"/>
      <c r="B4463" s="201"/>
    </row>
    <row r="4464" spans="1:2" x14ac:dyDescent="0.25">
      <c r="A4464" s="201"/>
      <c r="B4464" s="201"/>
    </row>
    <row r="4465" spans="1:2" x14ac:dyDescent="0.25">
      <c r="A4465" s="201"/>
      <c r="B4465" s="201"/>
    </row>
    <row r="4466" spans="1:2" x14ac:dyDescent="0.25">
      <c r="A4466" s="201"/>
      <c r="B4466" s="201"/>
    </row>
    <row r="4467" spans="1:2" x14ac:dyDescent="0.25">
      <c r="A4467" s="201"/>
      <c r="B4467" s="201"/>
    </row>
    <row r="4468" spans="1:2" x14ac:dyDescent="0.25">
      <c r="A4468" s="201"/>
      <c r="B4468" s="201"/>
    </row>
    <row r="4469" spans="1:2" x14ac:dyDescent="0.25">
      <c r="A4469" s="201"/>
      <c r="B4469" s="201"/>
    </row>
    <row r="4470" spans="1:2" x14ac:dyDescent="0.25">
      <c r="A4470" s="201"/>
      <c r="B4470" s="201"/>
    </row>
    <row r="4471" spans="1:2" x14ac:dyDescent="0.25">
      <c r="A4471" s="201"/>
      <c r="B4471" s="201"/>
    </row>
    <row r="4472" spans="1:2" x14ac:dyDescent="0.25">
      <c r="A4472" s="201"/>
      <c r="B4472" s="201"/>
    </row>
    <row r="4473" spans="1:2" x14ac:dyDescent="0.25">
      <c r="A4473" s="201"/>
      <c r="B4473" s="201"/>
    </row>
    <row r="4474" spans="1:2" x14ac:dyDescent="0.25">
      <c r="A4474" s="201"/>
      <c r="B4474" s="201"/>
    </row>
    <row r="4475" spans="1:2" x14ac:dyDescent="0.25">
      <c r="A4475" s="201"/>
      <c r="B4475" s="201"/>
    </row>
    <row r="4476" spans="1:2" x14ac:dyDescent="0.25">
      <c r="A4476" s="201"/>
      <c r="B4476" s="201"/>
    </row>
    <row r="4477" spans="1:2" x14ac:dyDescent="0.25">
      <c r="A4477" s="201"/>
      <c r="B4477" s="201"/>
    </row>
    <row r="4478" spans="1:2" x14ac:dyDescent="0.25">
      <c r="A4478" s="201"/>
      <c r="B4478" s="201"/>
    </row>
    <row r="4479" spans="1:2" x14ac:dyDescent="0.25">
      <c r="A4479" s="201"/>
      <c r="B4479" s="201"/>
    </row>
    <row r="4480" spans="1:2" x14ac:dyDescent="0.25">
      <c r="A4480" s="201"/>
      <c r="B4480" s="201"/>
    </row>
    <row r="4481" spans="1:2" x14ac:dyDescent="0.25">
      <c r="A4481" s="201"/>
      <c r="B4481" s="201"/>
    </row>
    <row r="4482" spans="1:2" x14ac:dyDescent="0.25">
      <c r="A4482" s="201"/>
      <c r="B4482" s="201"/>
    </row>
    <row r="4483" spans="1:2" x14ac:dyDescent="0.25">
      <c r="A4483" s="201"/>
      <c r="B4483" s="201"/>
    </row>
    <row r="4484" spans="1:2" x14ac:dyDescent="0.25">
      <c r="A4484" s="201"/>
      <c r="B4484" s="201"/>
    </row>
    <row r="4485" spans="1:2" x14ac:dyDescent="0.25">
      <c r="A4485" s="201"/>
      <c r="B4485" s="201"/>
    </row>
    <row r="4486" spans="1:2" x14ac:dyDescent="0.25">
      <c r="A4486" s="201"/>
      <c r="B4486" s="201"/>
    </row>
    <row r="4487" spans="1:2" x14ac:dyDescent="0.25">
      <c r="A4487" s="201"/>
      <c r="B4487" s="201"/>
    </row>
    <row r="4488" spans="1:2" x14ac:dyDescent="0.25">
      <c r="A4488" s="201"/>
      <c r="B4488" s="201"/>
    </row>
    <row r="4489" spans="1:2" x14ac:dyDescent="0.25">
      <c r="A4489" s="201"/>
      <c r="B4489" s="201"/>
    </row>
    <row r="4490" spans="1:2" x14ac:dyDescent="0.25">
      <c r="A4490" s="201"/>
      <c r="B4490" s="201"/>
    </row>
    <row r="4491" spans="1:2" x14ac:dyDescent="0.25">
      <c r="A4491" s="201"/>
      <c r="B4491" s="201"/>
    </row>
    <row r="4492" spans="1:2" x14ac:dyDescent="0.25">
      <c r="A4492" s="201"/>
      <c r="B4492" s="201"/>
    </row>
    <row r="4493" spans="1:2" x14ac:dyDescent="0.25">
      <c r="A4493" s="201"/>
      <c r="B4493" s="201"/>
    </row>
    <row r="4494" spans="1:2" x14ac:dyDescent="0.25">
      <c r="A4494" s="201"/>
      <c r="B4494" s="201"/>
    </row>
    <row r="4495" spans="1:2" x14ac:dyDescent="0.25">
      <c r="A4495" s="201"/>
      <c r="B4495" s="201"/>
    </row>
    <row r="4496" spans="1:2" x14ac:dyDescent="0.25">
      <c r="A4496" s="201"/>
      <c r="B4496" s="201"/>
    </row>
    <row r="4497" spans="1:2" x14ac:dyDescent="0.25">
      <c r="A4497" s="201"/>
      <c r="B4497" s="201"/>
    </row>
    <row r="4498" spans="1:2" x14ac:dyDescent="0.25">
      <c r="A4498" s="201"/>
      <c r="B4498" s="201"/>
    </row>
    <row r="4499" spans="1:2" x14ac:dyDescent="0.25">
      <c r="A4499" s="201"/>
      <c r="B4499" s="201"/>
    </row>
    <row r="4500" spans="1:2" x14ac:dyDescent="0.25">
      <c r="A4500" s="201"/>
      <c r="B4500" s="201"/>
    </row>
    <row r="4501" spans="1:2" x14ac:dyDescent="0.25">
      <c r="A4501" s="201"/>
      <c r="B4501" s="201"/>
    </row>
    <row r="4502" spans="1:2" x14ac:dyDescent="0.25">
      <c r="A4502" s="201"/>
      <c r="B4502" s="201"/>
    </row>
    <row r="4503" spans="1:2" x14ac:dyDescent="0.25">
      <c r="A4503" s="201"/>
      <c r="B4503" s="201"/>
    </row>
    <row r="4504" spans="1:2" x14ac:dyDescent="0.25">
      <c r="A4504" s="201"/>
      <c r="B4504" s="201"/>
    </row>
    <row r="4505" spans="1:2" x14ac:dyDescent="0.25">
      <c r="A4505" s="201"/>
      <c r="B4505" s="201"/>
    </row>
    <row r="4506" spans="1:2" x14ac:dyDescent="0.25">
      <c r="A4506" s="201"/>
      <c r="B4506" s="201"/>
    </row>
    <row r="4507" spans="1:2" x14ac:dyDescent="0.25">
      <c r="A4507" s="201"/>
      <c r="B4507" s="201"/>
    </row>
    <row r="4508" spans="1:2" x14ac:dyDescent="0.25">
      <c r="A4508" s="201"/>
      <c r="B4508" s="201"/>
    </row>
    <row r="4509" spans="1:2" x14ac:dyDescent="0.25">
      <c r="A4509" s="201"/>
      <c r="B4509" s="201"/>
    </row>
    <row r="4510" spans="1:2" x14ac:dyDescent="0.25">
      <c r="A4510" s="201"/>
      <c r="B4510" s="201"/>
    </row>
    <row r="4511" spans="1:2" x14ac:dyDescent="0.25">
      <c r="A4511" s="201"/>
      <c r="B4511" s="201"/>
    </row>
    <row r="4512" spans="1:2" x14ac:dyDescent="0.25">
      <c r="A4512" s="201"/>
      <c r="B4512" s="201"/>
    </row>
    <row r="4513" spans="1:2" x14ac:dyDescent="0.25">
      <c r="A4513" s="201"/>
      <c r="B4513" s="201"/>
    </row>
    <row r="4514" spans="1:2" x14ac:dyDescent="0.25">
      <c r="A4514" s="201"/>
      <c r="B4514" s="201"/>
    </row>
    <row r="4515" spans="1:2" x14ac:dyDescent="0.25">
      <c r="A4515" s="201"/>
      <c r="B4515" s="201"/>
    </row>
    <row r="4516" spans="1:2" x14ac:dyDescent="0.25">
      <c r="A4516" s="201"/>
      <c r="B4516" s="201"/>
    </row>
    <row r="4517" spans="1:2" x14ac:dyDescent="0.25">
      <c r="A4517" s="201"/>
      <c r="B4517" s="201"/>
    </row>
    <row r="4518" spans="1:2" x14ac:dyDescent="0.25">
      <c r="A4518" s="201"/>
      <c r="B4518" s="201"/>
    </row>
    <row r="4519" spans="1:2" x14ac:dyDescent="0.25">
      <c r="A4519" s="201"/>
      <c r="B4519" s="201"/>
    </row>
    <row r="4520" spans="1:2" x14ac:dyDescent="0.25">
      <c r="A4520" s="201"/>
      <c r="B4520" s="201"/>
    </row>
    <row r="4521" spans="1:2" x14ac:dyDescent="0.25">
      <c r="A4521" s="201"/>
      <c r="B4521" s="201"/>
    </row>
    <row r="4522" spans="1:2" x14ac:dyDescent="0.25">
      <c r="A4522" s="201"/>
      <c r="B4522" s="201"/>
    </row>
    <row r="4523" spans="1:2" x14ac:dyDescent="0.25">
      <c r="A4523" s="201"/>
      <c r="B4523" s="201"/>
    </row>
    <row r="4524" spans="1:2" x14ac:dyDescent="0.25">
      <c r="A4524" s="201"/>
      <c r="B4524" s="201"/>
    </row>
    <row r="4525" spans="1:2" x14ac:dyDescent="0.25">
      <c r="A4525" s="201"/>
      <c r="B4525" s="201"/>
    </row>
    <row r="4526" spans="1:2" x14ac:dyDescent="0.25">
      <c r="A4526" s="201"/>
      <c r="B4526" s="201"/>
    </row>
    <row r="4527" spans="1:2" x14ac:dyDescent="0.25">
      <c r="A4527" s="201"/>
      <c r="B4527" s="201"/>
    </row>
    <row r="4528" spans="1:2" x14ac:dyDescent="0.25">
      <c r="A4528" s="201"/>
      <c r="B4528" s="201"/>
    </row>
    <row r="4529" spans="1:2" x14ac:dyDescent="0.25">
      <c r="A4529" s="201"/>
      <c r="B4529" s="201"/>
    </row>
    <row r="4530" spans="1:2" x14ac:dyDescent="0.25">
      <c r="A4530" s="201"/>
      <c r="B4530" s="201"/>
    </row>
    <row r="4531" spans="1:2" x14ac:dyDescent="0.25">
      <c r="A4531" s="201"/>
      <c r="B4531" s="201"/>
    </row>
    <row r="4532" spans="1:2" x14ac:dyDescent="0.25">
      <c r="A4532" s="201"/>
      <c r="B4532" s="201"/>
    </row>
    <row r="4533" spans="1:2" x14ac:dyDescent="0.25">
      <c r="A4533" s="201"/>
      <c r="B4533" s="201"/>
    </row>
    <row r="4534" spans="1:2" x14ac:dyDescent="0.25">
      <c r="A4534" s="201"/>
      <c r="B4534" s="201"/>
    </row>
    <row r="4535" spans="1:2" x14ac:dyDescent="0.25">
      <c r="A4535" s="201"/>
      <c r="B4535" s="201"/>
    </row>
    <row r="4536" spans="1:2" x14ac:dyDescent="0.25">
      <c r="A4536" s="201"/>
      <c r="B4536" s="201"/>
    </row>
    <row r="4537" spans="1:2" x14ac:dyDescent="0.25">
      <c r="A4537" s="201"/>
      <c r="B4537" s="201"/>
    </row>
    <row r="4538" spans="1:2" x14ac:dyDescent="0.25">
      <c r="A4538" s="201"/>
      <c r="B4538" s="201"/>
    </row>
    <row r="4539" spans="1:2" x14ac:dyDescent="0.25">
      <c r="A4539" s="201"/>
      <c r="B4539" s="201"/>
    </row>
    <row r="4540" spans="1:2" x14ac:dyDescent="0.25">
      <c r="A4540" s="201"/>
      <c r="B4540" s="201"/>
    </row>
    <row r="4541" spans="1:2" x14ac:dyDescent="0.25">
      <c r="A4541" s="201"/>
      <c r="B4541" s="201"/>
    </row>
    <row r="4542" spans="1:2" x14ac:dyDescent="0.25">
      <c r="A4542" s="201"/>
      <c r="B4542" s="201"/>
    </row>
    <row r="4543" spans="1:2" x14ac:dyDescent="0.25">
      <c r="A4543" s="201"/>
      <c r="B4543" s="201"/>
    </row>
    <row r="4544" spans="1:2" x14ac:dyDescent="0.25">
      <c r="A4544" s="201"/>
      <c r="B4544" s="201"/>
    </row>
    <row r="4545" spans="1:2" x14ac:dyDescent="0.25">
      <c r="A4545" s="201"/>
      <c r="B4545" s="201"/>
    </row>
    <row r="4546" spans="1:2" x14ac:dyDescent="0.25">
      <c r="A4546" s="201"/>
      <c r="B4546" s="201"/>
    </row>
    <row r="4547" spans="1:2" x14ac:dyDescent="0.25">
      <c r="A4547" s="201"/>
      <c r="B4547" s="201"/>
    </row>
    <row r="4548" spans="1:2" x14ac:dyDescent="0.25">
      <c r="A4548" s="201"/>
      <c r="B4548" s="201"/>
    </row>
    <row r="4549" spans="1:2" x14ac:dyDescent="0.25">
      <c r="A4549" s="201"/>
      <c r="B4549" s="201"/>
    </row>
    <row r="4550" spans="1:2" x14ac:dyDescent="0.25">
      <c r="A4550" s="201"/>
      <c r="B4550" s="201"/>
    </row>
    <row r="4551" spans="1:2" x14ac:dyDescent="0.25">
      <c r="A4551" s="201"/>
      <c r="B4551" s="201"/>
    </row>
    <row r="4552" spans="1:2" x14ac:dyDescent="0.25">
      <c r="A4552" s="201"/>
      <c r="B4552" s="201"/>
    </row>
    <row r="4553" spans="1:2" x14ac:dyDescent="0.25">
      <c r="A4553" s="201"/>
      <c r="B4553" s="201"/>
    </row>
    <row r="4554" spans="1:2" x14ac:dyDescent="0.25">
      <c r="A4554" s="201"/>
      <c r="B4554" s="201"/>
    </row>
    <row r="4555" spans="1:2" x14ac:dyDescent="0.25">
      <c r="A4555" s="201"/>
      <c r="B4555" s="201"/>
    </row>
    <row r="4556" spans="1:2" x14ac:dyDescent="0.25">
      <c r="A4556" s="201"/>
      <c r="B4556" s="201"/>
    </row>
    <row r="4557" spans="1:2" x14ac:dyDescent="0.25">
      <c r="A4557" s="201"/>
      <c r="B4557" s="201"/>
    </row>
    <row r="4558" spans="1:2" x14ac:dyDescent="0.25">
      <c r="A4558" s="201"/>
      <c r="B4558" s="201"/>
    </row>
    <row r="4559" spans="1:2" x14ac:dyDescent="0.25">
      <c r="A4559" s="201"/>
      <c r="B4559" s="201"/>
    </row>
    <row r="4560" spans="1:2" x14ac:dyDescent="0.25">
      <c r="A4560" s="201"/>
      <c r="B4560" s="201"/>
    </row>
    <row r="4561" spans="1:2" x14ac:dyDescent="0.25">
      <c r="A4561" s="201"/>
      <c r="B4561" s="201"/>
    </row>
    <row r="4562" spans="1:2" x14ac:dyDescent="0.25">
      <c r="A4562" s="201"/>
      <c r="B4562" s="201"/>
    </row>
    <row r="4563" spans="1:2" x14ac:dyDescent="0.25">
      <c r="A4563" s="201"/>
      <c r="B4563" s="201"/>
    </row>
    <row r="4564" spans="1:2" x14ac:dyDescent="0.25">
      <c r="A4564" s="201"/>
      <c r="B4564" s="201"/>
    </row>
    <row r="4565" spans="1:2" x14ac:dyDescent="0.25">
      <c r="A4565" s="201"/>
      <c r="B4565" s="201"/>
    </row>
    <row r="4566" spans="1:2" x14ac:dyDescent="0.25">
      <c r="A4566" s="201"/>
      <c r="B4566" s="201"/>
    </row>
    <row r="4567" spans="1:2" x14ac:dyDescent="0.25">
      <c r="A4567" s="201"/>
      <c r="B4567" s="201"/>
    </row>
    <row r="4568" spans="1:2" x14ac:dyDescent="0.25">
      <c r="A4568" s="201"/>
      <c r="B4568" s="201"/>
    </row>
    <row r="4569" spans="1:2" x14ac:dyDescent="0.25">
      <c r="A4569" s="201"/>
      <c r="B4569" s="201"/>
    </row>
    <row r="4570" spans="1:2" x14ac:dyDescent="0.25">
      <c r="A4570" s="201"/>
      <c r="B4570" s="201"/>
    </row>
    <row r="4571" spans="1:2" x14ac:dyDescent="0.25">
      <c r="A4571" s="201"/>
      <c r="B4571" s="201"/>
    </row>
    <row r="4572" spans="1:2" x14ac:dyDescent="0.25">
      <c r="A4572" s="201"/>
      <c r="B4572" s="201"/>
    </row>
    <row r="4573" spans="1:2" x14ac:dyDescent="0.25">
      <c r="A4573" s="201"/>
      <c r="B4573" s="201"/>
    </row>
    <row r="4574" spans="1:2" x14ac:dyDescent="0.25">
      <c r="A4574" s="201"/>
      <c r="B4574" s="201"/>
    </row>
    <row r="4575" spans="1:2" x14ac:dyDescent="0.25">
      <c r="A4575" s="201"/>
      <c r="B4575" s="201"/>
    </row>
    <row r="4576" spans="1:2" x14ac:dyDescent="0.25">
      <c r="A4576" s="201"/>
      <c r="B4576" s="201"/>
    </row>
    <row r="4577" spans="1:2" x14ac:dyDescent="0.25">
      <c r="A4577" s="201"/>
      <c r="B4577" s="201"/>
    </row>
    <row r="4578" spans="1:2" x14ac:dyDescent="0.25">
      <c r="A4578" s="201"/>
      <c r="B4578" s="201"/>
    </row>
    <row r="4579" spans="1:2" x14ac:dyDescent="0.25">
      <c r="A4579" s="201"/>
      <c r="B4579" s="201"/>
    </row>
    <row r="4580" spans="1:2" x14ac:dyDescent="0.25">
      <c r="A4580" s="201"/>
      <c r="B4580" s="201"/>
    </row>
    <row r="4581" spans="1:2" x14ac:dyDescent="0.25">
      <c r="A4581" s="201"/>
      <c r="B4581" s="201"/>
    </row>
    <row r="4582" spans="1:2" x14ac:dyDescent="0.25">
      <c r="A4582" s="201"/>
      <c r="B4582" s="201"/>
    </row>
    <row r="4583" spans="1:2" x14ac:dyDescent="0.25">
      <c r="A4583" s="201"/>
      <c r="B4583" s="201"/>
    </row>
    <row r="4584" spans="1:2" x14ac:dyDescent="0.25">
      <c r="A4584" s="201"/>
      <c r="B4584" s="201"/>
    </row>
    <row r="4585" spans="1:2" x14ac:dyDescent="0.25">
      <c r="A4585" s="201"/>
      <c r="B4585" s="201"/>
    </row>
    <row r="4586" spans="1:2" x14ac:dyDescent="0.25">
      <c r="A4586" s="201"/>
      <c r="B4586" s="201"/>
    </row>
    <row r="4587" spans="1:2" x14ac:dyDescent="0.25">
      <c r="A4587" s="201"/>
      <c r="B4587" s="201"/>
    </row>
    <row r="4588" spans="1:2" x14ac:dyDescent="0.25">
      <c r="A4588" s="201"/>
      <c r="B4588" s="201"/>
    </row>
    <row r="4589" spans="1:2" x14ac:dyDescent="0.25">
      <c r="A4589" s="201"/>
      <c r="B4589" s="201"/>
    </row>
    <row r="4590" spans="1:2" x14ac:dyDescent="0.25">
      <c r="A4590" s="201"/>
      <c r="B4590" s="201"/>
    </row>
    <row r="4591" spans="1:2" x14ac:dyDescent="0.25">
      <c r="A4591" s="201"/>
      <c r="B4591" s="201"/>
    </row>
    <row r="4592" spans="1:2" x14ac:dyDescent="0.25">
      <c r="A4592" s="201"/>
      <c r="B4592" s="201"/>
    </row>
    <row r="4593" spans="1:2" x14ac:dyDescent="0.25">
      <c r="A4593" s="201"/>
      <c r="B4593" s="201"/>
    </row>
    <row r="4594" spans="1:2" x14ac:dyDescent="0.25">
      <c r="A4594" s="201"/>
      <c r="B4594" s="201"/>
    </row>
    <row r="4595" spans="1:2" x14ac:dyDescent="0.25">
      <c r="A4595" s="201"/>
      <c r="B4595" s="201"/>
    </row>
    <row r="4596" spans="1:2" x14ac:dyDescent="0.25">
      <c r="A4596" s="201"/>
      <c r="B4596" s="201"/>
    </row>
    <row r="4597" spans="1:2" x14ac:dyDescent="0.25">
      <c r="A4597" s="201"/>
      <c r="B4597" s="201"/>
    </row>
    <row r="4598" spans="1:2" x14ac:dyDescent="0.25">
      <c r="A4598" s="201"/>
      <c r="B4598" s="201"/>
    </row>
    <row r="4599" spans="1:2" x14ac:dyDescent="0.25">
      <c r="A4599" s="201"/>
      <c r="B4599" s="201"/>
    </row>
    <row r="4600" spans="1:2" x14ac:dyDescent="0.25">
      <c r="A4600" s="201"/>
      <c r="B4600" s="201"/>
    </row>
    <row r="4601" spans="1:2" x14ac:dyDescent="0.25">
      <c r="A4601" s="201"/>
      <c r="B4601" s="201"/>
    </row>
    <row r="4602" spans="1:2" x14ac:dyDescent="0.25">
      <c r="A4602" s="201"/>
      <c r="B4602" s="201"/>
    </row>
    <row r="4603" spans="1:2" x14ac:dyDescent="0.25">
      <c r="A4603" s="201"/>
      <c r="B4603" s="201"/>
    </row>
    <row r="4604" spans="1:2" x14ac:dyDescent="0.25">
      <c r="A4604" s="201"/>
      <c r="B4604" s="201"/>
    </row>
    <row r="4605" spans="1:2" x14ac:dyDescent="0.25">
      <c r="A4605" s="201"/>
      <c r="B4605" s="201"/>
    </row>
    <row r="4606" spans="1:2" x14ac:dyDescent="0.25">
      <c r="A4606" s="201"/>
      <c r="B4606" s="201"/>
    </row>
    <row r="4607" spans="1:2" x14ac:dyDescent="0.25">
      <c r="A4607" s="201"/>
      <c r="B4607" s="201"/>
    </row>
    <row r="4608" spans="1:2" x14ac:dyDescent="0.25">
      <c r="A4608" s="201"/>
      <c r="B4608" s="201"/>
    </row>
    <row r="4609" spans="1:2" x14ac:dyDescent="0.25">
      <c r="A4609" s="201"/>
      <c r="B4609" s="201"/>
    </row>
    <row r="4610" spans="1:2" x14ac:dyDescent="0.25">
      <c r="A4610" s="201"/>
      <c r="B4610" s="201"/>
    </row>
    <row r="4611" spans="1:2" x14ac:dyDescent="0.25">
      <c r="A4611" s="201"/>
      <c r="B4611" s="201"/>
    </row>
    <row r="4612" spans="1:2" x14ac:dyDescent="0.25">
      <c r="A4612" s="201"/>
      <c r="B4612" s="201"/>
    </row>
    <row r="4613" spans="1:2" x14ac:dyDescent="0.25">
      <c r="A4613" s="201"/>
      <c r="B4613" s="201"/>
    </row>
    <row r="4614" spans="1:2" x14ac:dyDescent="0.25">
      <c r="A4614" s="201"/>
      <c r="B4614" s="201"/>
    </row>
    <row r="4615" spans="1:2" x14ac:dyDescent="0.25">
      <c r="A4615" s="201"/>
      <c r="B4615" s="201"/>
    </row>
    <row r="4616" spans="1:2" x14ac:dyDescent="0.25">
      <c r="A4616" s="201"/>
      <c r="B4616" s="201"/>
    </row>
    <row r="4617" spans="1:2" x14ac:dyDescent="0.25">
      <c r="A4617" s="201"/>
      <c r="B4617" s="201"/>
    </row>
    <row r="4618" spans="1:2" x14ac:dyDescent="0.25">
      <c r="A4618" s="201"/>
      <c r="B4618" s="201"/>
    </row>
    <row r="4619" spans="1:2" x14ac:dyDescent="0.25">
      <c r="A4619" s="201"/>
      <c r="B4619" s="201"/>
    </row>
    <row r="4620" spans="1:2" x14ac:dyDescent="0.25">
      <c r="A4620" s="201"/>
      <c r="B4620" s="201"/>
    </row>
    <row r="4621" spans="1:2" x14ac:dyDescent="0.25">
      <c r="A4621" s="201"/>
      <c r="B4621" s="201"/>
    </row>
    <row r="4622" spans="1:2" x14ac:dyDescent="0.25">
      <c r="A4622" s="201"/>
      <c r="B4622" s="201"/>
    </row>
    <row r="4623" spans="1:2" x14ac:dyDescent="0.25">
      <c r="A4623" s="201"/>
      <c r="B4623" s="201"/>
    </row>
    <row r="4624" spans="1:2" x14ac:dyDescent="0.25">
      <c r="A4624" s="201"/>
      <c r="B4624" s="201"/>
    </row>
    <row r="4625" spans="1:2" x14ac:dyDescent="0.25">
      <c r="A4625" s="201"/>
      <c r="B4625" s="201"/>
    </row>
    <row r="4626" spans="1:2" x14ac:dyDescent="0.25">
      <c r="A4626" s="201"/>
      <c r="B4626" s="201"/>
    </row>
    <row r="4627" spans="1:2" x14ac:dyDescent="0.25">
      <c r="A4627" s="201"/>
      <c r="B4627" s="201"/>
    </row>
    <row r="4628" spans="1:2" x14ac:dyDescent="0.25">
      <c r="A4628" s="201"/>
      <c r="B4628" s="201"/>
    </row>
    <row r="4629" spans="1:2" x14ac:dyDescent="0.25">
      <c r="A4629" s="201"/>
      <c r="B4629" s="201"/>
    </row>
    <row r="4630" spans="1:2" x14ac:dyDescent="0.25">
      <c r="A4630" s="201"/>
      <c r="B4630" s="201"/>
    </row>
    <row r="4631" spans="1:2" x14ac:dyDescent="0.25">
      <c r="A4631" s="201"/>
      <c r="B4631" s="201"/>
    </row>
    <row r="4632" spans="1:2" x14ac:dyDescent="0.25">
      <c r="A4632" s="201"/>
      <c r="B4632" s="201"/>
    </row>
    <row r="4633" spans="1:2" x14ac:dyDescent="0.25">
      <c r="A4633" s="201"/>
      <c r="B4633" s="201"/>
    </row>
    <row r="4634" spans="1:2" x14ac:dyDescent="0.25">
      <c r="A4634" s="201"/>
      <c r="B4634" s="201"/>
    </row>
    <row r="4635" spans="1:2" x14ac:dyDescent="0.25">
      <c r="A4635" s="201"/>
      <c r="B4635" s="201"/>
    </row>
    <row r="4636" spans="1:2" x14ac:dyDescent="0.25">
      <c r="A4636" s="201"/>
      <c r="B4636" s="201"/>
    </row>
    <row r="4637" spans="1:2" x14ac:dyDescent="0.25">
      <c r="A4637" s="201"/>
      <c r="B4637" s="201"/>
    </row>
    <row r="4638" spans="1:2" x14ac:dyDescent="0.25">
      <c r="A4638" s="201"/>
      <c r="B4638" s="201"/>
    </row>
    <row r="4639" spans="1:2" x14ac:dyDescent="0.25">
      <c r="A4639" s="201"/>
      <c r="B4639" s="201"/>
    </row>
    <row r="4640" spans="1:2" x14ac:dyDescent="0.25">
      <c r="A4640" s="201"/>
      <c r="B4640" s="201"/>
    </row>
    <row r="4641" spans="1:2" x14ac:dyDescent="0.25">
      <c r="A4641" s="201"/>
      <c r="B4641" s="201"/>
    </row>
    <row r="4642" spans="1:2" x14ac:dyDescent="0.25">
      <c r="A4642" s="201"/>
      <c r="B4642" s="201"/>
    </row>
    <row r="4643" spans="1:2" x14ac:dyDescent="0.25">
      <c r="A4643" s="201"/>
      <c r="B4643" s="201"/>
    </row>
    <row r="4644" spans="1:2" x14ac:dyDescent="0.25">
      <c r="A4644" s="201"/>
      <c r="B4644" s="201"/>
    </row>
    <row r="4645" spans="1:2" x14ac:dyDescent="0.25">
      <c r="A4645" s="201"/>
      <c r="B4645" s="201"/>
    </row>
    <row r="4646" spans="1:2" x14ac:dyDescent="0.25">
      <c r="A4646" s="201"/>
      <c r="B4646" s="201"/>
    </row>
    <row r="4647" spans="1:2" x14ac:dyDescent="0.25">
      <c r="A4647" s="201"/>
      <c r="B4647" s="201"/>
    </row>
    <row r="4648" spans="1:2" x14ac:dyDescent="0.25">
      <c r="A4648" s="201"/>
      <c r="B4648" s="201"/>
    </row>
    <row r="4649" spans="1:2" x14ac:dyDescent="0.25">
      <c r="A4649" s="201"/>
      <c r="B4649" s="201"/>
    </row>
    <row r="4650" spans="1:2" x14ac:dyDescent="0.25">
      <c r="A4650" s="201"/>
      <c r="B4650" s="201"/>
    </row>
    <row r="4651" spans="1:2" x14ac:dyDescent="0.25">
      <c r="A4651" s="201"/>
      <c r="B4651" s="201"/>
    </row>
    <row r="4652" spans="1:2" x14ac:dyDescent="0.25">
      <c r="A4652" s="201"/>
      <c r="B4652" s="201"/>
    </row>
    <row r="4653" spans="1:2" x14ac:dyDescent="0.25">
      <c r="A4653" s="201"/>
      <c r="B4653" s="201"/>
    </row>
    <row r="4654" spans="1:2" x14ac:dyDescent="0.25">
      <c r="A4654" s="201"/>
      <c r="B4654" s="201"/>
    </row>
    <row r="4655" spans="1:2" x14ac:dyDescent="0.25">
      <c r="A4655" s="201"/>
      <c r="B4655" s="201"/>
    </row>
    <row r="4656" spans="1:2" x14ac:dyDescent="0.25">
      <c r="A4656" s="201"/>
      <c r="B4656" s="201"/>
    </row>
    <row r="4657" spans="1:2" x14ac:dyDescent="0.25">
      <c r="A4657" s="201"/>
      <c r="B4657" s="201"/>
    </row>
    <row r="4658" spans="1:2" x14ac:dyDescent="0.25">
      <c r="A4658" s="201"/>
      <c r="B4658" s="201"/>
    </row>
    <row r="4659" spans="1:2" x14ac:dyDescent="0.25">
      <c r="A4659" s="201"/>
      <c r="B4659" s="201"/>
    </row>
    <row r="4660" spans="1:2" x14ac:dyDescent="0.25">
      <c r="A4660" s="201"/>
      <c r="B4660" s="201"/>
    </row>
    <row r="4661" spans="1:2" x14ac:dyDescent="0.25">
      <c r="A4661" s="201"/>
      <c r="B4661" s="201"/>
    </row>
    <row r="4662" spans="1:2" x14ac:dyDescent="0.25">
      <c r="A4662" s="201"/>
      <c r="B4662" s="201"/>
    </row>
    <row r="4663" spans="1:2" x14ac:dyDescent="0.25">
      <c r="A4663" s="201"/>
      <c r="B4663" s="201"/>
    </row>
    <row r="4664" spans="1:2" x14ac:dyDescent="0.25">
      <c r="A4664" s="201"/>
      <c r="B4664" s="201"/>
    </row>
    <row r="4665" spans="1:2" x14ac:dyDescent="0.25">
      <c r="A4665" s="201"/>
      <c r="B4665" s="201"/>
    </row>
    <row r="4666" spans="1:2" x14ac:dyDescent="0.25">
      <c r="A4666" s="201"/>
      <c r="B4666" s="201"/>
    </row>
    <row r="4667" spans="1:2" x14ac:dyDescent="0.25">
      <c r="A4667" s="201"/>
      <c r="B4667" s="201"/>
    </row>
    <row r="4668" spans="1:2" x14ac:dyDescent="0.25">
      <c r="A4668" s="201"/>
      <c r="B4668" s="201"/>
    </row>
    <row r="4669" spans="1:2" x14ac:dyDescent="0.25">
      <c r="A4669" s="201"/>
      <c r="B4669" s="201"/>
    </row>
    <row r="4670" spans="1:2" x14ac:dyDescent="0.25">
      <c r="A4670" s="201"/>
      <c r="B4670" s="201"/>
    </row>
    <row r="4671" spans="1:2" x14ac:dyDescent="0.25">
      <c r="A4671" s="201"/>
      <c r="B4671" s="201"/>
    </row>
    <row r="4672" spans="1:2" x14ac:dyDescent="0.25">
      <c r="A4672" s="201"/>
      <c r="B4672" s="201"/>
    </row>
    <row r="4673" spans="1:2" x14ac:dyDescent="0.25">
      <c r="A4673" s="201"/>
      <c r="B4673" s="201"/>
    </row>
    <row r="4674" spans="1:2" x14ac:dyDescent="0.25">
      <c r="A4674" s="201"/>
      <c r="B4674" s="201"/>
    </row>
    <row r="4675" spans="1:2" x14ac:dyDescent="0.25">
      <c r="A4675" s="201"/>
      <c r="B4675" s="201"/>
    </row>
    <row r="4676" spans="1:2" x14ac:dyDescent="0.25">
      <c r="A4676" s="201"/>
      <c r="B4676" s="201"/>
    </row>
    <row r="4677" spans="1:2" x14ac:dyDescent="0.25">
      <c r="A4677" s="201"/>
      <c r="B4677" s="201"/>
    </row>
    <row r="4678" spans="1:2" x14ac:dyDescent="0.25">
      <c r="A4678" s="201"/>
      <c r="B4678" s="201"/>
    </row>
    <row r="4679" spans="1:2" x14ac:dyDescent="0.25">
      <c r="A4679" s="201"/>
      <c r="B4679" s="201"/>
    </row>
    <row r="4680" spans="1:2" x14ac:dyDescent="0.25">
      <c r="A4680" s="201"/>
      <c r="B4680" s="201"/>
    </row>
    <row r="4681" spans="1:2" x14ac:dyDescent="0.25">
      <c r="A4681" s="201"/>
      <c r="B4681" s="201"/>
    </row>
    <row r="4682" spans="1:2" x14ac:dyDescent="0.25">
      <c r="A4682" s="201"/>
      <c r="B4682" s="201"/>
    </row>
    <row r="4683" spans="1:2" x14ac:dyDescent="0.25">
      <c r="A4683" s="201"/>
      <c r="B4683" s="201"/>
    </row>
    <row r="4684" spans="1:2" x14ac:dyDescent="0.25">
      <c r="A4684" s="201"/>
      <c r="B4684" s="201"/>
    </row>
    <row r="4685" spans="1:2" x14ac:dyDescent="0.25">
      <c r="A4685" s="201"/>
      <c r="B4685" s="201"/>
    </row>
    <row r="4686" spans="1:2" x14ac:dyDescent="0.25">
      <c r="A4686" s="201"/>
      <c r="B4686" s="201"/>
    </row>
    <row r="4687" spans="1:2" x14ac:dyDescent="0.25">
      <c r="A4687" s="201"/>
      <c r="B4687" s="201"/>
    </row>
    <row r="4688" spans="1:2" x14ac:dyDescent="0.25">
      <c r="A4688" s="201"/>
      <c r="B4688" s="201"/>
    </row>
    <row r="4689" spans="1:2" x14ac:dyDescent="0.25">
      <c r="A4689" s="201"/>
      <c r="B4689" s="201"/>
    </row>
    <row r="4690" spans="1:2" x14ac:dyDescent="0.25">
      <c r="A4690" s="201"/>
      <c r="B4690" s="201"/>
    </row>
    <row r="4691" spans="1:2" x14ac:dyDescent="0.25">
      <c r="A4691" s="201"/>
      <c r="B4691" s="201"/>
    </row>
    <row r="4692" spans="1:2" x14ac:dyDescent="0.25">
      <c r="A4692" s="201"/>
      <c r="B4692" s="201"/>
    </row>
    <row r="4693" spans="1:2" x14ac:dyDescent="0.25">
      <c r="A4693" s="201"/>
      <c r="B4693" s="201"/>
    </row>
    <row r="4694" spans="1:2" x14ac:dyDescent="0.25">
      <c r="A4694" s="201"/>
      <c r="B4694" s="201"/>
    </row>
    <row r="4695" spans="1:2" x14ac:dyDescent="0.25">
      <c r="A4695" s="201"/>
      <c r="B4695" s="201"/>
    </row>
    <row r="4696" spans="1:2" x14ac:dyDescent="0.25">
      <c r="A4696" s="201"/>
      <c r="B4696" s="201"/>
    </row>
    <row r="4697" spans="1:2" x14ac:dyDescent="0.25">
      <c r="A4697" s="201"/>
      <c r="B4697" s="201"/>
    </row>
    <row r="4698" spans="1:2" x14ac:dyDescent="0.25">
      <c r="A4698" s="201"/>
      <c r="B4698" s="201"/>
    </row>
    <row r="4699" spans="1:2" x14ac:dyDescent="0.25">
      <c r="A4699" s="201"/>
      <c r="B4699" s="201"/>
    </row>
    <row r="4700" spans="1:2" x14ac:dyDescent="0.25">
      <c r="A4700" s="201"/>
      <c r="B4700" s="201"/>
    </row>
    <row r="4701" spans="1:2" x14ac:dyDescent="0.25">
      <c r="A4701" s="201"/>
      <c r="B4701" s="201"/>
    </row>
    <row r="4702" spans="1:2" x14ac:dyDescent="0.25">
      <c r="A4702" s="201"/>
      <c r="B4702" s="201"/>
    </row>
    <row r="4703" spans="1:2" x14ac:dyDescent="0.25">
      <c r="A4703" s="201"/>
      <c r="B4703" s="201"/>
    </row>
    <row r="4704" spans="1:2" x14ac:dyDescent="0.25">
      <c r="A4704" s="201"/>
      <c r="B4704" s="201"/>
    </row>
    <row r="4705" spans="1:2" x14ac:dyDescent="0.25">
      <c r="A4705" s="201"/>
      <c r="B4705" s="201"/>
    </row>
    <row r="4706" spans="1:2" x14ac:dyDescent="0.25">
      <c r="A4706" s="201"/>
      <c r="B4706" s="201"/>
    </row>
    <row r="4707" spans="1:2" x14ac:dyDescent="0.25">
      <c r="A4707" s="201"/>
      <c r="B4707" s="201"/>
    </row>
    <row r="4708" spans="1:2" x14ac:dyDescent="0.25">
      <c r="A4708" s="201"/>
      <c r="B4708" s="201"/>
    </row>
    <row r="4709" spans="1:2" x14ac:dyDescent="0.25">
      <c r="A4709" s="201"/>
      <c r="B4709" s="201"/>
    </row>
    <row r="4710" spans="1:2" x14ac:dyDescent="0.25">
      <c r="A4710" s="201"/>
      <c r="B4710" s="201"/>
    </row>
    <row r="4711" spans="1:2" x14ac:dyDescent="0.25">
      <c r="A4711" s="201"/>
      <c r="B4711" s="201"/>
    </row>
    <row r="4712" spans="1:2" x14ac:dyDescent="0.25">
      <c r="A4712" s="201"/>
      <c r="B4712" s="201"/>
    </row>
    <row r="4713" spans="1:2" x14ac:dyDescent="0.25">
      <c r="A4713" s="201"/>
      <c r="B4713" s="201"/>
    </row>
    <row r="4714" spans="1:2" x14ac:dyDescent="0.25">
      <c r="A4714" s="201"/>
      <c r="B4714" s="201"/>
    </row>
    <row r="4715" spans="1:2" x14ac:dyDescent="0.25">
      <c r="A4715" s="201"/>
      <c r="B4715" s="201"/>
    </row>
    <row r="4716" spans="1:2" x14ac:dyDescent="0.25">
      <c r="A4716" s="201"/>
      <c r="B4716" s="201"/>
    </row>
    <row r="4717" spans="1:2" x14ac:dyDescent="0.25">
      <c r="A4717" s="201"/>
      <c r="B4717" s="201"/>
    </row>
    <row r="4718" spans="1:2" x14ac:dyDescent="0.25">
      <c r="A4718" s="201"/>
      <c r="B4718" s="201"/>
    </row>
    <row r="4719" spans="1:2" x14ac:dyDescent="0.25">
      <c r="A4719" s="201"/>
      <c r="B4719" s="201"/>
    </row>
    <row r="4720" spans="1:2" x14ac:dyDescent="0.25">
      <c r="A4720" s="201"/>
      <c r="B4720" s="201"/>
    </row>
    <row r="4721" spans="1:2" x14ac:dyDescent="0.25">
      <c r="A4721" s="201"/>
      <c r="B4721" s="201"/>
    </row>
    <row r="4722" spans="1:2" x14ac:dyDescent="0.25">
      <c r="A4722" s="201"/>
      <c r="B4722" s="201"/>
    </row>
    <row r="4723" spans="1:2" x14ac:dyDescent="0.25">
      <c r="A4723" s="201"/>
      <c r="B4723" s="201"/>
    </row>
    <row r="4724" spans="1:2" x14ac:dyDescent="0.25">
      <c r="A4724" s="201"/>
      <c r="B4724" s="201"/>
    </row>
    <row r="4725" spans="1:2" x14ac:dyDescent="0.25">
      <c r="A4725" s="201"/>
      <c r="B4725" s="201"/>
    </row>
    <row r="4726" spans="1:2" x14ac:dyDescent="0.25">
      <c r="A4726" s="201"/>
      <c r="B4726" s="201"/>
    </row>
    <row r="4727" spans="1:2" x14ac:dyDescent="0.25">
      <c r="A4727" s="201"/>
      <c r="B4727" s="201"/>
    </row>
    <row r="4728" spans="1:2" x14ac:dyDescent="0.25">
      <c r="A4728" s="201"/>
      <c r="B4728" s="201"/>
    </row>
    <row r="4729" spans="1:2" x14ac:dyDescent="0.25">
      <c r="A4729" s="201"/>
      <c r="B4729" s="201"/>
    </row>
    <row r="4730" spans="1:2" x14ac:dyDescent="0.25">
      <c r="A4730" s="201"/>
      <c r="B4730" s="201"/>
    </row>
    <row r="4731" spans="1:2" x14ac:dyDescent="0.25">
      <c r="A4731" s="201"/>
      <c r="B4731" s="201"/>
    </row>
    <row r="4732" spans="1:2" x14ac:dyDescent="0.25">
      <c r="A4732" s="201"/>
      <c r="B4732" s="201"/>
    </row>
    <row r="4733" spans="1:2" x14ac:dyDescent="0.25">
      <c r="A4733" s="201"/>
      <c r="B4733" s="201"/>
    </row>
    <row r="4734" spans="1:2" x14ac:dyDescent="0.25">
      <c r="A4734" s="201"/>
      <c r="B4734" s="201"/>
    </row>
    <row r="4735" spans="1:2" x14ac:dyDescent="0.25">
      <c r="A4735" s="201"/>
      <c r="B4735" s="201"/>
    </row>
    <row r="4736" spans="1:2" x14ac:dyDescent="0.25">
      <c r="A4736" s="201"/>
      <c r="B4736" s="201"/>
    </row>
    <row r="4737" spans="1:2" x14ac:dyDescent="0.25">
      <c r="A4737" s="201"/>
      <c r="B4737" s="201"/>
    </row>
    <row r="4738" spans="1:2" x14ac:dyDescent="0.25">
      <c r="A4738" s="201"/>
      <c r="B4738" s="201"/>
    </row>
    <row r="4739" spans="1:2" x14ac:dyDescent="0.25">
      <c r="A4739" s="201"/>
      <c r="B4739" s="201"/>
    </row>
    <row r="4740" spans="1:2" x14ac:dyDescent="0.25">
      <c r="A4740" s="201"/>
      <c r="B4740" s="201"/>
    </row>
    <row r="4741" spans="1:2" x14ac:dyDescent="0.25">
      <c r="A4741" s="201"/>
      <c r="B4741" s="201"/>
    </row>
    <row r="4742" spans="1:2" x14ac:dyDescent="0.25">
      <c r="A4742" s="201"/>
      <c r="B4742" s="201"/>
    </row>
    <row r="4743" spans="1:2" x14ac:dyDescent="0.25">
      <c r="A4743" s="201"/>
      <c r="B4743" s="201"/>
    </row>
    <row r="4744" spans="1:2" x14ac:dyDescent="0.25">
      <c r="A4744" s="201"/>
      <c r="B4744" s="201"/>
    </row>
    <row r="4745" spans="1:2" x14ac:dyDescent="0.25">
      <c r="A4745" s="201"/>
      <c r="B4745" s="201"/>
    </row>
    <row r="4746" spans="1:2" x14ac:dyDescent="0.25">
      <c r="A4746" s="201"/>
      <c r="B4746" s="201"/>
    </row>
    <row r="4747" spans="1:2" x14ac:dyDescent="0.25">
      <c r="A4747" s="201"/>
      <c r="B4747" s="201"/>
    </row>
    <row r="4748" spans="1:2" x14ac:dyDescent="0.25">
      <c r="A4748" s="201"/>
      <c r="B4748" s="201"/>
    </row>
    <row r="4749" spans="1:2" x14ac:dyDescent="0.25">
      <c r="A4749" s="201"/>
      <c r="B4749" s="201"/>
    </row>
    <row r="4750" spans="1:2" x14ac:dyDescent="0.25">
      <c r="A4750" s="201"/>
      <c r="B4750" s="201"/>
    </row>
    <row r="4751" spans="1:2" x14ac:dyDescent="0.25">
      <c r="A4751" s="201"/>
      <c r="B4751" s="201"/>
    </row>
    <row r="4752" spans="1:2" x14ac:dyDescent="0.25">
      <c r="A4752" s="201"/>
      <c r="B4752" s="201"/>
    </row>
    <row r="4753" spans="1:2" x14ac:dyDescent="0.25">
      <c r="A4753" s="201"/>
      <c r="B4753" s="201"/>
    </row>
    <row r="4754" spans="1:2" x14ac:dyDescent="0.25">
      <c r="A4754" s="201"/>
      <c r="B4754" s="201"/>
    </row>
    <row r="4755" spans="1:2" x14ac:dyDescent="0.25">
      <c r="A4755" s="201"/>
      <c r="B4755" s="201"/>
    </row>
    <row r="4756" spans="1:2" x14ac:dyDescent="0.25">
      <c r="A4756" s="201"/>
      <c r="B4756" s="201"/>
    </row>
    <row r="4757" spans="1:2" x14ac:dyDescent="0.25">
      <c r="A4757" s="201"/>
      <c r="B4757" s="201"/>
    </row>
    <row r="4758" spans="1:2" x14ac:dyDescent="0.25">
      <c r="A4758" s="201"/>
      <c r="B4758" s="201"/>
    </row>
    <row r="4759" spans="1:2" x14ac:dyDescent="0.25">
      <c r="A4759" s="201"/>
      <c r="B4759" s="201"/>
    </row>
    <row r="4760" spans="1:2" x14ac:dyDescent="0.25">
      <c r="A4760" s="201"/>
      <c r="B4760" s="201"/>
    </row>
    <row r="4761" spans="1:2" x14ac:dyDescent="0.25">
      <c r="A4761" s="201"/>
      <c r="B4761" s="201"/>
    </row>
    <row r="4762" spans="1:2" x14ac:dyDescent="0.25">
      <c r="A4762" s="201"/>
      <c r="B4762" s="201"/>
    </row>
    <row r="4763" spans="1:2" x14ac:dyDescent="0.25">
      <c r="A4763" s="201"/>
      <c r="B4763" s="201"/>
    </row>
    <row r="4764" spans="1:2" x14ac:dyDescent="0.25">
      <c r="A4764" s="201"/>
      <c r="B4764" s="201"/>
    </row>
    <row r="4765" spans="1:2" x14ac:dyDescent="0.25">
      <c r="A4765" s="201"/>
      <c r="B4765" s="201"/>
    </row>
    <row r="4766" spans="1:2" x14ac:dyDescent="0.25">
      <c r="A4766" s="201"/>
      <c r="B4766" s="201"/>
    </row>
    <row r="4767" spans="1:2" x14ac:dyDescent="0.25">
      <c r="A4767" s="201"/>
      <c r="B4767" s="201"/>
    </row>
    <row r="4768" spans="1:2" x14ac:dyDescent="0.25">
      <c r="A4768" s="201"/>
      <c r="B4768" s="201"/>
    </row>
    <row r="4769" spans="1:2" x14ac:dyDescent="0.25">
      <c r="A4769" s="201"/>
      <c r="B4769" s="201"/>
    </row>
    <row r="4770" spans="1:2" x14ac:dyDescent="0.25">
      <c r="A4770" s="201"/>
      <c r="B4770" s="201"/>
    </row>
    <row r="4771" spans="1:2" x14ac:dyDescent="0.25">
      <c r="A4771" s="201"/>
      <c r="B4771" s="201"/>
    </row>
    <row r="4772" spans="1:2" x14ac:dyDescent="0.25">
      <c r="A4772" s="201"/>
      <c r="B4772" s="201"/>
    </row>
    <row r="4773" spans="1:2" x14ac:dyDescent="0.25">
      <c r="A4773" s="201"/>
      <c r="B4773" s="201"/>
    </row>
    <row r="4774" spans="1:2" x14ac:dyDescent="0.25">
      <c r="A4774" s="201"/>
      <c r="B4774" s="201"/>
    </row>
    <row r="4775" spans="1:2" x14ac:dyDescent="0.25">
      <c r="A4775" s="201"/>
      <c r="B4775" s="201"/>
    </row>
    <row r="4776" spans="1:2" x14ac:dyDescent="0.25">
      <c r="A4776" s="201"/>
      <c r="B4776" s="201"/>
    </row>
    <row r="4777" spans="1:2" x14ac:dyDescent="0.25">
      <c r="A4777" s="201"/>
      <c r="B4777" s="201"/>
    </row>
    <row r="4778" spans="1:2" x14ac:dyDescent="0.25">
      <c r="A4778" s="201"/>
      <c r="B4778" s="201"/>
    </row>
    <row r="4779" spans="1:2" x14ac:dyDescent="0.25">
      <c r="A4779" s="201"/>
      <c r="B4779" s="201"/>
    </row>
    <row r="4780" spans="1:2" x14ac:dyDescent="0.25">
      <c r="A4780" s="201"/>
      <c r="B4780" s="201"/>
    </row>
    <row r="4781" spans="1:2" x14ac:dyDescent="0.25">
      <c r="A4781" s="201"/>
      <c r="B4781" s="201"/>
    </row>
    <row r="4782" spans="1:2" x14ac:dyDescent="0.25">
      <c r="A4782" s="201"/>
      <c r="B4782" s="201"/>
    </row>
    <row r="4783" spans="1:2" x14ac:dyDescent="0.25">
      <c r="A4783" s="201"/>
      <c r="B4783" s="201"/>
    </row>
    <row r="4784" spans="1:2" x14ac:dyDescent="0.25">
      <c r="A4784" s="201"/>
      <c r="B4784" s="201"/>
    </row>
    <row r="4785" spans="1:2" x14ac:dyDescent="0.25">
      <c r="A4785" s="201"/>
      <c r="B4785" s="201"/>
    </row>
    <row r="4786" spans="1:2" x14ac:dyDescent="0.25">
      <c r="A4786" s="201"/>
      <c r="B4786" s="201"/>
    </row>
    <row r="4787" spans="1:2" x14ac:dyDescent="0.25">
      <c r="A4787" s="201"/>
      <c r="B4787" s="201"/>
    </row>
    <row r="4788" spans="1:2" x14ac:dyDescent="0.25">
      <c r="A4788" s="201"/>
      <c r="B4788" s="201"/>
    </row>
    <row r="4789" spans="1:2" x14ac:dyDescent="0.25">
      <c r="A4789" s="201"/>
      <c r="B4789" s="201"/>
    </row>
    <row r="4790" spans="1:2" x14ac:dyDescent="0.25">
      <c r="A4790" s="201"/>
      <c r="B4790" s="201"/>
    </row>
    <row r="4791" spans="1:2" x14ac:dyDescent="0.25">
      <c r="A4791" s="201"/>
      <c r="B4791" s="201"/>
    </row>
    <row r="4792" spans="1:2" x14ac:dyDescent="0.25">
      <c r="A4792" s="201"/>
      <c r="B4792" s="201"/>
    </row>
    <row r="4793" spans="1:2" x14ac:dyDescent="0.25">
      <c r="A4793" s="201"/>
      <c r="B4793" s="201"/>
    </row>
    <row r="4794" spans="1:2" x14ac:dyDescent="0.25">
      <c r="A4794" s="201"/>
      <c r="B4794" s="201"/>
    </row>
    <row r="4795" spans="1:2" x14ac:dyDescent="0.25">
      <c r="A4795" s="201"/>
      <c r="B4795" s="201"/>
    </row>
    <row r="4796" spans="1:2" x14ac:dyDescent="0.25">
      <c r="A4796" s="201"/>
      <c r="B4796" s="201"/>
    </row>
    <row r="4797" spans="1:2" x14ac:dyDescent="0.25">
      <c r="A4797" s="201"/>
      <c r="B4797" s="201"/>
    </row>
    <row r="4798" spans="1:2" x14ac:dyDescent="0.25">
      <c r="A4798" s="201"/>
      <c r="B4798" s="201"/>
    </row>
    <row r="4799" spans="1:2" x14ac:dyDescent="0.25">
      <c r="A4799" s="201"/>
      <c r="B4799" s="201"/>
    </row>
    <row r="4800" spans="1:2" x14ac:dyDescent="0.25">
      <c r="A4800" s="201"/>
      <c r="B4800" s="201"/>
    </row>
    <row r="4801" spans="1:2" x14ac:dyDescent="0.25">
      <c r="A4801" s="201"/>
      <c r="B4801" s="201"/>
    </row>
    <row r="4802" spans="1:2" x14ac:dyDescent="0.25">
      <c r="A4802" s="201"/>
      <c r="B4802" s="201"/>
    </row>
    <row r="4803" spans="1:2" x14ac:dyDescent="0.25">
      <c r="A4803" s="201"/>
      <c r="B4803" s="201"/>
    </row>
    <row r="4804" spans="1:2" x14ac:dyDescent="0.25">
      <c r="A4804" s="201"/>
      <c r="B4804" s="201"/>
    </row>
    <row r="4805" spans="1:2" x14ac:dyDescent="0.25">
      <c r="A4805" s="201"/>
      <c r="B4805" s="201"/>
    </row>
    <row r="4806" spans="1:2" x14ac:dyDescent="0.25">
      <c r="A4806" s="201"/>
      <c r="B4806" s="201"/>
    </row>
    <row r="4807" spans="1:2" x14ac:dyDescent="0.25">
      <c r="A4807" s="201"/>
      <c r="B4807" s="201"/>
    </row>
    <row r="4808" spans="1:2" x14ac:dyDescent="0.25">
      <c r="A4808" s="201"/>
      <c r="B4808" s="201"/>
    </row>
    <row r="4809" spans="1:2" x14ac:dyDescent="0.25">
      <c r="A4809" s="201"/>
      <c r="B4809" s="201"/>
    </row>
    <row r="4810" spans="1:2" x14ac:dyDescent="0.25">
      <c r="A4810" s="201"/>
      <c r="B4810" s="201"/>
    </row>
    <row r="4811" spans="1:2" x14ac:dyDescent="0.25">
      <c r="A4811" s="201"/>
      <c r="B4811" s="201"/>
    </row>
    <row r="4812" spans="1:2" x14ac:dyDescent="0.25">
      <c r="A4812" s="201"/>
      <c r="B4812" s="201"/>
    </row>
    <row r="4813" spans="1:2" x14ac:dyDescent="0.25">
      <c r="A4813" s="201"/>
      <c r="B4813" s="201"/>
    </row>
    <row r="4814" spans="1:2" x14ac:dyDescent="0.25">
      <c r="A4814" s="201"/>
      <c r="B4814" s="201"/>
    </row>
    <row r="4815" spans="1:2" x14ac:dyDescent="0.25">
      <c r="A4815" s="201"/>
      <c r="B4815" s="201"/>
    </row>
    <row r="4816" spans="1:2" x14ac:dyDescent="0.25">
      <c r="A4816" s="201"/>
      <c r="B4816" s="201"/>
    </row>
    <row r="4817" spans="1:2" x14ac:dyDescent="0.25">
      <c r="A4817" s="201"/>
      <c r="B4817" s="201"/>
    </row>
    <row r="4818" spans="1:2" x14ac:dyDescent="0.25">
      <c r="A4818" s="201"/>
      <c r="B4818" s="201"/>
    </row>
    <row r="4819" spans="1:2" x14ac:dyDescent="0.25">
      <c r="A4819" s="201"/>
      <c r="B4819" s="201"/>
    </row>
    <row r="4820" spans="1:2" x14ac:dyDescent="0.25">
      <c r="A4820" s="201"/>
      <c r="B4820" s="201"/>
    </row>
    <row r="4821" spans="1:2" x14ac:dyDescent="0.25">
      <c r="A4821" s="201"/>
      <c r="B4821" s="201"/>
    </row>
    <row r="4822" spans="1:2" x14ac:dyDescent="0.25">
      <c r="A4822" s="201"/>
      <c r="B4822" s="201"/>
    </row>
    <row r="4823" spans="1:2" x14ac:dyDescent="0.25">
      <c r="A4823" s="201"/>
      <c r="B4823" s="201"/>
    </row>
    <row r="4824" spans="1:2" x14ac:dyDescent="0.25">
      <c r="A4824" s="201"/>
      <c r="B4824" s="201"/>
    </row>
    <row r="4825" spans="1:2" x14ac:dyDescent="0.25">
      <c r="A4825" s="201"/>
      <c r="B4825" s="201"/>
    </row>
    <row r="4826" spans="1:2" x14ac:dyDescent="0.25">
      <c r="A4826" s="201"/>
      <c r="B4826" s="201"/>
    </row>
    <row r="4827" spans="1:2" x14ac:dyDescent="0.25">
      <c r="A4827" s="201"/>
      <c r="B4827" s="201"/>
    </row>
    <row r="4828" spans="1:2" x14ac:dyDescent="0.25">
      <c r="A4828" s="201"/>
      <c r="B4828" s="201"/>
    </row>
    <row r="4829" spans="1:2" x14ac:dyDescent="0.25">
      <c r="A4829" s="201"/>
      <c r="B4829" s="201"/>
    </row>
    <row r="4830" spans="1:2" x14ac:dyDescent="0.25">
      <c r="A4830" s="201"/>
      <c r="B4830" s="201"/>
    </row>
    <row r="4831" spans="1:2" x14ac:dyDescent="0.25">
      <c r="A4831" s="201"/>
      <c r="B4831" s="201"/>
    </row>
    <row r="4832" spans="1:2" x14ac:dyDescent="0.25">
      <c r="A4832" s="201"/>
      <c r="B4832" s="201"/>
    </row>
    <row r="4833" spans="1:2" x14ac:dyDescent="0.25">
      <c r="A4833" s="201"/>
      <c r="B4833" s="201"/>
    </row>
    <row r="4834" spans="1:2" x14ac:dyDescent="0.25">
      <c r="A4834" s="201"/>
      <c r="B4834" s="201"/>
    </row>
    <row r="4835" spans="1:2" x14ac:dyDescent="0.25">
      <c r="A4835" s="201"/>
      <c r="B4835" s="201"/>
    </row>
    <row r="4836" spans="1:2" x14ac:dyDescent="0.25">
      <c r="A4836" s="201"/>
      <c r="B4836" s="201"/>
    </row>
    <row r="4837" spans="1:2" x14ac:dyDescent="0.25">
      <c r="A4837" s="201"/>
      <c r="B4837" s="201"/>
    </row>
    <row r="4838" spans="1:2" x14ac:dyDescent="0.25">
      <c r="A4838" s="201"/>
      <c r="B4838" s="201"/>
    </row>
    <row r="4839" spans="1:2" x14ac:dyDescent="0.25">
      <c r="A4839" s="201"/>
      <c r="B4839" s="201"/>
    </row>
    <row r="4840" spans="1:2" x14ac:dyDescent="0.25">
      <c r="A4840" s="201"/>
      <c r="B4840" s="201"/>
    </row>
    <row r="4841" spans="1:2" x14ac:dyDescent="0.25">
      <c r="A4841" s="201"/>
      <c r="B4841" s="201"/>
    </row>
    <row r="4842" spans="1:2" x14ac:dyDescent="0.25">
      <c r="A4842" s="201"/>
      <c r="B4842" s="201"/>
    </row>
    <row r="4843" spans="1:2" x14ac:dyDescent="0.25">
      <c r="A4843" s="201"/>
      <c r="B4843" s="201"/>
    </row>
    <row r="4844" spans="1:2" x14ac:dyDescent="0.25">
      <c r="A4844" s="201"/>
      <c r="B4844" s="201"/>
    </row>
    <row r="4845" spans="1:2" x14ac:dyDescent="0.25">
      <c r="A4845" s="201"/>
      <c r="B4845" s="201"/>
    </row>
    <row r="4846" spans="1:2" x14ac:dyDescent="0.25">
      <c r="A4846" s="201"/>
      <c r="B4846" s="201"/>
    </row>
    <row r="4847" spans="1:2" x14ac:dyDescent="0.25">
      <c r="A4847" s="201"/>
      <c r="B4847" s="201"/>
    </row>
    <row r="4848" spans="1:2" x14ac:dyDescent="0.25">
      <c r="A4848" s="201"/>
      <c r="B4848" s="201"/>
    </row>
    <row r="4849" spans="1:2" x14ac:dyDescent="0.25">
      <c r="A4849" s="201"/>
      <c r="B4849" s="201"/>
    </row>
    <row r="4850" spans="1:2" x14ac:dyDescent="0.25">
      <c r="A4850" s="201"/>
      <c r="B4850" s="201"/>
    </row>
    <row r="4851" spans="1:2" x14ac:dyDescent="0.25">
      <c r="A4851" s="201"/>
      <c r="B4851" s="201"/>
    </row>
    <row r="4852" spans="1:2" x14ac:dyDescent="0.25">
      <c r="A4852" s="201"/>
      <c r="B4852" s="201"/>
    </row>
    <row r="4853" spans="1:2" x14ac:dyDescent="0.25">
      <c r="A4853" s="201"/>
      <c r="B4853" s="201"/>
    </row>
    <row r="4854" spans="1:2" x14ac:dyDescent="0.25">
      <c r="A4854" s="201"/>
      <c r="B4854" s="201"/>
    </row>
    <row r="4855" spans="1:2" x14ac:dyDescent="0.25">
      <c r="A4855" s="201"/>
      <c r="B4855" s="201"/>
    </row>
    <row r="4856" spans="1:2" x14ac:dyDescent="0.25">
      <c r="A4856" s="201"/>
      <c r="B4856" s="201"/>
    </row>
    <row r="4857" spans="1:2" x14ac:dyDescent="0.25">
      <c r="A4857" s="201"/>
      <c r="B4857" s="201"/>
    </row>
    <row r="4858" spans="1:2" x14ac:dyDescent="0.25">
      <c r="A4858" s="201"/>
      <c r="B4858" s="201"/>
    </row>
    <row r="4859" spans="1:2" x14ac:dyDescent="0.25">
      <c r="A4859" s="201"/>
      <c r="B4859" s="201"/>
    </row>
    <row r="4860" spans="1:2" x14ac:dyDescent="0.25">
      <c r="A4860" s="201"/>
      <c r="B4860" s="201"/>
    </row>
    <row r="4861" spans="1:2" x14ac:dyDescent="0.25">
      <c r="A4861" s="201"/>
      <c r="B4861" s="201"/>
    </row>
    <row r="4862" spans="1:2" x14ac:dyDescent="0.25">
      <c r="A4862" s="201"/>
      <c r="B4862" s="201"/>
    </row>
    <row r="4863" spans="1:2" x14ac:dyDescent="0.25">
      <c r="A4863" s="201"/>
      <c r="B4863" s="201"/>
    </row>
    <row r="4864" spans="1:2" x14ac:dyDescent="0.25">
      <c r="A4864" s="201"/>
      <c r="B4864" s="201"/>
    </row>
    <row r="4865" spans="1:2" x14ac:dyDescent="0.25">
      <c r="A4865" s="201"/>
      <c r="B4865" s="201"/>
    </row>
    <row r="4866" spans="1:2" x14ac:dyDescent="0.25">
      <c r="A4866" s="201"/>
      <c r="B4866" s="201"/>
    </row>
    <row r="4867" spans="1:2" x14ac:dyDescent="0.25">
      <c r="A4867" s="201"/>
      <c r="B4867" s="201"/>
    </row>
    <row r="4868" spans="1:2" x14ac:dyDescent="0.25">
      <c r="A4868" s="201"/>
      <c r="B4868" s="201"/>
    </row>
    <row r="4869" spans="1:2" x14ac:dyDescent="0.25">
      <c r="A4869" s="201"/>
      <c r="B4869" s="201"/>
    </row>
    <row r="4870" spans="1:2" x14ac:dyDescent="0.25">
      <c r="A4870" s="201"/>
      <c r="B4870" s="201"/>
    </row>
    <row r="4871" spans="1:2" x14ac:dyDescent="0.25">
      <c r="A4871" s="201"/>
      <c r="B4871" s="201"/>
    </row>
    <row r="4872" spans="1:2" x14ac:dyDescent="0.25">
      <c r="A4872" s="201"/>
      <c r="B4872" s="201"/>
    </row>
    <row r="4873" spans="1:2" x14ac:dyDescent="0.25">
      <c r="A4873" s="201"/>
      <c r="B4873" s="201"/>
    </row>
    <row r="4874" spans="1:2" x14ac:dyDescent="0.25">
      <c r="A4874" s="201"/>
      <c r="B4874" s="201"/>
    </row>
    <row r="4875" spans="1:2" x14ac:dyDescent="0.25">
      <c r="A4875" s="201"/>
      <c r="B4875" s="201"/>
    </row>
    <row r="4876" spans="1:2" x14ac:dyDescent="0.25">
      <c r="A4876" s="201"/>
      <c r="B4876" s="201"/>
    </row>
    <row r="4877" spans="1:2" x14ac:dyDescent="0.25">
      <c r="A4877" s="201"/>
      <c r="B4877" s="201"/>
    </row>
    <row r="4878" spans="1:2" x14ac:dyDescent="0.25">
      <c r="A4878" s="201"/>
      <c r="B4878" s="201"/>
    </row>
    <row r="4879" spans="1:2" x14ac:dyDescent="0.25">
      <c r="A4879" s="201"/>
      <c r="B4879" s="201"/>
    </row>
    <row r="4880" spans="1:2" x14ac:dyDescent="0.25">
      <c r="A4880" s="201"/>
      <c r="B4880" s="201"/>
    </row>
    <row r="4881" spans="1:2" x14ac:dyDescent="0.25">
      <c r="A4881" s="201"/>
      <c r="B4881" s="201"/>
    </row>
    <row r="4882" spans="1:2" x14ac:dyDescent="0.25">
      <c r="A4882" s="201"/>
      <c r="B4882" s="201"/>
    </row>
    <row r="4883" spans="1:2" x14ac:dyDescent="0.25">
      <c r="A4883" s="201"/>
      <c r="B4883" s="201"/>
    </row>
    <row r="4884" spans="1:2" x14ac:dyDescent="0.25">
      <c r="A4884" s="201"/>
      <c r="B4884" s="201"/>
    </row>
    <row r="4885" spans="1:2" x14ac:dyDescent="0.25">
      <c r="A4885" s="201"/>
      <c r="B4885" s="201"/>
    </row>
    <row r="4886" spans="1:2" x14ac:dyDescent="0.25">
      <c r="A4886" s="201"/>
      <c r="B4886" s="201"/>
    </row>
    <row r="4887" spans="1:2" x14ac:dyDescent="0.25">
      <c r="A4887" s="201"/>
      <c r="B4887" s="201"/>
    </row>
    <row r="4888" spans="1:2" x14ac:dyDescent="0.25">
      <c r="A4888" s="201"/>
      <c r="B4888" s="201"/>
    </row>
    <row r="4889" spans="1:2" x14ac:dyDescent="0.25">
      <c r="A4889" s="201"/>
      <c r="B4889" s="201"/>
    </row>
    <row r="4890" spans="1:2" x14ac:dyDescent="0.25">
      <c r="A4890" s="201"/>
      <c r="B4890" s="201"/>
    </row>
    <row r="4891" spans="1:2" x14ac:dyDescent="0.25">
      <c r="A4891" s="201"/>
      <c r="B4891" s="201"/>
    </row>
    <row r="4892" spans="1:2" x14ac:dyDescent="0.25">
      <c r="A4892" s="201"/>
      <c r="B4892" s="201"/>
    </row>
    <row r="4893" spans="1:2" x14ac:dyDescent="0.25">
      <c r="A4893" s="201"/>
      <c r="B4893" s="201"/>
    </row>
    <row r="4894" spans="1:2" x14ac:dyDescent="0.25">
      <c r="A4894" s="201"/>
      <c r="B4894" s="201"/>
    </row>
    <row r="4895" spans="1:2" x14ac:dyDescent="0.25">
      <c r="A4895" s="201"/>
      <c r="B4895" s="201"/>
    </row>
    <row r="4896" spans="1:2" x14ac:dyDescent="0.25">
      <c r="A4896" s="201"/>
      <c r="B4896" s="201"/>
    </row>
    <row r="4897" spans="1:2" x14ac:dyDescent="0.25">
      <c r="A4897" s="201"/>
      <c r="B4897" s="201"/>
    </row>
    <row r="4898" spans="1:2" x14ac:dyDescent="0.25">
      <c r="A4898" s="201"/>
      <c r="B4898" s="201"/>
    </row>
    <row r="4899" spans="1:2" x14ac:dyDescent="0.25">
      <c r="A4899" s="201"/>
      <c r="B4899" s="201"/>
    </row>
    <row r="4900" spans="1:2" x14ac:dyDescent="0.25">
      <c r="A4900" s="201"/>
      <c r="B4900" s="201"/>
    </row>
    <row r="4901" spans="1:2" x14ac:dyDescent="0.25">
      <c r="A4901" s="201"/>
      <c r="B4901" s="201"/>
    </row>
    <row r="4902" spans="1:2" x14ac:dyDescent="0.25">
      <c r="A4902" s="201"/>
      <c r="B4902" s="201"/>
    </row>
    <row r="4903" spans="1:2" x14ac:dyDescent="0.25">
      <c r="A4903" s="201"/>
      <c r="B4903" s="201"/>
    </row>
    <row r="4904" spans="1:2" x14ac:dyDescent="0.25">
      <c r="A4904" s="201"/>
      <c r="B4904" s="201"/>
    </row>
    <row r="4905" spans="1:2" x14ac:dyDescent="0.25">
      <c r="A4905" s="201"/>
      <c r="B4905" s="201"/>
    </row>
    <row r="4906" spans="1:2" x14ac:dyDescent="0.25">
      <c r="A4906" s="201"/>
      <c r="B4906" s="201"/>
    </row>
    <row r="4907" spans="1:2" x14ac:dyDescent="0.25">
      <c r="A4907" s="201"/>
      <c r="B4907" s="201"/>
    </row>
    <row r="4908" spans="1:2" x14ac:dyDescent="0.25">
      <c r="A4908" s="201"/>
      <c r="B4908" s="201"/>
    </row>
    <row r="4909" spans="1:2" x14ac:dyDescent="0.25">
      <c r="A4909" s="201"/>
      <c r="B4909" s="201"/>
    </row>
    <row r="4910" spans="1:2" x14ac:dyDescent="0.25">
      <c r="A4910" s="201"/>
      <c r="B4910" s="201"/>
    </row>
    <row r="4911" spans="1:2" x14ac:dyDescent="0.25">
      <c r="A4911" s="201"/>
      <c r="B4911" s="201"/>
    </row>
    <row r="4912" spans="1:2" x14ac:dyDescent="0.25">
      <c r="A4912" s="201"/>
      <c r="B4912" s="201"/>
    </row>
    <row r="4913" spans="1:2" x14ac:dyDescent="0.25">
      <c r="A4913" s="201"/>
      <c r="B4913" s="201"/>
    </row>
    <row r="4914" spans="1:2" x14ac:dyDescent="0.25">
      <c r="A4914" s="201"/>
      <c r="B4914" s="201"/>
    </row>
    <row r="4915" spans="1:2" x14ac:dyDescent="0.25">
      <c r="A4915" s="201"/>
      <c r="B4915" s="201"/>
    </row>
    <row r="4916" spans="1:2" x14ac:dyDescent="0.25">
      <c r="A4916" s="201"/>
      <c r="B4916" s="201"/>
    </row>
    <row r="4917" spans="1:2" x14ac:dyDescent="0.25">
      <c r="A4917" s="201"/>
      <c r="B4917" s="201"/>
    </row>
    <row r="4918" spans="1:2" x14ac:dyDescent="0.25">
      <c r="A4918" s="201"/>
      <c r="B4918" s="201"/>
    </row>
    <row r="4919" spans="1:2" x14ac:dyDescent="0.25">
      <c r="A4919" s="201"/>
      <c r="B4919" s="201"/>
    </row>
    <row r="4920" spans="1:2" x14ac:dyDescent="0.25">
      <c r="A4920" s="201"/>
      <c r="B4920" s="201"/>
    </row>
    <row r="4921" spans="1:2" x14ac:dyDescent="0.25">
      <c r="A4921" s="201"/>
      <c r="B4921" s="201"/>
    </row>
    <row r="4922" spans="1:2" x14ac:dyDescent="0.25">
      <c r="A4922" s="201"/>
      <c r="B4922" s="201"/>
    </row>
    <row r="4923" spans="1:2" x14ac:dyDescent="0.25">
      <c r="A4923" s="201"/>
      <c r="B4923" s="201"/>
    </row>
    <row r="4924" spans="1:2" x14ac:dyDescent="0.25">
      <c r="A4924" s="201"/>
      <c r="B4924" s="201"/>
    </row>
    <row r="4925" spans="1:2" x14ac:dyDescent="0.25">
      <c r="A4925" s="201"/>
      <c r="B4925" s="201"/>
    </row>
    <row r="4926" spans="1:2" x14ac:dyDescent="0.25">
      <c r="A4926" s="201"/>
      <c r="B4926" s="201"/>
    </row>
    <row r="4927" spans="1:2" x14ac:dyDescent="0.25">
      <c r="A4927" s="201"/>
      <c r="B4927" s="201"/>
    </row>
    <row r="4928" spans="1:2" x14ac:dyDescent="0.25">
      <c r="A4928" s="201"/>
      <c r="B4928" s="201"/>
    </row>
    <row r="4929" spans="1:2" x14ac:dyDescent="0.25">
      <c r="A4929" s="201"/>
      <c r="B4929" s="201"/>
    </row>
    <row r="4930" spans="1:2" x14ac:dyDescent="0.25">
      <c r="A4930" s="201"/>
      <c r="B4930" s="201"/>
    </row>
    <row r="4931" spans="1:2" x14ac:dyDescent="0.25">
      <c r="A4931" s="201"/>
      <c r="B4931" s="201"/>
    </row>
    <row r="4932" spans="1:2" x14ac:dyDescent="0.25">
      <c r="A4932" s="201"/>
      <c r="B4932" s="201"/>
    </row>
    <row r="4933" spans="1:2" x14ac:dyDescent="0.25">
      <c r="A4933" s="201"/>
      <c r="B4933" s="201"/>
    </row>
    <row r="4934" spans="1:2" x14ac:dyDescent="0.25">
      <c r="A4934" s="201"/>
      <c r="B4934" s="201"/>
    </row>
    <row r="4935" spans="1:2" x14ac:dyDescent="0.25">
      <c r="A4935" s="201"/>
      <c r="B4935" s="201"/>
    </row>
    <row r="4936" spans="1:2" x14ac:dyDescent="0.25">
      <c r="A4936" s="201"/>
      <c r="B4936" s="201"/>
    </row>
    <row r="4937" spans="1:2" x14ac:dyDescent="0.25">
      <c r="A4937" s="201"/>
      <c r="B4937" s="201"/>
    </row>
    <row r="4938" spans="1:2" x14ac:dyDescent="0.25">
      <c r="A4938" s="201"/>
      <c r="B4938" s="201"/>
    </row>
    <row r="4939" spans="1:2" x14ac:dyDescent="0.25">
      <c r="A4939" s="201"/>
      <c r="B4939" s="201"/>
    </row>
    <row r="4940" spans="1:2" x14ac:dyDescent="0.25">
      <c r="A4940" s="201"/>
      <c r="B4940" s="201"/>
    </row>
    <row r="4941" spans="1:2" x14ac:dyDescent="0.25">
      <c r="A4941" s="201"/>
      <c r="B4941" s="201"/>
    </row>
    <row r="4942" spans="1:2" x14ac:dyDescent="0.25">
      <c r="A4942" s="201"/>
      <c r="B4942" s="201"/>
    </row>
    <row r="4943" spans="1:2" x14ac:dyDescent="0.25">
      <c r="A4943" s="201"/>
      <c r="B4943" s="201"/>
    </row>
    <row r="4944" spans="1:2" x14ac:dyDescent="0.25">
      <c r="A4944" s="201"/>
      <c r="B4944" s="201"/>
    </row>
    <row r="4945" spans="1:2" x14ac:dyDescent="0.25">
      <c r="A4945" s="201"/>
      <c r="B4945" s="201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rintOptions horizontalCentered="1"/>
  <pageMargins left="0.51181102362204722" right="0.51181102362204722" top="0.47244094488188981" bottom="0.74803149606299213" header="0.31496062992125984" footer="0.31496062992125984"/>
  <pageSetup paperSize="9" scale="65" orientation="landscape" r:id="rId1"/>
  <headerFooter>
    <oddHeader>&amp;R&amp;"Times New Roman CE,Félkövér"&amp;11 3.melléklet a 40/2020.(XI.30.) önkormányzati rendelethez&amp;"Times New Roman CE,Dőlt"&amp;10
3. melléklet
az 5/2020.(II.17.) önkormányzati rendelethez</oddHeader>
  </headerFooter>
  <rowBreaks count="2" manualBreakCount="2">
    <brk id="26" max="10" man="1"/>
    <brk id="51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37"/>
  <sheetViews>
    <sheetView view="pageBreakPreview" zoomScale="80" zoomScaleNormal="100" zoomScaleSheetLayoutView="80" workbookViewId="0">
      <pane xSplit="2" ySplit="8" topLeftCell="C19" activePane="bottomRight" state="frozen"/>
      <selection sqref="A1:XFD1048576"/>
      <selection pane="topRight" sqref="A1:XFD1048576"/>
      <selection pane="bottomLeft" sqref="A1:XFD1048576"/>
      <selection pane="bottomRight" activeCell="G27" sqref="G27"/>
    </sheetView>
  </sheetViews>
  <sheetFormatPr defaultColWidth="9" defaultRowHeight="15.75" x14ac:dyDescent="0.25"/>
  <cols>
    <col min="1" max="1" width="35.75" style="64" customWidth="1"/>
    <col min="2" max="2" width="11" style="64" customWidth="1"/>
    <col min="3" max="3" width="14.75" style="147" customWidth="1"/>
    <col min="4" max="4" width="14.5" style="147" customWidth="1"/>
    <col min="5" max="5" width="15" style="147" customWidth="1"/>
    <col min="6" max="6" width="14.375" style="147" customWidth="1"/>
    <col min="7" max="7" width="14.25" style="147" customWidth="1"/>
    <col min="8" max="8" width="14.625" style="147" customWidth="1"/>
    <col min="9" max="9" width="14.75" style="147" customWidth="1"/>
    <col min="10" max="10" width="14.375" style="147" customWidth="1"/>
    <col min="11" max="11" width="14.75" style="147" customWidth="1"/>
    <col min="12" max="254" width="9" style="64"/>
    <col min="255" max="16384" width="9" style="427"/>
  </cols>
  <sheetData>
    <row r="1" spans="1:254" x14ac:dyDescent="0.25">
      <c r="A1" s="985" t="s">
        <v>180</v>
      </c>
      <c r="B1" s="985"/>
      <c r="C1" s="985"/>
      <c r="D1" s="985"/>
      <c r="E1" s="985"/>
      <c r="F1" s="985"/>
      <c r="G1" s="985"/>
      <c r="H1" s="985"/>
      <c r="I1" s="985"/>
      <c r="J1" s="985"/>
      <c r="K1" s="985"/>
    </row>
    <row r="2" spans="1:254" x14ac:dyDescent="0.25">
      <c r="A2" s="985" t="s">
        <v>773</v>
      </c>
      <c r="B2" s="985"/>
      <c r="C2" s="985"/>
      <c r="D2" s="985"/>
      <c r="E2" s="985"/>
      <c r="F2" s="985"/>
      <c r="G2" s="985"/>
      <c r="H2" s="985"/>
      <c r="I2" s="985"/>
      <c r="J2" s="985"/>
      <c r="K2" s="985"/>
    </row>
    <row r="3" spans="1:254" x14ac:dyDescent="0.25">
      <c r="A3" s="985" t="s">
        <v>989</v>
      </c>
      <c r="B3" s="985"/>
      <c r="C3" s="985"/>
      <c r="D3" s="985"/>
      <c r="E3" s="985"/>
      <c r="F3" s="985"/>
      <c r="G3" s="985"/>
      <c r="H3" s="985"/>
      <c r="I3" s="985"/>
      <c r="J3" s="985"/>
      <c r="K3" s="985"/>
    </row>
    <row r="5" spans="1:254" ht="16.5" thickBot="1" x14ac:dyDescent="0.3"/>
    <row r="6" spans="1:254" ht="46.5" customHeight="1" thickTop="1" thickBot="1" x14ac:dyDescent="0.3">
      <c r="A6" s="993" t="s">
        <v>136</v>
      </c>
      <c r="B6" s="993" t="s">
        <v>153</v>
      </c>
      <c r="C6" s="979" t="s">
        <v>22</v>
      </c>
      <c r="D6" s="980"/>
      <c r="E6" s="981"/>
      <c r="F6" s="988" t="s">
        <v>181</v>
      </c>
      <c r="G6" s="989"/>
      <c r="H6" s="990"/>
      <c r="I6" s="995" t="s">
        <v>143</v>
      </c>
      <c r="J6" s="996"/>
      <c r="K6" s="997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5"/>
      <c r="BR6" s="205"/>
      <c r="BS6" s="205"/>
      <c r="BT6" s="205"/>
      <c r="BU6" s="205"/>
      <c r="BV6" s="205"/>
      <c r="BW6" s="205"/>
      <c r="BX6" s="205"/>
      <c r="BY6" s="205"/>
      <c r="BZ6" s="205"/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5"/>
      <c r="CR6" s="205"/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5"/>
      <c r="DJ6" s="205"/>
      <c r="DK6" s="205"/>
      <c r="DL6" s="205"/>
      <c r="DM6" s="205"/>
      <c r="DN6" s="205"/>
      <c r="DO6" s="205"/>
      <c r="DP6" s="205"/>
      <c r="DQ6" s="205"/>
      <c r="DR6" s="205"/>
      <c r="DS6" s="205"/>
      <c r="DT6" s="205"/>
      <c r="DU6" s="205"/>
      <c r="DV6" s="205"/>
      <c r="DW6" s="205"/>
      <c r="DX6" s="205"/>
      <c r="DY6" s="205"/>
      <c r="DZ6" s="205"/>
      <c r="EA6" s="205"/>
      <c r="EB6" s="205"/>
      <c r="EC6" s="205"/>
      <c r="ED6" s="205"/>
      <c r="EE6" s="205"/>
      <c r="EF6" s="205"/>
      <c r="EG6" s="205"/>
      <c r="EH6" s="205"/>
      <c r="EI6" s="205"/>
      <c r="EJ6" s="205"/>
      <c r="EK6" s="205"/>
      <c r="EL6" s="205"/>
      <c r="EM6" s="205"/>
      <c r="EN6" s="205"/>
      <c r="EO6" s="205"/>
      <c r="EP6" s="205"/>
      <c r="EQ6" s="205"/>
      <c r="ER6" s="205"/>
      <c r="ES6" s="205"/>
      <c r="ET6" s="205"/>
      <c r="EU6" s="205"/>
      <c r="EV6" s="205"/>
      <c r="EW6" s="205"/>
      <c r="EX6" s="205"/>
      <c r="EY6" s="205"/>
      <c r="EZ6" s="205"/>
      <c r="FA6" s="205"/>
      <c r="FB6" s="205"/>
      <c r="FC6" s="205"/>
      <c r="FD6" s="205"/>
      <c r="FE6" s="205"/>
      <c r="FF6" s="205"/>
      <c r="FG6" s="205"/>
      <c r="FH6" s="205"/>
      <c r="FI6" s="205"/>
      <c r="FJ6" s="205"/>
      <c r="FK6" s="205"/>
      <c r="FL6" s="205"/>
      <c r="FM6" s="205"/>
      <c r="FN6" s="205"/>
      <c r="FO6" s="205"/>
      <c r="FP6" s="205"/>
      <c r="FQ6" s="205"/>
      <c r="FR6" s="205"/>
      <c r="FS6" s="205"/>
      <c r="FT6" s="205"/>
      <c r="FU6" s="205"/>
      <c r="FV6" s="205"/>
      <c r="FW6" s="205"/>
      <c r="FX6" s="205"/>
      <c r="FY6" s="205"/>
      <c r="FZ6" s="205"/>
      <c r="GA6" s="205"/>
      <c r="GB6" s="205"/>
      <c r="GC6" s="205"/>
      <c r="GD6" s="205"/>
      <c r="GE6" s="205"/>
      <c r="GF6" s="205"/>
      <c r="GG6" s="205"/>
      <c r="GH6" s="205"/>
      <c r="GI6" s="205"/>
      <c r="GJ6" s="205"/>
      <c r="GK6" s="205"/>
      <c r="GL6" s="205"/>
      <c r="GM6" s="205"/>
      <c r="GN6" s="205"/>
      <c r="GO6" s="205"/>
      <c r="GP6" s="205"/>
      <c r="GQ6" s="205"/>
      <c r="GR6" s="205"/>
      <c r="GS6" s="205"/>
      <c r="GT6" s="205"/>
      <c r="GU6" s="205"/>
      <c r="GV6" s="205"/>
      <c r="GW6" s="205"/>
      <c r="GX6" s="205"/>
      <c r="GY6" s="205"/>
      <c r="GZ6" s="205"/>
      <c r="HA6" s="205"/>
      <c r="HB6" s="205"/>
      <c r="HC6" s="205"/>
      <c r="HD6" s="205"/>
      <c r="HE6" s="205"/>
      <c r="HF6" s="205"/>
      <c r="HG6" s="205"/>
      <c r="HH6" s="205"/>
      <c r="HI6" s="205"/>
      <c r="HJ6" s="205"/>
      <c r="HK6" s="205"/>
      <c r="HL6" s="205"/>
      <c r="HM6" s="205"/>
      <c r="HN6" s="205"/>
      <c r="HO6" s="205"/>
      <c r="HP6" s="205"/>
      <c r="HQ6" s="205"/>
      <c r="HR6" s="205"/>
      <c r="HS6" s="205"/>
      <c r="HT6" s="205"/>
      <c r="HU6" s="205"/>
      <c r="HV6" s="205"/>
      <c r="HW6" s="205"/>
      <c r="HX6" s="205"/>
      <c r="HY6" s="205"/>
      <c r="HZ6" s="205"/>
      <c r="IA6" s="205"/>
      <c r="IB6" s="205"/>
      <c r="IC6" s="205"/>
      <c r="ID6" s="205"/>
      <c r="IE6" s="205"/>
      <c r="IF6" s="205"/>
      <c r="IG6" s="205"/>
      <c r="IH6" s="205"/>
      <c r="II6" s="205"/>
      <c r="IJ6" s="205"/>
      <c r="IK6" s="205"/>
      <c r="IL6" s="205"/>
      <c r="IM6" s="205"/>
      <c r="IN6" s="205"/>
      <c r="IO6" s="205"/>
      <c r="IP6" s="205"/>
      <c r="IQ6" s="205"/>
      <c r="IR6" s="205"/>
      <c r="IS6" s="205"/>
      <c r="IT6" s="205"/>
    </row>
    <row r="7" spans="1:254" ht="33" thickTop="1" thickBot="1" x14ac:dyDescent="0.3">
      <c r="A7" s="994"/>
      <c r="B7" s="994"/>
      <c r="C7" s="665" t="s">
        <v>347</v>
      </c>
      <c r="D7" s="665" t="s">
        <v>348</v>
      </c>
      <c r="E7" s="665" t="s">
        <v>830</v>
      </c>
      <c r="F7" s="665" t="s">
        <v>347</v>
      </c>
      <c r="G7" s="665" t="s">
        <v>348</v>
      </c>
      <c r="H7" s="665" t="s">
        <v>830</v>
      </c>
      <c r="I7" s="665" t="s">
        <v>347</v>
      </c>
      <c r="J7" s="665" t="s">
        <v>348</v>
      </c>
      <c r="K7" s="665" t="s">
        <v>830</v>
      </c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0"/>
      <c r="BN7" s="210"/>
      <c r="BO7" s="210"/>
      <c r="BP7" s="210"/>
      <c r="BQ7" s="210"/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0"/>
      <c r="CM7" s="210"/>
      <c r="CN7" s="210"/>
      <c r="CO7" s="210"/>
      <c r="CP7" s="210"/>
      <c r="CQ7" s="210"/>
      <c r="CR7" s="210"/>
      <c r="CS7" s="210"/>
      <c r="CT7" s="210"/>
      <c r="CU7" s="210"/>
      <c r="CV7" s="210"/>
      <c r="CW7" s="210"/>
      <c r="CX7" s="210"/>
      <c r="CY7" s="210"/>
      <c r="CZ7" s="210"/>
      <c r="DA7" s="210"/>
      <c r="DB7" s="210"/>
      <c r="DC7" s="210"/>
      <c r="DD7" s="210"/>
      <c r="DE7" s="210"/>
      <c r="DF7" s="210"/>
      <c r="DG7" s="210"/>
      <c r="DH7" s="210"/>
      <c r="DI7" s="210"/>
      <c r="DJ7" s="210"/>
      <c r="DK7" s="210"/>
      <c r="DL7" s="210"/>
      <c r="DM7" s="210"/>
      <c r="DN7" s="210"/>
      <c r="DO7" s="210"/>
      <c r="DP7" s="210"/>
      <c r="DQ7" s="210"/>
      <c r="DR7" s="210"/>
      <c r="DS7" s="210"/>
      <c r="DT7" s="210"/>
      <c r="DU7" s="210"/>
      <c r="DV7" s="210"/>
      <c r="DW7" s="210"/>
      <c r="DX7" s="210"/>
      <c r="DY7" s="210"/>
      <c r="DZ7" s="210"/>
      <c r="EA7" s="210"/>
      <c r="EB7" s="210"/>
      <c r="EC7" s="210"/>
      <c r="ED7" s="210"/>
      <c r="EE7" s="210"/>
      <c r="EF7" s="210"/>
      <c r="EG7" s="210"/>
      <c r="EH7" s="210"/>
      <c r="EI7" s="210"/>
      <c r="EJ7" s="210"/>
      <c r="EK7" s="210"/>
      <c r="EL7" s="210"/>
      <c r="EM7" s="210"/>
      <c r="EN7" s="210"/>
      <c r="EO7" s="210"/>
      <c r="EP7" s="210"/>
      <c r="EQ7" s="210"/>
      <c r="ER7" s="210"/>
      <c r="ES7" s="210"/>
      <c r="ET7" s="210"/>
      <c r="EU7" s="210"/>
      <c r="EV7" s="210"/>
      <c r="EW7" s="210"/>
      <c r="EX7" s="210"/>
      <c r="EY7" s="210"/>
      <c r="EZ7" s="210"/>
      <c r="FA7" s="210"/>
      <c r="FB7" s="210"/>
      <c r="FC7" s="210"/>
      <c r="FD7" s="210"/>
      <c r="FE7" s="210"/>
      <c r="FF7" s="210"/>
      <c r="FG7" s="210"/>
      <c r="FH7" s="210"/>
      <c r="FI7" s="210"/>
      <c r="FJ7" s="210"/>
      <c r="FK7" s="210"/>
      <c r="FL7" s="210"/>
      <c r="FM7" s="210"/>
      <c r="FN7" s="210"/>
      <c r="FO7" s="210"/>
      <c r="FP7" s="210"/>
      <c r="FQ7" s="210"/>
      <c r="FR7" s="210"/>
      <c r="FS7" s="210"/>
      <c r="FT7" s="210"/>
      <c r="FU7" s="210"/>
      <c r="FV7" s="210"/>
      <c r="FW7" s="210"/>
      <c r="FX7" s="210"/>
      <c r="FY7" s="210"/>
      <c r="FZ7" s="210"/>
      <c r="GA7" s="210"/>
      <c r="GB7" s="210"/>
      <c r="GC7" s="210"/>
      <c r="GD7" s="210"/>
      <c r="GE7" s="210"/>
      <c r="GF7" s="210"/>
      <c r="GG7" s="210"/>
      <c r="GH7" s="210"/>
      <c r="GI7" s="210"/>
      <c r="GJ7" s="210"/>
      <c r="GK7" s="210"/>
      <c r="GL7" s="210"/>
      <c r="GM7" s="210"/>
      <c r="GN7" s="210"/>
      <c r="GO7" s="210"/>
      <c r="GP7" s="210"/>
      <c r="GQ7" s="210"/>
      <c r="GR7" s="210"/>
      <c r="GS7" s="210"/>
      <c r="GT7" s="210"/>
      <c r="GU7" s="210"/>
      <c r="GV7" s="210"/>
      <c r="GW7" s="210"/>
      <c r="GX7" s="210"/>
      <c r="GY7" s="210"/>
      <c r="GZ7" s="210"/>
      <c r="HA7" s="210"/>
      <c r="HB7" s="210"/>
      <c r="HC7" s="210"/>
      <c r="HD7" s="210"/>
      <c r="HE7" s="210"/>
      <c r="HF7" s="210"/>
      <c r="HG7" s="210"/>
      <c r="HH7" s="210"/>
      <c r="HI7" s="210"/>
      <c r="HJ7" s="210"/>
      <c r="HK7" s="210"/>
      <c r="HL7" s="210"/>
      <c r="HM7" s="210"/>
      <c r="HN7" s="210"/>
      <c r="HO7" s="210"/>
      <c r="HP7" s="210"/>
      <c r="HQ7" s="210"/>
      <c r="HR7" s="210"/>
      <c r="HS7" s="210"/>
      <c r="HT7" s="210"/>
      <c r="HU7" s="210"/>
      <c r="HV7" s="210"/>
      <c r="HW7" s="210"/>
      <c r="HX7" s="210"/>
      <c r="HY7" s="210"/>
      <c r="HZ7" s="210"/>
      <c r="IA7" s="210"/>
      <c r="IB7" s="210"/>
      <c r="IC7" s="210"/>
      <c r="ID7" s="210"/>
      <c r="IE7" s="210"/>
      <c r="IF7" s="210"/>
      <c r="IG7" s="210"/>
      <c r="IH7" s="210"/>
      <c r="II7" s="210"/>
      <c r="IJ7" s="210"/>
      <c r="IK7" s="210"/>
      <c r="IL7" s="210"/>
      <c r="IM7" s="210"/>
      <c r="IN7" s="210"/>
      <c r="IO7" s="210"/>
      <c r="IP7" s="210"/>
      <c r="IQ7" s="210"/>
      <c r="IR7" s="210"/>
      <c r="IS7" s="210"/>
      <c r="IT7" s="210"/>
    </row>
    <row r="8" spans="1:254" ht="17.25" thickTop="1" thickBot="1" x14ac:dyDescent="0.3">
      <c r="A8" s="249" t="s">
        <v>137</v>
      </c>
      <c r="B8" s="250"/>
      <c r="C8" s="665" t="s">
        <v>182</v>
      </c>
      <c r="D8" s="665" t="s">
        <v>349</v>
      </c>
      <c r="E8" s="665" t="s">
        <v>350</v>
      </c>
      <c r="F8" s="666" t="s">
        <v>183</v>
      </c>
      <c r="G8" s="666" t="s">
        <v>351</v>
      </c>
      <c r="H8" s="666" t="s">
        <v>352</v>
      </c>
      <c r="I8" s="665" t="s">
        <v>184</v>
      </c>
      <c r="J8" s="665" t="s">
        <v>353</v>
      </c>
      <c r="K8" s="665" t="s">
        <v>354</v>
      </c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0"/>
      <c r="BN8" s="210"/>
      <c r="BO8" s="210"/>
      <c r="BP8" s="210"/>
      <c r="BQ8" s="210"/>
      <c r="BR8" s="210"/>
      <c r="BS8" s="210"/>
      <c r="BT8" s="210"/>
      <c r="BU8" s="210"/>
      <c r="BV8" s="210"/>
      <c r="BW8" s="210"/>
      <c r="BX8" s="210"/>
      <c r="BY8" s="210"/>
      <c r="BZ8" s="210"/>
      <c r="CA8" s="210"/>
      <c r="CB8" s="210"/>
      <c r="CC8" s="210"/>
      <c r="CD8" s="210"/>
      <c r="CE8" s="210"/>
      <c r="CF8" s="210"/>
      <c r="CG8" s="210"/>
      <c r="CH8" s="210"/>
      <c r="CI8" s="210"/>
      <c r="CJ8" s="210"/>
      <c r="CK8" s="210"/>
      <c r="CL8" s="210"/>
      <c r="CM8" s="210"/>
      <c r="CN8" s="210"/>
      <c r="CO8" s="210"/>
      <c r="CP8" s="210"/>
      <c r="CQ8" s="210"/>
      <c r="CR8" s="210"/>
      <c r="CS8" s="210"/>
      <c r="CT8" s="210"/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  <c r="DI8" s="210"/>
      <c r="DJ8" s="210"/>
      <c r="DK8" s="210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DW8" s="210"/>
      <c r="DX8" s="210"/>
      <c r="DY8" s="210"/>
      <c r="DZ8" s="210"/>
      <c r="EA8" s="210"/>
      <c r="EB8" s="210"/>
      <c r="EC8" s="210"/>
      <c r="ED8" s="210"/>
      <c r="EE8" s="210"/>
      <c r="EF8" s="210"/>
      <c r="EG8" s="210"/>
      <c r="EH8" s="210"/>
      <c r="EI8" s="210"/>
      <c r="EJ8" s="210"/>
      <c r="EK8" s="210"/>
      <c r="EL8" s="210"/>
      <c r="EM8" s="210"/>
      <c r="EN8" s="210"/>
      <c r="EO8" s="210"/>
      <c r="EP8" s="210"/>
      <c r="EQ8" s="210"/>
      <c r="ER8" s="210"/>
      <c r="ES8" s="210"/>
      <c r="ET8" s="210"/>
      <c r="EU8" s="210"/>
      <c r="EV8" s="210"/>
      <c r="EW8" s="210"/>
      <c r="EX8" s="210"/>
      <c r="EY8" s="210"/>
      <c r="EZ8" s="210"/>
      <c r="FA8" s="210"/>
      <c r="FB8" s="210"/>
      <c r="FC8" s="210"/>
      <c r="FD8" s="210"/>
      <c r="FE8" s="210"/>
      <c r="FF8" s="210"/>
      <c r="FG8" s="210"/>
      <c r="FH8" s="210"/>
      <c r="FI8" s="210"/>
      <c r="FJ8" s="210"/>
      <c r="FK8" s="210"/>
      <c r="FL8" s="210"/>
      <c r="FM8" s="210"/>
      <c r="FN8" s="210"/>
      <c r="FO8" s="210"/>
      <c r="FP8" s="210"/>
      <c r="FQ8" s="210"/>
      <c r="FR8" s="210"/>
      <c r="FS8" s="210"/>
      <c r="FT8" s="210"/>
      <c r="FU8" s="210"/>
      <c r="FV8" s="210"/>
      <c r="FW8" s="210"/>
      <c r="FX8" s="210"/>
      <c r="FY8" s="210"/>
      <c r="FZ8" s="210"/>
      <c r="GA8" s="210"/>
      <c r="GB8" s="210"/>
      <c r="GC8" s="210"/>
      <c r="GD8" s="210"/>
      <c r="GE8" s="210"/>
      <c r="GF8" s="210"/>
      <c r="GG8" s="210"/>
      <c r="GH8" s="210"/>
      <c r="GI8" s="210"/>
      <c r="GJ8" s="210"/>
      <c r="GK8" s="210"/>
      <c r="GL8" s="210"/>
      <c r="GM8" s="210"/>
      <c r="GN8" s="210"/>
      <c r="GO8" s="210"/>
      <c r="GP8" s="210"/>
      <c r="GQ8" s="210"/>
      <c r="GR8" s="210"/>
      <c r="GS8" s="210"/>
      <c r="GT8" s="210"/>
      <c r="GU8" s="210"/>
      <c r="GV8" s="210"/>
      <c r="GW8" s="210"/>
      <c r="GX8" s="210"/>
      <c r="GY8" s="210"/>
      <c r="GZ8" s="210"/>
      <c r="HA8" s="210"/>
      <c r="HB8" s="210"/>
      <c r="HC8" s="210"/>
      <c r="HD8" s="210"/>
      <c r="HE8" s="210"/>
      <c r="HF8" s="210"/>
      <c r="HG8" s="210"/>
      <c r="HH8" s="210"/>
      <c r="HI8" s="210"/>
      <c r="HJ8" s="210"/>
      <c r="HK8" s="210"/>
      <c r="HL8" s="210"/>
      <c r="HM8" s="210"/>
      <c r="HN8" s="210"/>
      <c r="HO8" s="210"/>
      <c r="HP8" s="210"/>
      <c r="HQ8" s="210"/>
      <c r="HR8" s="210"/>
      <c r="HS8" s="210"/>
      <c r="HT8" s="210"/>
      <c r="HU8" s="210"/>
      <c r="HV8" s="210"/>
      <c r="HW8" s="210"/>
      <c r="HX8" s="210"/>
      <c r="HY8" s="210"/>
      <c r="HZ8" s="210"/>
      <c r="IA8" s="210"/>
      <c r="IB8" s="210"/>
      <c r="IC8" s="210"/>
      <c r="ID8" s="210"/>
      <c r="IE8" s="210"/>
      <c r="IF8" s="210"/>
      <c r="IG8" s="210"/>
      <c r="IH8" s="210"/>
      <c r="II8" s="210"/>
      <c r="IJ8" s="210"/>
      <c r="IK8" s="210"/>
      <c r="IL8" s="210"/>
      <c r="IM8" s="210"/>
      <c r="IN8" s="210"/>
      <c r="IO8" s="210"/>
      <c r="IP8" s="210"/>
      <c r="IQ8" s="210"/>
      <c r="IR8" s="210"/>
      <c r="IS8" s="210"/>
      <c r="IT8" s="210"/>
    </row>
    <row r="9" spans="1:254" ht="16.5" thickTop="1" x14ac:dyDescent="0.25">
      <c r="A9" s="215" t="s">
        <v>28</v>
      </c>
      <c r="B9" s="215" t="s">
        <v>154</v>
      </c>
      <c r="C9" s="150">
        <v>398249</v>
      </c>
      <c r="D9" s="150">
        <v>-27296</v>
      </c>
      <c r="E9" s="150">
        <f>SUM(C9:D9)</f>
        <v>370953</v>
      </c>
      <c r="F9" s="150">
        <v>8362384</v>
      </c>
      <c r="G9" s="150">
        <v>193257</v>
      </c>
      <c r="H9" s="150">
        <f>SUM(F9:G9)</f>
        <v>8555641</v>
      </c>
      <c r="I9" s="251">
        <f>SUM(C9+F9)</f>
        <v>8760633</v>
      </c>
      <c r="J9" s="251">
        <f t="shared" ref="J9:K13" si="0">SUM(D9+G9)</f>
        <v>165961</v>
      </c>
      <c r="K9" s="251">
        <f t="shared" si="0"/>
        <v>8926594</v>
      </c>
    </row>
    <row r="10" spans="1:254" ht="31.5" x14ac:dyDescent="0.25">
      <c r="A10" s="223" t="s">
        <v>29</v>
      </c>
      <c r="B10" s="223" t="s">
        <v>155</v>
      </c>
      <c r="C10" s="145">
        <v>98069</v>
      </c>
      <c r="D10" s="145">
        <v>-2212</v>
      </c>
      <c r="E10" s="145">
        <f t="shared" ref="E10:E13" si="1">SUM(C10:D10)</f>
        <v>95857</v>
      </c>
      <c r="F10" s="145">
        <v>1519362</v>
      </c>
      <c r="G10" s="145">
        <v>26814</v>
      </c>
      <c r="H10" s="145">
        <f>SUM(F10:G10)</f>
        <v>1546176</v>
      </c>
      <c r="I10" s="80">
        <f>SUM(C10+F10)</f>
        <v>1617431</v>
      </c>
      <c r="J10" s="80">
        <f t="shared" si="0"/>
        <v>24602</v>
      </c>
      <c r="K10" s="80">
        <f t="shared" si="0"/>
        <v>1642033</v>
      </c>
    </row>
    <row r="11" spans="1:254" x14ac:dyDescent="0.25">
      <c r="A11" s="62" t="s">
        <v>30</v>
      </c>
      <c r="B11" s="62" t="s">
        <v>156</v>
      </c>
      <c r="C11" s="145">
        <v>8961959</v>
      </c>
      <c r="D11" s="145">
        <v>-239286</v>
      </c>
      <c r="E11" s="145">
        <f t="shared" si="1"/>
        <v>8722673</v>
      </c>
      <c r="F11" s="145">
        <v>5011293</v>
      </c>
      <c r="G11" s="145">
        <v>-342808</v>
      </c>
      <c r="H11" s="145">
        <f t="shared" ref="H11:H17" si="2">SUM(F11:G11)</f>
        <v>4668485</v>
      </c>
      <c r="I11" s="80">
        <f>SUM(C11+F11)</f>
        <v>13973252</v>
      </c>
      <c r="J11" s="80">
        <f t="shared" si="0"/>
        <v>-582094</v>
      </c>
      <c r="K11" s="80">
        <f t="shared" si="0"/>
        <v>13391158</v>
      </c>
    </row>
    <row r="12" spans="1:254" x14ac:dyDescent="0.25">
      <c r="A12" s="62" t="s">
        <v>453</v>
      </c>
      <c r="B12" s="62" t="s">
        <v>157</v>
      </c>
      <c r="C12" s="145">
        <v>220370</v>
      </c>
      <c r="D12" s="145">
        <v>613</v>
      </c>
      <c r="E12" s="145">
        <f t="shared" si="1"/>
        <v>220983</v>
      </c>
      <c r="F12" s="145"/>
      <c r="G12" s="145">
        <v>11588</v>
      </c>
      <c r="H12" s="145">
        <f t="shared" si="2"/>
        <v>11588</v>
      </c>
      <c r="I12" s="80">
        <f>SUM(C12+F12)</f>
        <v>220370</v>
      </c>
      <c r="J12" s="80">
        <f t="shared" si="0"/>
        <v>12201</v>
      </c>
      <c r="K12" s="80">
        <f t="shared" si="0"/>
        <v>232571</v>
      </c>
    </row>
    <row r="13" spans="1:254" ht="31.5" x14ac:dyDescent="0.25">
      <c r="A13" s="223" t="s">
        <v>178</v>
      </c>
      <c r="B13" s="223" t="s">
        <v>313</v>
      </c>
      <c r="C13" s="145">
        <v>11719550</v>
      </c>
      <c r="D13" s="150">
        <v>509984</v>
      </c>
      <c r="E13" s="145">
        <f t="shared" si="1"/>
        <v>12229534</v>
      </c>
      <c r="F13" s="150">
        <v>0</v>
      </c>
      <c r="G13" s="150">
        <v>285</v>
      </c>
      <c r="H13" s="145">
        <f t="shared" si="2"/>
        <v>285</v>
      </c>
      <c r="I13" s="80">
        <f>SUM(C13+F13)</f>
        <v>11719550</v>
      </c>
      <c r="J13" s="80">
        <f t="shared" si="0"/>
        <v>510269</v>
      </c>
      <c r="K13" s="80">
        <f t="shared" si="0"/>
        <v>12229819</v>
      </c>
    </row>
    <row r="14" spans="1:254" ht="31.5" x14ac:dyDescent="0.25">
      <c r="A14" s="230" t="s">
        <v>339</v>
      </c>
      <c r="B14" s="231"/>
      <c r="C14" s="151">
        <f>SUM(C9+C10+C11+C12+C13)</f>
        <v>21398197</v>
      </c>
      <c r="D14" s="151">
        <f t="shared" ref="D14:E14" si="3">SUM(D9+D10+D11+D12+D13)</f>
        <v>241803</v>
      </c>
      <c r="E14" s="151">
        <f t="shared" si="3"/>
        <v>21640000</v>
      </c>
      <c r="F14" s="151">
        <f>SUM(F9+F10+F11+F12+F13)</f>
        <v>14893039</v>
      </c>
      <c r="G14" s="151">
        <f t="shared" ref="G14:H14" si="4">SUM(G9+G10+G11+G12+G13)</f>
        <v>-110864</v>
      </c>
      <c r="H14" s="151">
        <f t="shared" si="4"/>
        <v>14782175</v>
      </c>
      <c r="I14" s="151">
        <f>SUM(I9:I12,I13)</f>
        <v>36291236</v>
      </c>
      <c r="J14" s="151">
        <f t="shared" ref="J14:K14" si="5">SUM(J9:J12,J13)</f>
        <v>130939</v>
      </c>
      <c r="K14" s="151">
        <f t="shared" si="5"/>
        <v>36422175</v>
      </c>
    </row>
    <row r="15" spans="1:254" x14ac:dyDescent="0.25">
      <c r="A15" s="62" t="s">
        <v>161</v>
      </c>
      <c r="B15" s="62" t="s">
        <v>158</v>
      </c>
      <c r="C15" s="63">
        <v>23745405</v>
      </c>
      <c r="D15" s="63">
        <v>-3112442</v>
      </c>
      <c r="E15" s="63">
        <f>SUM(C15:D15)</f>
        <v>20632963</v>
      </c>
      <c r="F15" s="63">
        <v>236497</v>
      </c>
      <c r="G15" s="63">
        <v>28560</v>
      </c>
      <c r="H15" s="63">
        <f t="shared" si="2"/>
        <v>265057</v>
      </c>
      <c r="I15" s="80">
        <f>SUM(C15+F15)</f>
        <v>23981902</v>
      </c>
      <c r="J15" s="80">
        <f t="shared" ref="J15:K17" si="6">SUM(D15+G15)</f>
        <v>-3083882</v>
      </c>
      <c r="K15" s="80">
        <f t="shared" si="6"/>
        <v>20898020</v>
      </c>
    </row>
    <row r="16" spans="1:254" x14ac:dyDescent="0.25">
      <c r="A16" s="62" t="s">
        <v>162</v>
      </c>
      <c r="B16" s="62" t="s">
        <v>159</v>
      </c>
      <c r="C16" s="63">
        <v>340659</v>
      </c>
      <c r="D16" s="63">
        <v>25692</v>
      </c>
      <c r="E16" s="63">
        <f>SUM(C16:D16)</f>
        <v>366351</v>
      </c>
      <c r="F16" s="63">
        <v>15439</v>
      </c>
      <c r="G16" s="63">
        <v>-4059</v>
      </c>
      <c r="H16" s="63">
        <f t="shared" si="2"/>
        <v>11380</v>
      </c>
      <c r="I16" s="80">
        <f>SUM(C16+F16)</f>
        <v>356098</v>
      </c>
      <c r="J16" s="80">
        <f t="shared" si="6"/>
        <v>21633</v>
      </c>
      <c r="K16" s="80">
        <f t="shared" si="6"/>
        <v>377731</v>
      </c>
    </row>
    <row r="17" spans="1:254" x14ac:dyDescent="0.25">
      <c r="A17" s="62" t="s">
        <v>266</v>
      </c>
      <c r="B17" s="62" t="s">
        <v>160</v>
      </c>
      <c r="C17" s="63">
        <v>1436954</v>
      </c>
      <c r="D17" s="63">
        <v>1251681</v>
      </c>
      <c r="E17" s="63">
        <f>SUM(C17:D17)</f>
        <v>2688635</v>
      </c>
      <c r="F17" s="63">
        <v>2770</v>
      </c>
      <c r="G17" s="63">
        <v>-2770</v>
      </c>
      <c r="H17" s="63">
        <f t="shared" si="2"/>
        <v>0</v>
      </c>
      <c r="I17" s="80">
        <f>SUM(C17+F17)</f>
        <v>1439724</v>
      </c>
      <c r="J17" s="80">
        <f t="shared" si="6"/>
        <v>1248911</v>
      </c>
      <c r="K17" s="80">
        <f t="shared" si="6"/>
        <v>2688635</v>
      </c>
    </row>
    <row r="18" spans="1:254" ht="31.5" x14ac:dyDescent="0.25">
      <c r="A18" s="230" t="s">
        <v>340</v>
      </c>
      <c r="B18" s="232"/>
      <c r="C18" s="152">
        <f>SUM(C15:C17)</f>
        <v>25523018</v>
      </c>
      <c r="D18" s="152">
        <f t="shared" ref="D18:E18" si="7">SUM(D15:D17)</f>
        <v>-1835069</v>
      </c>
      <c r="E18" s="152">
        <f t="shared" si="7"/>
        <v>23687949</v>
      </c>
      <c r="F18" s="151">
        <f>SUM(F15:F17)</f>
        <v>254706</v>
      </c>
      <c r="G18" s="151">
        <f t="shared" ref="G18:H18" si="8">SUM(G15:G17)</f>
        <v>21731</v>
      </c>
      <c r="H18" s="151">
        <f t="shared" si="8"/>
        <v>276437</v>
      </c>
      <c r="I18" s="151">
        <f>SUM(I15:I17)</f>
        <v>25777724</v>
      </c>
      <c r="J18" s="151">
        <f t="shared" ref="J18:K18" si="9">SUM(J15:J17)</f>
        <v>-1813338</v>
      </c>
      <c r="K18" s="151">
        <f t="shared" si="9"/>
        <v>23964386</v>
      </c>
    </row>
    <row r="19" spans="1:254" x14ac:dyDescent="0.25">
      <c r="A19" s="62" t="s">
        <v>205</v>
      </c>
      <c r="B19" s="62"/>
      <c r="C19" s="63">
        <v>272459</v>
      </c>
      <c r="D19" s="63">
        <v>-50609</v>
      </c>
      <c r="E19" s="63">
        <f>SUM(C19:D19)</f>
        <v>221850</v>
      </c>
      <c r="F19" s="63">
        <v>0</v>
      </c>
      <c r="G19" s="63">
        <v>0</v>
      </c>
      <c r="H19" s="63">
        <f>SUM(F19:G19)</f>
        <v>0</v>
      </c>
      <c r="I19" s="80">
        <f>SUM(C19+F19)</f>
        <v>272459</v>
      </c>
      <c r="J19" s="80">
        <f t="shared" ref="J19:K20" si="10">SUM(D19+G19)</f>
        <v>-50609</v>
      </c>
      <c r="K19" s="80">
        <f t="shared" si="10"/>
        <v>221850</v>
      </c>
    </row>
    <row r="20" spans="1:254" x14ac:dyDescent="0.25">
      <c r="A20" s="62" t="s">
        <v>206</v>
      </c>
      <c r="B20" s="69"/>
      <c r="C20" s="63">
        <v>2811406</v>
      </c>
      <c r="D20" s="63">
        <v>581195</v>
      </c>
      <c r="E20" s="63">
        <f>SUM(C20:D20)</f>
        <v>3392601</v>
      </c>
      <c r="F20" s="63">
        <v>0</v>
      </c>
      <c r="G20" s="63">
        <v>0</v>
      </c>
      <c r="H20" s="63">
        <f>SUM(F20:G20)</f>
        <v>0</v>
      </c>
      <c r="I20" s="80">
        <f>SUM(C20+F20)</f>
        <v>2811406</v>
      </c>
      <c r="J20" s="80">
        <f t="shared" si="10"/>
        <v>581195</v>
      </c>
      <c r="K20" s="80">
        <f t="shared" si="10"/>
        <v>3392601</v>
      </c>
    </row>
    <row r="21" spans="1:254" s="68" customFormat="1" ht="16.5" thickBot="1" x14ac:dyDescent="0.3">
      <c r="A21" s="65" t="s">
        <v>207</v>
      </c>
      <c r="B21" s="70" t="s">
        <v>314</v>
      </c>
      <c r="C21" s="66">
        <f>SUM(C19:C20)</f>
        <v>3083865</v>
      </c>
      <c r="D21" s="66">
        <f t="shared" ref="D21:E21" si="11">SUM(D19:D20)</f>
        <v>530586</v>
      </c>
      <c r="E21" s="66">
        <f t="shared" si="11"/>
        <v>3614451</v>
      </c>
      <c r="F21" s="66">
        <f>SUM(F19:F20)</f>
        <v>0</v>
      </c>
      <c r="G21" s="66">
        <f t="shared" ref="G21:H21" si="12">SUM(G19:G20)</f>
        <v>0</v>
      </c>
      <c r="H21" s="66">
        <f t="shared" si="12"/>
        <v>0</v>
      </c>
      <c r="I21" s="82">
        <f>SUM(I19:I20)</f>
        <v>3083865</v>
      </c>
      <c r="J21" s="82">
        <f t="shared" ref="J21:K21" si="13">SUM(J19:J20)</f>
        <v>530586</v>
      </c>
      <c r="K21" s="82">
        <f t="shared" si="13"/>
        <v>3614451</v>
      </c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67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67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67"/>
      <c r="EX21" s="67"/>
      <c r="EY21" s="67"/>
      <c r="EZ21" s="67"/>
      <c r="FA21" s="67"/>
      <c r="FB21" s="67"/>
      <c r="FC21" s="67"/>
      <c r="FD21" s="67"/>
      <c r="FE21" s="67"/>
      <c r="FF21" s="67"/>
      <c r="FG21" s="67"/>
      <c r="FH21" s="67"/>
      <c r="FI21" s="67"/>
      <c r="FJ21" s="67"/>
      <c r="FK21" s="67"/>
      <c r="FL21" s="67"/>
      <c r="FM21" s="67"/>
      <c r="FN21" s="67"/>
      <c r="FO21" s="67"/>
      <c r="FP21" s="67"/>
      <c r="FQ21" s="67"/>
      <c r="FR21" s="67"/>
      <c r="FS21" s="67"/>
      <c r="FT21" s="67"/>
      <c r="FU21" s="67"/>
      <c r="FV21" s="67"/>
      <c r="FW21" s="67"/>
      <c r="FX21" s="67"/>
      <c r="FY21" s="67"/>
      <c r="FZ21" s="67"/>
      <c r="GA21" s="67"/>
      <c r="GB21" s="67"/>
      <c r="GC21" s="67"/>
      <c r="GD21" s="67"/>
      <c r="GE21" s="67"/>
      <c r="GF21" s="67"/>
      <c r="GG21" s="67"/>
      <c r="GH21" s="67"/>
      <c r="GI21" s="67"/>
      <c r="GJ21" s="67"/>
      <c r="GK21" s="67"/>
      <c r="GL21" s="67"/>
      <c r="GM21" s="67"/>
      <c r="GN21" s="67"/>
      <c r="GO21" s="67"/>
      <c r="GP21" s="67"/>
      <c r="GQ21" s="67"/>
      <c r="GR21" s="67"/>
      <c r="GS21" s="67"/>
      <c r="GT21" s="67"/>
      <c r="GU21" s="67"/>
      <c r="GV21" s="67"/>
      <c r="GW21" s="67"/>
      <c r="GX21" s="67"/>
      <c r="GY21" s="67"/>
      <c r="GZ21" s="67"/>
      <c r="HA21" s="67"/>
      <c r="HB21" s="67"/>
      <c r="HC21" s="67"/>
      <c r="HD21" s="67"/>
      <c r="HE21" s="67"/>
      <c r="HF21" s="67"/>
      <c r="HG21" s="67"/>
      <c r="HH21" s="67"/>
      <c r="HI21" s="67"/>
      <c r="HJ21" s="67"/>
      <c r="HK21" s="67"/>
      <c r="HL21" s="67"/>
      <c r="HM21" s="67"/>
      <c r="HN21" s="67"/>
      <c r="HO21" s="67"/>
      <c r="HP21" s="67"/>
      <c r="HQ21" s="67"/>
      <c r="HR21" s="67"/>
      <c r="HS21" s="67"/>
      <c r="HT21" s="67"/>
      <c r="HU21" s="67"/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/>
      <c r="IM21" s="67"/>
      <c r="IN21" s="67"/>
      <c r="IO21" s="67"/>
      <c r="IP21" s="67"/>
      <c r="IQ21" s="67"/>
      <c r="IR21" s="67"/>
      <c r="IS21" s="67"/>
      <c r="IT21" s="67"/>
    </row>
    <row r="22" spans="1:254" ht="17.25" thickTop="1" thickBot="1" x14ac:dyDescent="0.3">
      <c r="A22" s="140" t="s">
        <v>208</v>
      </c>
      <c r="B22" s="236" t="s">
        <v>271</v>
      </c>
      <c r="C22" s="142">
        <f>+C21+C18+C14</f>
        <v>50005080</v>
      </c>
      <c r="D22" s="142">
        <f t="shared" ref="D22:E22" si="14">+D21+D18+D14</f>
        <v>-1062680</v>
      </c>
      <c r="E22" s="142">
        <f t="shared" si="14"/>
        <v>48942400</v>
      </c>
      <c r="F22" s="142">
        <f>+F21+F18+F14</f>
        <v>15147745</v>
      </c>
      <c r="G22" s="142">
        <f t="shared" ref="G22:H22" si="15">+G21+G18+G14</f>
        <v>-89133</v>
      </c>
      <c r="H22" s="142">
        <f t="shared" si="15"/>
        <v>15058612</v>
      </c>
      <c r="I22" s="142">
        <f>+I21+I18+I14</f>
        <v>65152825</v>
      </c>
      <c r="J22" s="142">
        <f t="shared" ref="J22:K22" si="16">+J21+J18+J14</f>
        <v>-1151813</v>
      </c>
      <c r="K22" s="142">
        <f t="shared" si="16"/>
        <v>64001012</v>
      </c>
    </row>
    <row r="23" spans="1:254" ht="32.25" thickTop="1" x14ac:dyDescent="0.25">
      <c r="A23" s="422" t="s">
        <v>788</v>
      </c>
      <c r="B23" s="423" t="s">
        <v>454</v>
      </c>
      <c r="C23" s="424">
        <v>163966</v>
      </c>
      <c r="D23" s="424"/>
      <c r="E23" s="424">
        <f>SUM(C23:D23)</f>
        <v>163966</v>
      </c>
      <c r="F23" s="424"/>
      <c r="G23" s="424"/>
      <c r="H23" s="424"/>
      <c r="I23" s="429">
        <f>SUM(C23+F23)</f>
        <v>163966</v>
      </c>
      <c r="J23" s="429">
        <f t="shared" ref="J23:J24" si="17">SUM(D23+G23)</f>
        <v>0</v>
      </c>
      <c r="K23" s="424">
        <f t="shared" ref="K23" si="18">SUM(E23:H23)</f>
        <v>163966</v>
      </c>
      <c r="IS23" s="427"/>
      <c r="IT23" s="427"/>
    </row>
    <row r="24" spans="1:254" ht="16.5" thickBot="1" x14ac:dyDescent="0.3">
      <c r="A24" s="425" t="s">
        <v>786</v>
      </c>
      <c r="B24" s="426" t="s">
        <v>312</v>
      </c>
      <c r="C24" s="237">
        <v>11621659</v>
      </c>
      <c r="D24" s="237">
        <v>-100311</v>
      </c>
      <c r="E24" s="237">
        <f>SUM(C24:D24)</f>
        <v>11521348</v>
      </c>
      <c r="F24" s="237"/>
      <c r="G24" s="237"/>
      <c r="H24" s="237"/>
      <c r="I24" s="429">
        <f>SUM(C24+F24)</f>
        <v>11621659</v>
      </c>
      <c r="J24" s="429">
        <f t="shared" si="17"/>
        <v>-100311</v>
      </c>
      <c r="K24" s="424">
        <f t="shared" ref="K24" si="19">SUM(E24:H24)</f>
        <v>11521348</v>
      </c>
      <c r="IS24" s="427"/>
      <c r="IT24" s="427"/>
    </row>
    <row r="25" spans="1:254" ht="17.25" thickTop="1" thickBot="1" x14ac:dyDescent="0.3">
      <c r="A25" s="238" t="s">
        <v>787</v>
      </c>
      <c r="B25" s="239" t="s">
        <v>209</v>
      </c>
      <c r="C25" s="154">
        <f>SUM(C23:C24)</f>
        <v>11785625</v>
      </c>
      <c r="D25" s="154">
        <f>SUM(D23:D24)</f>
        <v>-100311</v>
      </c>
      <c r="E25" s="154">
        <f>SUM(E23:E24)</f>
        <v>11685314</v>
      </c>
      <c r="F25" s="154">
        <f>SUM(F23:F23)</f>
        <v>0</v>
      </c>
      <c r="G25" s="154">
        <f>SUM(G23:G23)</f>
        <v>0</v>
      </c>
      <c r="H25" s="154">
        <f>SUM(H23:H23)</f>
        <v>0</v>
      </c>
      <c r="I25" s="154">
        <f>SUM(I23:I24)</f>
        <v>11785625</v>
      </c>
      <c r="J25" s="154">
        <f>SUM(J23:J24)</f>
        <v>-100311</v>
      </c>
      <c r="K25" s="154">
        <f>SUM(K23:K24)</f>
        <v>11685314</v>
      </c>
      <c r="L25" s="430"/>
      <c r="M25" s="430"/>
      <c r="N25" s="430"/>
      <c r="O25" s="430"/>
      <c r="P25" s="430"/>
      <c r="Q25" s="430"/>
      <c r="R25" s="430"/>
      <c r="S25" s="430"/>
      <c r="T25" s="430"/>
      <c r="U25" s="430"/>
      <c r="V25" s="430"/>
      <c r="W25" s="430"/>
      <c r="X25" s="430"/>
      <c r="Y25" s="430"/>
      <c r="Z25" s="430"/>
      <c r="AA25" s="430"/>
      <c r="AB25" s="430"/>
      <c r="AC25" s="430"/>
      <c r="AD25" s="430"/>
      <c r="AE25" s="430"/>
      <c r="AF25" s="430"/>
      <c r="AG25" s="430"/>
      <c r="AH25" s="430"/>
      <c r="AI25" s="430"/>
      <c r="AJ25" s="430"/>
      <c r="AK25" s="430"/>
      <c r="AL25" s="430"/>
      <c r="AM25" s="430"/>
      <c r="AN25" s="430"/>
      <c r="AO25" s="430"/>
      <c r="AP25" s="430"/>
      <c r="AQ25" s="430"/>
      <c r="AR25" s="430"/>
      <c r="AS25" s="430"/>
      <c r="AT25" s="430"/>
      <c r="AU25" s="430"/>
      <c r="AV25" s="430"/>
      <c r="AW25" s="430"/>
      <c r="AX25" s="430"/>
      <c r="AY25" s="430"/>
      <c r="AZ25" s="430"/>
      <c r="BA25" s="430"/>
      <c r="BB25" s="430"/>
      <c r="BC25" s="430"/>
      <c r="BD25" s="430"/>
      <c r="BE25" s="430"/>
      <c r="BF25" s="430"/>
      <c r="BG25" s="430"/>
      <c r="BH25" s="430"/>
      <c r="BI25" s="430"/>
      <c r="BJ25" s="430"/>
      <c r="BK25" s="430"/>
      <c r="BL25" s="430"/>
      <c r="BM25" s="430"/>
      <c r="BN25" s="430"/>
      <c r="BO25" s="430"/>
      <c r="BP25" s="430"/>
      <c r="BQ25" s="430"/>
      <c r="BR25" s="430"/>
      <c r="BS25" s="430"/>
      <c r="BT25" s="430"/>
      <c r="BU25" s="430"/>
      <c r="BV25" s="430"/>
      <c r="BW25" s="430"/>
      <c r="BX25" s="430"/>
      <c r="BY25" s="430"/>
      <c r="BZ25" s="430"/>
      <c r="CA25" s="430"/>
      <c r="CB25" s="430"/>
      <c r="CC25" s="430"/>
      <c r="CD25" s="430"/>
      <c r="CE25" s="430"/>
      <c r="CF25" s="430"/>
      <c r="CG25" s="430"/>
      <c r="CH25" s="430"/>
      <c r="CI25" s="430"/>
      <c r="CJ25" s="430"/>
      <c r="CK25" s="430"/>
      <c r="CL25" s="430"/>
      <c r="CM25" s="430"/>
      <c r="CN25" s="430"/>
      <c r="CO25" s="430"/>
      <c r="CP25" s="430"/>
      <c r="CQ25" s="430"/>
      <c r="CR25" s="430"/>
      <c r="CS25" s="430"/>
      <c r="CT25" s="430"/>
      <c r="CU25" s="430"/>
      <c r="CV25" s="430"/>
      <c r="CW25" s="430"/>
      <c r="CX25" s="430"/>
      <c r="CY25" s="430"/>
      <c r="CZ25" s="430"/>
      <c r="DA25" s="430"/>
      <c r="DB25" s="430"/>
      <c r="DC25" s="430"/>
      <c r="DD25" s="430"/>
      <c r="DE25" s="430"/>
      <c r="DF25" s="430"/>
      <c r="DG25" s="430"/>
      <c r="DH25" s="430"/>
      <c r="DI25" s="430"/>
      <c r="DJ25" s="430"/>
      <c r="DK25" s="430"/>
      <c r="DL25" s="430"/>
      <c r="DM25" s="430"/>
      <c r="DN25" s="430"/>
      <c r="DO25" s="430"/>
      <c r="DP25" s="430"/>
      <c r="DQ25" s="430"/>
      <c r="DR25" s="430"/>
      <c r="DS25" s="430"/>
      <c r="DT25" s="430"/>
      <c r="DU25" s="430"/>
      <c r="DV25" s="430"/>
      <c r="DW25" s="430"/>
      <c r="DX25" s="430"/>
      <c r="DY25" s="430"/>
      <c r="DZ25" s="430"/>
      <c r="EA25" s="430"/>
      <c r="EB25" s="430"/>
      <c r="EC25" s="430"/>
      <c r="ED25" s="430"/>
      <c r="EE25" s="430"/>
      <c r="EF25" s="430"/>
      <c r="EG25" s="430"/>
      <c r="EH25" s="430"/>
      <c r="EI25" s="430"/>
      <c r="EJ25" s="430"/>
      <c r="EK25" s="430"/>
      <c r="EL25" s="430"/>
      <c r="EM25" s="430"/>
      <c r="EN25" s="430"/>
      <c r="EO25" s="430"/>
      <c r="EP25" s="430"/>
      <c r="EQ25" s="430"/>
      <c r="ER25" s="430"/>
      <c r="ES25" s="430"/>
      <c r="ET25" s="430"/>
      <c r="EU25" s="430"/>
      <c r="EV25" s="430"/>
      <c r="EW25" s="430"/>
      <c r="EX25" s="430"/>
      <c r="EY25" s="430"/>
      <c r="EZ25" s="430"/>
      <c r="FA25" s="430"/>
      <c r="FB25" s="430"/>
      <c r="FC25" s="430"/>
      <c r="FD25" s="430"/>
      <c r="FE25" s="430"/>
      <c r="FF25" s="430"/>
      <c r="FG25" s="430"/>
      <c r="FH25" s="430"/>
      <c r="FI25" s="430"/>
      <c r="FJ25" s="430"/>
      <c r="FK25" s="430"/>
      <c r="FL25" s="430"/>
      <c r="FM25" s="430"/>
      <c r="FN25" s="430"/>
      <c r="FO25" s="430"/>
      <c r="FP25" s="430"/>
      <c r="FQ25" s="430"/>
      <c r="FR25" s="430"/>
      <c r="FS25" s="430"/>
      <c r="FT25" s="430"/>
      <c r="FU25" s="430"/>
      <c r="FV25" s="430"/>
      <c r="FW25" s="430"/>
      <c r="FX25" s="430"/>
      <c r="FY25" s="430"/>
      <c r="FZ25" s="430"/>
      <c r="GA25" s="430"/>
      <c r="GB25" s="430"/>
      <c r="GC25" s="430"/>
      <c r="GD25" s="430"/>
      <c r="GE25" s="430"/>
      <c r="GF25" s="430"/>
      <c r="GG25" s="430"/>
      <c r="GH25" s="430"/>
      <c r="GI25" s="430"/>
      <c r="GJ25" s="430"/>
      <c r="GK25" s="430"/>
      <c r="GL25" s="430"/>
      <c r="GM25" s="430"/>
      <c r="GN25" s="430"/>
      <c r="GO25" s="430"/>
      <c r="GP25" s="430"/>
      <c r="GQ25" s="430"/>
      <c r="GR25" s="430"/>
      <c r="GS25" s="430"/>
      <c r="GT25" s="430"/>
      <c r="GU25" s="430"/>
      <c r="GV25" s="430"/>
      <c r="GW25" s="430"/>
      <c r="GX25" s="430"/>
      <c r="GY25" s="430"/>
      <c r="GZ25" s="430"/>
      <c r="HA25" s="430"/>
      <c r="HB25" s="430"/>
      <c r="HC25" s="430"/>
      <c r="HD25" s="430"/>
      <c r="HE25" s="430"/>
      <c r="HF25" s="430"/>
      <c r="HG25" s="430"/>
      <c r="HH25" s="430"/>
      <c r="HI25" s="430"/>
      <c r="HJ25" s="430"/>
      <c r="HK25" s="430"/>
      <c r="HL25" s="430"/>
      <c r="HM25" s="430"/>
      <c r="HN25" s="430"/>
      <c r="HO25" s="430"/>
      <c r="HP25" s="430"/>
      <c r="HQ25" s="430"/>
      <c r="HR25" s="430"/>
      <c r="HS25" s="430"/>
      <c r="HT25" s="430"/>
      <c r="HU25" s="430"/>
      <c r="HV25" s="430"/>
      <c r="HW25" s="430"/>
      <c r="HX25" s="430"/>
      <c r="HY25" s="430"/>
      <c r="HZ25" s="430"/>
      <c r="IA25" s="430"/>
      <c r="IB25" s="430"/>
      <c r="IC25" s="430"/>
      <c r="ID25" s="430"/>
      <c r="IE25" s="430"/>
      <c r="IF25" s="430"/>
      <c r="IG25" s="430"/>
      <c r="IH25" s="430"/>
      <c r="II25" s="430"/>
      <c r="IJ25" s="430"/>
      <c r="IK25" s="430"/>
      <c r="IL25" s="430"/>
      <c r="IM25" s="430"/>
      <c r="IN25" s="430"/>
      <c r="IO25" s="430"/>
      <c r="IP25" s="430"/>
      <c r="IQ25" s="430"/>
      <c r="IR25" s="430"/>
      <c r="IS25" s="427"/>
      <c r="IT25" s="427"/>
    </row>
    <row r="26" spans="1:254" ht="17.25" thickTop="1" thickBot="1" x14ac:dyDescent="0.3">
      <c r="A26" s="140" t="s">
        <v>336</v>
      </c>
      <c r="B26" s="141"/>
      <c r="C26" s="142"/>
      <c r="D26" s="142"/>
      <c r="E26" s="142"/>
      <c r="F26" s="143">
        <v>1967.18</v>
      </c>
      <c r="G26" s="143">
        <v>-38.5</v>
      </c>
      <c r="H26" s="143">
        <f>SUM(F26:G26)</f>
        <v>1928.68</v>
      </c>
      <c r="I26" s="143">
        <f>F26</f>
        <v>1967.18</v>
      </c>
      <c r="J26" s="143">
        <f t="shared" ref="J26:K26" si="20">G26</f>
        <v>-38.5</v>
      </c>
      <c r="K26" s="143">
        <f t="shared" si="20"/>
        <v>1928.68</v>
      </c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4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4"/>
      <c r="DD26" s="144"/>
      <c r="DE26" s="144"/>
      <c r="DF26" s="144"/>
      <c r="DG26" s="144"/>
      <c r="DH26" s="144"/>
      <c r="DI26" s="144"/>
      <c r="DJ26" s="144"/>
      <c r="DK26" s="144"/>
      <c r="DL26" s="144"/>
      <c r="DM26" s="144"/>
      <c r="DN26" s="144"/>
      <c r="DO26" s="144"/>
      <c r="DP26" s="144"/>
      <c r="DQ26" s="144"/>
      <c r="DR26" s="144"/>
      <c r="DS26" s="144"/>
      <c r="DT26" s="144"/>
      <c r="DU26" s="144"/>
      <c r="DV26" s="144"/>
      <c r="DW26" s="144"/>
      <c r="DX26" s="144"/>
      <c r="DY26" s="144"/>
      <c r="DZ26" s="144"/>
      <c r="EA26" s="144"/>
      <c r="EB26" s="144"/>
      <c r="EC26" s="144"/>
      <c r="ED26" s="144"/>
      <c r="EE26" s="144"/>
      <c r="EF26" s="144"/>
      <c r="EG26" s="144"/>
      <c r="EH26" s="144"/>
      <c r="EI26" s="144"/>
      <c r="EJ26" s="144"/>
      <c r="EK26" s="144"/>
      <c r="EL26" s="144"/>
      <c r="EM26" s="144"/>
      <c r="EN26" s="144"/>
      <c r="EO26" s="144"/>
      <c r="EP26" s="144"/>
      <c r="EQ26" s="144"/>
      <c r="ER26" s="144"/>
      <c r="ES26" s="144"/>
      <c r="ET26" s="144"/>
      <c r="EU26" s="144"/>
      <c r="EV26" s="144"/>
      <c r="EW26" s="144"/>
      <c r="EX26" s="144"/>
      <c r="EY26" s="144"/>
      <c r="EZ26" s="144"/>
      <c r="FA26" s="144"/>
      <c r="FB26" s="144"/>
      <c r="FC26" s="144"/>
      <c r="FD26" s="144"/>
      <c r="FE26" s="144"/>
      <c r="FF26" s="144"/>
      <c r="FG26" s="144"/>
      <c r="FH26" s="144"/>
      <c r="FI26" s="144"/>
      <c r="FJ26" s="144"/>
      <c r="FK26" s="144"/>
      <c r="FL26" s="144"/>
      <c r="FM26" s="144"/>
      <c r="FN26" s="144"/>
      <c r="FO26" s="144"/>
      <c r="FP26" s="144"/>
      <c r="FQ26" s="144"/>
      <c r="FR26" s="144"/>
      <c r="FS26" s="144"/>
      <c r="FT26" s="144"/>
      <c r="FU26" s="144"/>
      <c r="FV26" s="144"/>
      <c r="FW26" s="144"/>
      <c r="FX26" s="144"/>
      <c r="FY26" s="144"/>
      <c r="FZ26" s="144"/>
      <c r="GA26" s="144"/>
      <c r="GB26" s="144"/>
      <c r="GC26" s="144"/>
      <c r="GD26" s="144"/>
      <c r="GE26" s="144"/>
      <c r="GF26" s="144"/>
      <c r="GG26" s="144"/>
      <c r="GH26" s="144"/>
      <c r="GI26" s="144"/>
      <c r="GJ26" s="144"/>
      <c r="GK26" s="144"/>
      <c r="GL26" s="144"/>
      <c r="GM26" s="144"/>
      <c r="GN26" s="144"/>
      <c r="GO26" s="144"/>
      <c r="GP26" s="144"/>
      <c r="GQ26" s="144"/>
      <c r="GR26" s="144"/>
      <c r="GS26" s="144"/>
      <c r="GT26" s="144"/>
      <c r="GU26" s="144"/>
      <c r="GV26" s="144"/>
      <c r="GW26" s="144"/>
      <c r="GX26" s="144"/>
      <c r="GY26" s="144"/>
      <c r="GZ26" s="144"/>
      <c r="HA26" s="144"/>
      <c r="HB26" s="144"/>
      <c r="HC26" s="144"/>
      <c r="HD26" s="144"/>
      <c r="HE26" s="144"/>
      <c r="HF26" s="144"/>
      <c r="HG26" s="144"/>
      <c r="HH26" s="144"/>
      <c r="HI26" s="144"/>
      <c r="HJ26" s="144"/>
      <c r="HK26" s="144"/>
      <c r="HL26" s="144"/>
      <c r="HM26" s="144"/>
      <c r="HN26" s="144"/>
      <c r="HO26" s="144"/>
      <c r="HP26" s="144"/>
      <c r="HQ26" s="144"/>
      <c r="HR26" s="144"/>
      <c r="HS26" s="144"/>
      <c r="HT26" s="144"/>
      <c r="HU26" s="144"/>
      <c r="HV26" s="144"/>
      <c r="HW26" s="144"/>
      <c r="HX26" s="144"/>
      <c r="HY26" s="144"/>
      <c r="HZ26" s="144"/>
      <c r="IA26" s="144"/>
      <c r="IB26" s="144"/>
      <c r="IC26" s="144"/>
      <c r="ID26" s="144"/>
      <c r="IE26" s="144"/>
      <c r="IF26" s="144"/>
      <c r="IG26" s="144"/>
      <c r="IH26" s="144"/>
      <c r="II26" s="144"/>
      <c r="IJ26" s="144"/>
      <c r="IK26" s="144"/>
      <c r="IL26" s="144"/>
      <c r="IM26" s="144"/>
      <c r="IN26" s="144"/>
      <c r="IO26" s="144"/>
      <c r="IP26" s="144"/>
      <c r="IQ26" s="144"/>
      <c r="IR26" s="144"/>
      <c r="IS26" s="427"/>
      <c r="IT26" s="427"/>
    </row>
    <row r="27" spans="1:254" ht="16.5" thickTop="1" x14ac:dyDescent="0.25">
      <c r="A27" s="147"/>
      <c r="B27" s="147"/>
      <c r="C27" s="64"/>
      <c r="D27" s="64"/>
      <c r="E27" s="64"/>
      <c r="F27" s="64"/>
      <c r="G27" s="64"/>
      <c r="H27" s="64"/>
    </row>
    <row r="28" spans="1:254" x14ac:dyDescent="0.25">
      <c r="A28" s="147"/>
      <c r="B28" s="147"/>
      <c r="C28" s="64"/>
      <c r="D28" s="64"/>
      <c r="E28" s="64"/>
      <c r="F28" s="64"/>
      <c r="G28" s="64"/>
      <c r="H28" s="64"/>
    </row>
    <row r="29" spans="1:254" x14ac:dyDescent="0.25">
      <c r="A29" s="147"/>
      <c r="B29" s="147"/>
      <c r="C29" s="64"/>
      <c r="D29" s="64"/>
      <c r="E29" s="64"/>
      <c r="F29" s="64"/>
      <c r="G29" s="64"/>
      <c r="H29" s="64"/>
    </row>
    <row r="30" spans="1:254" x14ac:dyDescent="0.25">
      <c r="A30" s="147"/>
      <c r="B30" s="147"/>
      <c r="C30" s="64"/>
      <c r="D30" s="64"/>
      <c r="E30" s="64"/>
      <c r="F30" s="64"/>
      <c r="G30" s="64"/>
      <c r="H30" s="64"/>
    </row>
    <row r="31" spans="1:254" x14ac:dyDescent="0.25">
      <c r="A31" s="147"/>
      <c r="B31" s="147"/>
      <c r="C31" s="64"/>
      <c r="D31" s="64"/>
      <c r="E31" s="64"/>
      <c r="F31" s="64"/>
      <c r="G31" s="64"/>
      <c r="H31" s="64"/>
    </row>
    <row r="32" spans="1:254" x14ac:dyDescent="0.25">
      <c r="A32" s="147"/>
      <c r="B32" s="147"/>
      <c r="C32" s="64"/>
      <c r="D32" s="64"/>
      <c r="E32" s="64"/>
      <c r="F32" s="64"/>
      <c r="G32" s="64"/>
      <c r="H32" s="64"/>
    </row>
    <row r="33" spans="1:8" x14ac:dyDescent="0.25">
      <c r="A33" s="147"/>
      <c r="B33" s="147"/>
      <c r="C33" s="64"/>
      <c r="D33" s="64"/>
      <c r="E33" s="64"/>
      <c r="F33" s="64"/>
      <c r="G33" s="64"/>
      <c r="H33" s="64"/>
    </row>
    <row r="34" spans="1:8" x14ac:dyDescent="0.25">
      <c r="A34" s="147"/>
      <c r="B34" s="147"/>
      <c r="C34" s="64"/>
      <c r="D34" s="64"/>
      <c r="E34" s="64"/>
      <c r="F34" s="64"/>
      <c r="G34" s="64"/>
      <c r="H34" s="64"/>
    </row>
    <row r="35" spans="1:8" x14ac:dyDescent="0.25">
      <c r="A35" s="147"/>
      <c r="B35" s="147"/>
      <c r="C35" s="64"/>
      <c r="D35" s="64"/>
      <c r="E35" s="64"/>
      <c r="F35" s="64"/>
      <c r="G35" s="64"/>
      <c r="H35" s="64"/>
    </row>
    <row r="36" spans="1:8" x14ac:dyDescent="0.25">
      <c r="A36" s="24"/>
      <c r="B36" s="24"/>
      <c r="C36" s="64"/>
      <c r="D36" s="64"/>
      <c r="E36" s="64"/>
      <c r="F36" s="64"/>
      <c r="G36" s="64"/>
      <c r="H36" s="64"/>
    </row>
    <row r="37" spans="1:8" x14ac:dyDescent="0.25">
      <c r="C37" s="193"/>
      <c r="D37" s="193"/>
      <c r="E37" s="193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ageMargins left="0.51181102362204722" right="0.51181102362204722" top="0.94488188976377963" bottom="0.74803149606299213" header="0.31496062992125984" footer="0.31496062992125984"/>
  <pageSetup paperSize="9" scale="71" orientation="landscape" r:id="rId1"/>
  <headerFooter>
    <oddHeader>&amp;R&amp;"Times New Roman CE,Félkövér"&amp;11  4.melléklet a 40/2020.(XI.30.) önkormányzati rendelethez&amp;"Times New Roman CE,Dőlt"&amp;10
4. melléklet
az 5/2020.(II.17.)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"/>
  <sheetViews>
    <sheetView topLeftCell="A4" workbookViewId="0">
      <selection activeCell="G13" sqref="G13"/>
    </sheetView>
  </sheetViews>
  <sheetFormatPr defaultColWidth="8.75" defaultRowHeight="15.75" x14ac:dyDescent="0.25"/>
  <cols>
    <col min="1" max="1" width="44.5" style="430" customWidth="1"/>
    <col min="2" max="2" width="14.25" style="144" customWidth="1"/>
    <col min="3" max="3" width="16.125" style="431" customWidth="1"/>
    <col min="4" max="16384" width="8.75" style="427"/>
  </cols>
  <sheetData>
    <row r="1" spans="1:3" x14ac:dyDescent="0.25">
      <c r="A1" s="985" t="s">
        <v>222</v>
      </c>
      <c r="B1" s="985"/>
      <c r="C1" s="985"/>
    </row>
    <row r="2" spans="1:3" x14ac:dyDescent="0.25">
      <c r="A2" s="985" t="s">
        <v>774</v>
      </c>
      <c r="B2" s="985"/>
      <c r="C2" s="985"/>
    </row>
    <row r="3" spans="1:3" x14ac:dyDescent="0.25">
      <c r="A3" s="985" t="s">
        <v>989</v>
      </c>
      <c r="B3" s="985"/>
      <c r="C3" s="985"/>
    </row>
    <row r="5" spans="1:3" ht="16.5" thickBot="1" x14ac:dyDescent="0.3"/>
    <row r="6" spans="1:3" ht="17.25" customHeight="1" thickTop="1" thickBot="1" x14ac:dyDescent="0.3">
      <c r="A6" s="432" t="s">
        <v>136</v>
      </c>
      <c r="B6" s="398" t="s">
        <v>153</v>
      </c>
      <c r="C6" s="433" t="s">
        <v>143</v>
      </c>
    </row>
    <row r="7" spans="1:3" ht="16.5" thickTop="1" x14ac:dyDescent="0.25">
      <c r="A7" s="399" t="s">
        <v>217</v>
      </c>
      <c r="B7" s="400" t="s">
        <v>223</v>
      </c>
      <c r="C7" s="401">
        <f>'3 bevétel(szűkített)'!K54</f>
        <v>35898722</v>
      </c>
    </row>
    <row r="8" spans="1:3" x14ac:dyDescent="0.25">
      <c r="A8" s="434" t="s">
        <v>224</v>
      </c>
      <c r="B8" s="402"/>
      <c r="C8" s="251">
        <f>'3 bevétel(szűkített)'!K60</f>
        <v>28266256</v>
      </c>
    </row>
    <row r="9" spans="1:3" x14ac:dyDescent="0.25">
      <c r="A9" s="435" t="s">
        <v>305</v>
      </c>
      <c r="B9" s="403"/>
      <c r="C9" s="80">
        <f>'3 bevétel(szűkített)'!K61</f>
        <v>11521348</v>
      </c>
    </row>
    <row r="10" spans="1:3" s="405" customFormat="1" x14ac:dyDescent="0.25">
      <c r="A10" s="231" t="s">
        <v>801</v>
      </c>
      <c r="B10" s="404" t="s">
        <v>173</v>
      </c>
      <c r="C10" s="80">
        <f>SUM(C8:C9)</f>
        <v>39787604</v>
      </c>
    </row>
    <row r="11" spans="1:3" x14ac:dyDescent="0.25">
      <c r="A11" s="436"/>
      <c r="B11" s="231"/>
      <c r="C11" s="80"/>
    </row>
    <row r="12" spans="1:3" s="405" customFormat="1" x14ac:dyDescent="0.25">
      <c r="A12" s="231" t="s">
        <v>218</v>
      </c>
      <c r="B12" s="231" t="s">
        <v>163</v>
      </c>
      <c r="C12" s="80">
        <f>'4 kiadás(szűkített)'!K22</f>
        <v>64001012</v>
      </c>
    </row>
    <row r="13" spans="1:3" ht="31.5" x14ac:dyDescent="0.25">
      <c r="A13" s="422" t="s">
        <v>804</v>
      </c>
      <c r="B13" s="79"/>
      <c r="C13" s="80">
        <f>'4 kiadás(szűkített)'!K23</f>
        <v>163966</v>
      </c>
    </row>
    <row r="14" spans="1:3" x14ac:dyDescent="0.25">
      <c r="A14" s="422" t="s">
        <v>802</v>
      </c>
      <c r="B14" s="79"/>
      <c r="C14" s="80">
        <f>'4 kiadás(szűkített)'!K24</f>
        <v>11521348</v>
      </c>
    </row>
    <row r="15" spans="1:3" x14ac:dyDescent="0.25">
      <c r="A15" s="79" t="s">
        <v>803</v>
      </c>
      <c r="B15" s="79" t="s">
        <v>209</v>
      </c>
      <c r="C15" s="406">
        <f>SUM(C13+C14)</f>
        <v>11685314</v>
      </c>
    </row>
    <row r="16" spans="1:3" x14ac:dyDescent="0.25">
      <c r="A16" s="436"/>
      <c r="B16" s="231"/>
      <c r="C16" s="429"/>
    </row>
    <row r="17" spans="1:3" s="405" customFormat="1" x14ac:dyDescent="0.25">
      <c r="A17" s="231" t="s">
        <v>219</v>
      </c>
      <c r="B17" s="231"/>
      <c r="C17" s="80">
        <f>SUM(C7-C12)</f>
        <v>-28102290</v>
      </c>
    </row>
    <row r="18" spans="1:3" s="405" customFormat="1" x14ac:dyDescent="0.25">
      <c r="A18" s="231" t="s">
        <v>220</v>
      </c>
      <c r="B18" s="231"/>
      <c r="C18" s="80">
        <f>SUM(C10-C15)</f>
        <v>28102290</v>
      </c>
    </row>
    <row r="19" spans="1:3" s="405" customFormat="1" ht="16.5" thickBot="1" x14ac:dyDescent="0.3">
      <c r="A19" s="407" t="s">
        <v>221</v>
      </c>
      <c r="B19" s="407"/>
      <c r="C19" s="661">
        <f>SUM(C17+C18)</f>
        <v>0</v>
      </c>
    </row>
    <row r="20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CE,Félkövér"&amp;10 5.melléklet a 40/2020.(XI.30.) önkormányzati rendelethez&amp;"Times New Roman CE,Dőlt"
5. melléklet
az 5/2020.(II.17.)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ED465-E34B-4298-903F-9B6471246175}">
  <dimension ref="A1:H51"/>
  <sheetViews>
    <sheetView topLeftCell="A40" zoomScale="90" zoomScaleNormal="90" workbookViewId="0">
      <pane xSplit="2" topLeftCell="C1" activePane="topRight" state="frozen"/>
      <selection sqref="A1:XFD1048576"/>
      <selection pane="topRight" activeCell="B46" sqref="B46"/>
    </sheetView>
  </sheetViews>
  <sheetFormatPr defaultColWidth="8" defaultRowHeight="15.75" x14ac:dyDescent="0.25"/>
  <cols>
    <col min="1" max="1" width="20" style="675" customWidth="1"/>
    <col min="2" max="2" width="45.75" style="675" customWidth="1"/>
    <col min="3" max="3" width="13" style="675" customWidth="1"/>
    <col min="4" max="4" width="13.5" style="675" customWidth="1"/>
    <col min="5" max="5" width="12" style="675" customWidth="1"/>
    <col min="6" max="7" width="9.625" style="675" bestFit="1" customWidth="1"/>
    <col min="8" max="8" width="9.375" style="675" bestFit="1" customWidth="1"/>
    <col min="9" max="16384" width="8" style="675"/>
  </cols>
  <sheetData>
    <row r="1" spans="1:8" ht="31.5" customHeight="1" x14ac:dyDescent="0.25">
      <c r="A1" s="1000" t="s">
        <v>1506</v>
      </c>
      <c r="B1" s="1000"/>
      <c r="C1" s="1000"/>
      <c r="D1" s="1000"/>
      <c r="E1" s="1000"/>
    </row>
    <row r="3" spans="1:8" s="676" customFormat="1" ht="46.9" customHeight="1" x14ac:dyDescent="0.25">
      <c r="A3" s="998" t="s">
        <v>882</v>
      </c>
      <c r="B3" s="998"/>
      <c r="C3" s="999" t="s">
        <v>1191</v>
      </c>
      <c r="D3" s="999"/>
      <c r="E3" s="999"/>
    </row>
    <row r="4" spans="1:8" s="676" customFormat="1" ht="47.25" x14ac:dyDescent="0.25">
      <c r="A4" s="677" t="s">
        <v>883</v>
      </c>
      <c r="B4" s="677" t="s">
        <v>136</v>
      </c>
      <c r="C4" s="677" t="s">
        <v>884</v>
      </c>
      <c r="D4" s="677" t="s">
        <v>885</v>
      </c>
      <c r="E4" s="677" t="s">
        <v>886</v>
      </c>
      <c r="H4" s="930"/>
    </row>
    <row r="5" spans="1:8" s="676" customFormat="1" ht="30" customHeight="1" x14ac:dyDescent="0.25">
      <c r="A5" s="678" t="s">
        <v>887</v>
      </c>
      <c r="B5" s="679" t="s">
        <v>888</v>
      </c>
      <c r="C5" s="680">
        <v>100</v>
      </c>
      <c r="D5" s="680" t="s">
        <v>889</v>
      </c>
      <c r="E5" s="681">
        <v>298</v>
      </c>
    </row>
    <row r="6" spans="1:8" s="676" customFormat="1" ht="30" customHeight="1" x14ac:dyDescent="0.25">
      <c r="A6" s="678" t="s">
        <v>890</v>
      </c>
      <c r="B6" s="679" t="s">
        <v>891</v>
      </c>
      <c r="C6" s="681"/>
      <c r="D6" s="682"/>
      <c r="E6" s="681">
        <v>1830618</v>
      </c>
      <c r="G6" s="683"/>
      <c r="H6" s="683"/>
    </row>
    <row r="7" spans="1:8" s="676" customFormat="1" ht="22.9" customHeight="1" x14ac:dyDescent="0.25">
      <c r="A7" s="678" t="s">
        <v>892</v>
      </c>
      <c r="B7" s="679" t="s">
        <v>893</v>
      </c>
      <c r="C7" s="681">
        <v>97400</v>
      </c>
      <c r="D7" s="682"/>
      <c r="E7" s="681">
        <v>299378</v>
      </c>
    </row>
    <row r="8" spans="1:8" s="676" customFormat="1" ht="47.25" x14ac:dyDescent="0.25">
      <c r="A8" s="678" t="s">
        <v>894</v>
      </c>
      <c r="B8" s="679" t="s">
        <v>895</v>
      </c>
      <c r="C8" s="681"/>
      <c r="D8" s="682">
        <v>106</v>
      </c>
      <c r="E8" s="681">
        <v>55858</v>
      </c>
    </row>
    <row r="9" spans="1:8" s="676" customFormat="1" ht="22.9" customHeight="1" x14ac:dyDescent="0.25">
      <c r="A9" s="678" t="s">
        <v>896</v>
      </c>
      <c r="B9" s="679" t="s">
        <v>897</v>
      </c>
      <c r="C9" s="681">
        <v>811600</v>
      </c>
      <c r="D9" s="682">
        <v>2.5</v>
      </c>
      <c r="E9" s="681">
        <v>2029</v>
      </c>
    </row>
    <row r="10" spans="1:8" s="676" customFormat="1" ht="22.9" customHeight="1" x14ac:dyDescent="0.25">
      <c r="A10" s="678" t="s">
        <v>898</v>
      </c>
      <c r="B10" s="679" t="s">
        <v>899</v>
      </c>
      <c r="C10" s="681">
        <v>4100000</v>
      </c>
      <c r="D10" s="682">
        <v>12</v>
      </c>
      <c r="E10" s="681">
        <v>49200</v>
      </c>
    </row>
    <row r="11" spans="1:8" s="676" customFormat="1" ht="22.9" customHeight="1" x14ac:dyDescent="0.25">
      <c r="A11" s="678" t="s">
        <v>900</v>
      </c>
      <c r="B11" s="679" t="s">
        <v>901</v>
      </c>
      <c r="C11" s="681">
        <v>3650000</v>
      </c>
      <c r="D11" s="682">
        <v>23</v>
      </c>
      <c r="E11" s="681">
        <v>83950</v>
      </c>
    </row>
    <row r="12" spans="1:8" s="676" customFormat="1" ht="22.9" customHeight="1" x14ac:dyDescent="0.25">
      <c r="A12" s="678" t="s">
        <v>902</v>
      </c>
      <c r="B12" s="679" t="s">
        <v>903</v>
      </c>
      <c r="C12" s="681">
        <v>66360</v>
      </c>
      <c r="D12" s="682">
        <v>446</v>
      </c>
      <c r="E12" s="681">
        <v>29597</v>
      </c>
    </row>
    <row r="13" spans="1:8" s="676" customFormat="1" ht="22.9" customHeight="1" x14ac:dyDescent="0.25">
      <c r="A13" s="678" t="s">
        <v>904</v>
      </c>
      <c r="B13" s="679" t="s">
        <v>905</v>
      </c>
      <c r="C13" s="681">
        <v>25000</v>
      </c>
      <c r="D13" s="682">
        <v>4</v>
      </c>
      <c r="E13" s="681">
        <v>100</v>
      </c>
    </row>
    <row r="14" spans="1:8" s="676" customFormat="1" ht="22.9" customHeight="1" x14ac:dyDescent="0.25">
      <c r="A14" s="678" t="s">
        <v>906</v>
      </c>
      <c r="B14" s="679" t="s">
        <v>907</v>
      </c>
      <c r="C14" s="681">
        <v>363000</v>
      </c>
      <c r="D14" s="682">
        <v>117</v>
      </c>
      <c r="E14" s="681">
        <v>43824</v>
      </c>
    </row>
    <row r="15" spans="1:8" s="676" customFormat="1" ht="22.9" customHeight="1" x14ac:dyDescent="0.25">
      <c r="A15" s="678" t="s">
        <v>908</v>
      </c>
      <c r="B15" s="679" t="s">
        <v>909</v>
      </c>
      <c r="C15" s="681">
        <v>217000</v>
      </c>
      <c r="D15" s="682">
        <v>49</v>
      </c>
      <c r="E15" s="681">
        <v>11470</v>
      </c>
    </row>
    <row r="16" spans="1:8" s="676" customFormat="1" ht="30" customHeight="1" x14ac:dyDescent="0.25">
      <c r="A16" s="678" t="s">
        <v>910</v>
      </c>
      <c r="B16" s="679" t="s">
        <v>911</v>
      </c>
      <c r="C16" s="681">
        <v>732000</v>
      </c>
      <c r="D16" s="682">
        <v>12</v>
      </c>
      <c r="E16" s="681">
        <v>9042</v>
      </c>
    </row>
    <row r="17" spans="1:5" s="676" customFormat="1" ht="31.5" x14ac:dyDescent="0.25">
      <c r="A17" s="678" t="s">
        <v>912</v>
      </c>
      <c r="B17" s="679" t="s">
        <v>913</v>
      </c>
      <c r="C17" s="684" t="s">
        <v>1192</v>
      </c>
      <c r="D17" s="682">
        <v>60</v>
      </c>
      <c r="E17" s="681">
        <v>25132</v>
      </c>
    </row>
    <row r="18" spans="1:5" s="676" customFormat="1" ht="22.9" customHeight="1" x14ac:dyDescent="0.25">
      <c r="A18" s="678" t="s">
        <v>914</v>
      </c>
      <c r="B18" s="679" t="s">
        <v>915</v>
      </c>
      <c r="C18" s="681">
        <v>601350</v>
      </c>
      <c r="D18" s="682">
        <v>115</v>
      </c>
      <c r="E18" s="681">
        <v>69347</v>
      </c>
    </row>
    <row r="19" spans="1:5" s="676" customFormat="1" x14ac:dyDescent="0.25">
      <c r="A19" s="678" t="s">
        <v>916</v>
      </c>
      <c r="B19" s="679" t="s">
        <v>917</v>
      </c>
      <c r="C19" s="681"/>
      <c r="D19" s="682"/>
      <c r="E19" s="681">
        <v>101756</v>
      </c>
    </row>
    <row r="20" spans="1:5" s="676" customFormat="1" ht="79.900000000000006" customHeight="1" x14ac:dyDescent="0.25">
      <c r="A20" s="678" t="s">
        <v>918</v>
      </c>
      <c r="B20" s="679" t="s">
        <v>919</v>
      </c>
      <c r="C20" s="681">
        <v>4234040</v>
      </c>
      <c r="D20" s="682">
        <v>69</v>
      </c>
      <c r="E20" s="681">
        <v>293653</v>
      </c>
    </row>
    <row r="21" spans="1:5" s="676" customFormat="1" ht="65.45" customHeight="1" x14ac:dyDescent="0.25">
      <c r="A21" s="678" t="s">
        <v>920</v>
      </c>
      <c r="B21" s="679" t="s">
        <v>921</v>
      </c>
      <c r="C21" s="681"/>
      <c r="D21" s="682"/>
      <c r="E21" s="681">
        <v>222102</v>
      </c>
    </row>
    <row r="22" spans="1:5" s="676" customFormat="1" ht="49.15" customHeight="1" x14ac:dyDescent="0.25">
      <c r="A22" s="678" t="s">
        <v>922</v>
      </c>
      <c r="B22" s="679" t="s">
        <v>923</v>
      </c>
      <c r="C22" s="681">
        <v>2376000</v>
      </c>
      <c r="D22" s="685">
        <v>117.52</v>
      </c>
      <c r="E22" s="681">
        <v>279228</v>
      </c>
    </row>
    <row r="23" spans="1:5" s="676" customFormat="1" ht="31.5" x14ac:dyDescent="0.25">
      <c r="A23" s="678" t="s">
        <v>924</v>
      </c>
      <c r="B23" s="679" t="s">
        <v>925</v>
      </c>
      <c r="C23" s="681"/>
      <c r="D23" s="682"/>
      <c r="E23" s="681">
        <v>432240</v>
      </c>
    </row>
    <row r="24" spans="1:5" s="676" customFormat="1" ht="30" customHeight="1" x14ac:dyDescent="0.25">
      <c r="A24" s="678" t="s">
        <v>926</v>
      </c>
      <c r="B24" s="679" t="s">
        <v>927</v>
      </c>
      <c r="C24" s="681">
        <v>185</v>
      </c>
      <c r="D24" s="682">
        <v>116</v>
      </c>
      <c r="E24" s="681">
        <v>33</v>
      </c>
    </row>
    <row r="25" spans="1:5" s="676" customFormat="1" ht="31.5" x14ac:dyDescent="0.25">
      <c r="A25" s="678" t="s">
        <v>928</v>
      </c>
      <c r="B25" s="679" t="s">
        <v>929</v>
      </c>
      <c r="C25" s="681"/>
      <c r="D25" s="682"/>
      <c r="E25" s="681">
        <v>228945</v>
      </c>
    </row>
    <row r="26" spans="1:5" s="676" customFormat="1" ht="22.9" customHeight="1" x14ac:dyDescent="0.25">
      <c r="A26" s="678" t="s">
        <v>930</v>
      </c>
      <c r="B26" s="679" t="s">
        <v>931</v>
      </c>
      <c r="C26" s="681"/>
      <c r="D26" s="682"/>
      <c r="E26" s="681">
        <v>58223</v>
      </c>
    </row>
    <row r="27" spans="1:5" s="676" customFormat="1" ht="30" customHeight="1" x14ac:dyDescent="0.25">
      <c r="A27" s="678" t="s">
        <v>932</v>
      </c>
      <c r="B27" s="679" t="s">
        <v>933</v>
      </c>
      <c r="C27" s="681">
        <v>605</v>
      </c>
      <c r="D27" s="682">
        <v>96373</v>
      </c>
      <c r="E27" s="681">
        <v>58305</v>
      </c>
    </row>
    <row r="28" spans="1:5" s="676" customFormat="1" ht="30" customHeight="1" x14ac:dyDescent="0.25">
      <c r="A28" s="678" t="s">
        <v>934</v>
      </c>
      <c r="B28" s="679" t="s">
        <v>1193</v>
      </c>
      <c r="C28" s="681"/>
      <c r="D28" s="682"/>
      <c r="E28" s="681">
        <v>73051</v>
      </c>
    </row>
    <row r="30" spans="1:5" s="676" customFormat="1" x14ac:dyDescent="0.25">
      <c r="A30" s="686" t="s">
        <v>935</v>
      </c>
      <c r="B30" s="687"/>
      <c r="C30" s="688"/>
      <c r="D30" s="688"/>
      <c r="E30" s="688">
        <f>SUM(E5:E28)</f>
        <v>4257379</v>
      </c>
    </row>
    <row r="31" spans="1:5" s="676" customFormat="1" x14ac:dyDescent="0.25">
      <c r="A31" s="689"/>
      <c r="B31" s="690"/>
      <c r="C31" s="691"/>
      <c r="D31" s="691"/>
      <c r="E31" s="691"/>
    </row>
    <row r="32" spans="1:5" s="676" customFormat="1" x14ac:dyDescent="0.25">
      <c r="A32" s="689"/>
      <c r="B32" s="690"/>
      <c r="C32" s="691"/>
      <c r="D32" s="691"/>
      <c r="E32" s="691"/>
    </row>
    <row r="33" spans="1:7" x14ac:dyDescent="0.25">
      <c r="B33" s="692"/>
    </row>
    <row r="34" spans="1:7" s="676" customFormat="1" ht="69" customHeight="1" x14ac:dyDescent="0.25">
      <c r="A34" s="998" t="s">
        <v>882</v>
      </c>
      <c r="B34" s="998"/>
      <c r="C34" s="677" t="s">
        <v>1191</v>
      </c>
      <c r="D34" s="693"/>
    </row>
    <row r="35" spans="1:7" s="676" customFormat="1" ht="47.25" x14ac:dyDescent="0.25">
      <c r="A35" s="677" t="s">
        <v>883</v>
      </c>
      <c r="B35" s="677" t="s">
        <v>136</v>
      </c>
      <c r="C35" s="677" t="s">
        <v>886</v>
      </c>
      <c r="D35" s="667"/>
    </row>
    <row r="36" spans="1:7" s="676" customFormat="1" ht="31.5" x14ac:dyDescent="0.25">
      <c r="A36" s="694" t="s">
        <v>1194</v>
      </c>
      <c r="B36" s="694" t="s">
        <v>1195</v>
      </c>
      <c r="C36" s="684">
        <v>190989</v>
      </c>
      <c r="D36" s="667"/>
      <c r="G36" s="683"/>
    </row>
    <row r="37" spans="1:7" s="676" customFormat="1" ht="31.5" x14ac:dyDescent="0.25">
      <c r="A37" s="694" t="s">
        <v>1196</v>
      </c>
      <c r="B37" s="694" t="s">
        <v>1197</v>
      </c>
      <c r="C37" s="684">
        <f>2619+14682</f>
        <v>17301</v>
      </c>
      <c r="D37" s="667"/>
    </row>
    <row r="38" spans="1:7" s="676" customFormat="1" ht="31.5" x14ac:dyDescent="0.25">
      <c r="A38" s="694" t="s">
        <v>1198</v>
      </c>
      <c r="B38" s="694" t="s">
        <v>1199</v>
      </c>
      <c r="C38" s="684">
        <v>8649</v>
      </c>
      <c r="D38" s="695"/>
      <c r="G38" s="683"/>
    </row>
    <row r="39" spans="1:7" s="676" customFormat="1" ht="31.5" x14ac:dyDescent="0.25">
      <c r="A39" s="694" t="s">
        <v>1200</v>
      </c>
      <c r="B39" s="694" t="s">
        <v>1201</v>
      </c>
      <c r="C39" s="684">
        <v>258555</v>
      </c>
      <c r="D39" s="695"/>
    </row>
    <row r="40" spans="1:7" s="676" customFormat="1" ht="47.25" x14ac:dyDescent="0.25">
      <c r="A40" s="678" t="s">
        <v>936</v>
      </c>
      <c r="B40" s="679" t="s">
        <v>937</v>
      </c>
      <c r="C40" s="681">
        <v>234160</v>
      </c>
      <c r="D40" s="667"/>
    </row>
    <row r="41" spans="1:7" s="676" customFormat="1" ht="47.25" x14ac:dyDescent="0.25">
      <c r="A41" s="678" t="s">
        <v>938</v>
      </c>
      <c r="B41" s="679" t="s">
        <v>939</v>
      </c>
      <c r="C41" s="681">
        <v>177000</v>
      </c>
      <c r="D41" s="683"/>
    </row>
    <row r="42" spans="1:7" s="676" customFormat="1" ht="47.25" x14ac:dyDescent="0.25">
      <c r="A42" s="678" t="s">
        <v>940</v>
      </c>
      <c r="B42" s="679" t="s">
        <v>941</v>
      </c>
      <c r="C42" s="681">
        <v>30000</v>
      </c>
      <c r="D42" s="683"/>
    </row>
    <row r="43" spans="1:7" s="676" customFormat="1" ht="47.25" x14ac:dyDescent="0.25">
      <c r="A43" s="678" t="s">
        <v>942</v>
      </c>
      <c r="B43" s="679" t="s">
        <v>943</v>
      </c>
      <c r="C43" s="681">
        <v>0</v>
      </c>
    </row>
    <row r="44" spans="1:7" s="676" customFormat="1" ht="31.5" x14ac:dyDescent="0.25">
      <c r="A44" s="678" t="s">
        <v>944</v>
      </c>
      <c r="B44" s="679" t="s">
        <v>945</v>
      </c>
      <c r="C44" s="681">
        <v>2100</v>
      </c>
      <c r="F44" s="683"/>
    </row>
    <row r="45" spans="1:7" s="676" customFormat="1" ht="31.5" x14ac:dyDescent="0.25">
      <c r="A45" s="678" t="s">
        <v>1202</v>
      </c>
      <c r="B45" s="975" t="s">
        <v>1521</v>
      </c>
      <c r="C45" s="681">
        <v>98604</v>
      </c>
      <c r="D45" s="696"/>
    </row>
    <row r="46" spans="1:7" s="676" customFormat="1" ht="47.25" x14ac:dyDescent="0.25">
      <c r="A46" s="678" t="s">
        <v>1203</v>
      </c>
      <c r="B46" s="679" t="s">
        <v>1204</v>
      </c>
      <c r="C46" s="681">
        <v>0</v>
      </c>
      <c r="D46" s="683"/>
    </row>
    <row r="47" spans="1:7" s="676" customFormat="1" x14ac:dyDescent="0.25"/>
    <row r="48" spans="1:7" x14ac:dyDescent="0.25">
      <c r="B48" s="697"/>
      <c r="D48" s="698"/>
      <c r="E48" s="698"/>
    </row>
    <row r="49" spans="1:4" s="702" customFormat="1" x14ac:dyDescent="0.25">
      <c r="A49" s="699" t="s">
        <v>1205</v>
      </c>
      <c r="B49" s="687"/>
      <c r="C49" s="700">
        <f>SUM(C36:C46)</f>
        <v>1017358</v>
      </c>
      <c r="D49" s="701"/>
    </row>
    <row r="50" spans="1:4" x14ac:dyDescent="0.25">
      <c r="B50" s="697"/>
      <c r="D50" s="698"/>
    </row>
    <row r="51" spans="1:4" s="702" customFormat="1" x14ac:dyDescent="0.25">
      <c r="A51" s="699" t="s">
        <v>488</v>
      </c>
      <c r="B51" s="699"/>
      <c r="C51" s="700">
        <f>E30+C49</f>
        <v>5274737</v>
      </c>
      <c r="D51" s="701"/>
    </row>
  </sheetData>
  <mergeCells count="4">
    <mergeCell ref="A3:B3"/>
    <mergeCell ref="C3:E3"/>
    <mergeCell ref="A34:B34"/>
    <mergeCell ref="A1:E1"/>
  </mergeCells>
  <pageMargins left="0.6692913385826772" right="0.19685039370078741" top="1.3779527559055118" bottom="0.43307086614173229" header="0.31496062992125984" footer="0.31496062992125984"/>
  <pageSetup paperSize="8" fitToHeight="2" orientation="portrait" r:id="rId1"/>
  <headerFooter>
    <oddHeader>&amp;C&amp;"Times New Roman CE,Félkövér"
&amp;R&amp;"Times New Roman CE,Félkövér"&amp;11 6.melléklet a 40/2020. (XI.30.) önkormányzati rendelethez&amp;"Times New Roman CE,Normál"
6. melléklet
 az 5/2020.(II.17.) önkormányzati rendelethez</oddHeader>
  </headerFooter>
  <rowBreaks count="1" manualBreakCount="1">
    <brk id="3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760C9-AD34-4FE1-A34D-0E667965F58B}">
  <dimension ref="A1:Q658"/>
  <sheetViews>
    <sheetView view="pageBreakPreview" zoomScale="70" zoomScaleNormal="60" zoomScaleSheetLayoutView="70" workbookViewId="0">
      <pane xSplit="1" ySplit="6" topLeftCell="B610" activePane="bottomRight" state="frozen"/>
      <selection pane="topRight" activeCell="B1" sqref="B1"/>
      <selection pane="bottomLeft" activeCell="A5" sqref="A5"/>
      <selection pane="bottomRight" activeCell="S611" sqref="S611"/>
    </sheetView>
  </sheetViews>
  <sheetFormatPr defaultColWidth="9" defaultRowHeight="15.75" x14ac:dyDescent="0.25"/>
  <cols>
    <col min="1" max="1" width="3.125" style="704" customWidth="1"/>
    <col min="2" max="2" width="38.25" style="698" customWidth="1"/>
    <col min="3" max="3" width="15.75" style="703" customWidth="1"/>
    <col min="4" max="4" width="16.875" style="703" customWidth="1"/>
    <col min="5" max="5" width="11.75" style="703" customWidth="1"/>
    <col min="6" max="6" width="10.125" style="703" customWidth="1"/>
    <col min="7" max="7" width="12.625" style="703" customWidth="1"/>
    <col min="8" max="8" width="13.25" style="703" customWidth="1"/>
    <col min="9" max="9" width="12.375" style="703" customWidth="1"/>
    <col min="10" max="10" width="13.75" style="703" customWidth="1"/>
    <col min="11" max="11" width="13.375" style="703" customWidth="1"/>
    <col min="12" max="12" width="14" style="703" customWidth="1"/>
    <col min="13" max="13" width="14.875" style="703" customWidth="1"/>
    <col min="14" max="14" width="12.5" style="703" customWidth="1"/>
    <col min="15" max="15" width="11.125" style="703" customWidth="1"/>
    <col min="16" max="16" width="10.25" style="703" hidden="1" customWidth="1"/>
    <col min="17" max="17" width="9.25" style="703" hidden="1" customWidth="1"/>
    <col min="18" max="16384" width="9" style="703"/>
  </cols>
  <sheetData>
    <row r="1" spans="1:15" ht="15.75" customHeight="1" x14ac:dyDescent="0.3">
      <c r="A1" s="1003" t="s">
        <v>1485</v>
      </c>
      <c r="B1" s="1003"/>
      <c r="C1" s="1003"/>
      <c r="D1" s="1003"/>
      <c r="E1" s="1003"/>
      <c r="F1" s="1003"/>
      <c r="G1" s="1003"/>
      <c r="H1" s="1003"/>
      <c r="I1" s="1003"/>
      <c r="J1" s="1003"/>
      <c r="K1" s="1003"/>
      <c r="L1" s="1003"/>
      <c r="M1" s="1003"/>
      <c r="N1" s="1003"/>
      <c r="O1" s="1003"/>
    </row>
    <row r="2" spans="1:15" ht="16.5" thickBot="1" x14ac:dyDescent="0.3"/>
    <row r="3" spans="1:15" ht="21.75" customHeight="1" thickBot="1" x14ac:dyDescent="0.3">
      <c r="A3" s="1006" t="s">
        <v>425</v>
      </c>
      <c r="B3" s="1004" t="s">
        <v>424</v>
      </c>
      <c r="C3" s="1004" t="s">
        <v>257</v>
      </c>
      <c r="D3" s="1004" t="s">
        <v>258</v>
      </c>
      <c r="E3" s="1004" t="s">
        <v>423</v>
      </c>
      <c r="F3" s="1004" t="s">
        <v>54</v>
      </c>
      <c r="G3" s="1004" t="s">
        <v>59</v>
      </c>
      <c r="H3" s="1004" t="s">
        <v>259</v>
      </c>
      <c r="I3" s="1004" t="s">
        <v>260</v>
      </c>
      <c r="J3" s="1004" t="s">
        <v>442</v>
      </c>
      <c r="K3" s="1004" t="s">
        <v>443</v>
      </c>
      <c r="L3" s="1004" t="s">
        <v>422</v>
      </c>
      <c r="M3" s="1009" t="s">
        <v>421</v>
      </c>
      <c r="N3" s="1010"/>
      <c r="O3" s="1004" t="s">
        <v>420</v>
      </c>
    </row>
    <row r="4" spans="1:15" ht="33.75" customHeight="1" thickBot="1" x14ac:dyDescent="0.3">
      <c r="A4" s="1007"/>
      <c r="B4" s="1005"/>
      <c r="C4" s="1005"/>
      <c r="D4" s="1005"/>
      <c r="E4" s="1005"/>
      <c r="F4" s="1005"/>
      <c r="G4" s="1005"/>
      <c r="H4" s="1005"/>
      <c r="I4" s="1005"/>
      <c r="J4" s="1005"/>
      <c r="K4" s="1005"/>
      <c r="L4" s="1005"/>
      <c r="M4" s="705" t="s">
        <v>419</v>
      </c>
      <c r="N4" s="706" t="s">
        <v>261</v>
      </c>
      <c r="O4" s="1005"/>
    </row>
    <row r="5" spans="1:15" thickBot="1" x14ac:dyDescent="0.3">
      <c r="A5" s="1008"/>
      <c r="B5" s="707"/>
      <c r="C5" s="708" t="s">
        <v>164</v>
      </c>
      <c r="D5" s="708" t="s">
        <v>165</v>
      </c>
      <c r="E5" s="708" t="s">
        <v>166</v>
      </c>
      <c r="F5" s="708" t="s">
        <v>167</v>
      </c>
      <c r="G5" s="708" t="s">
        <v>168</v>
      </c>
      <c r="H5" s="708" t="s">
        <v>169</v>
      </c>
      <c r="I5" s="708" t="s">
        <v>170</v>
      </c>
      <c r="J5" s="709" t="s">
        <v>418</v>
      </c>
      <c r="K5" s="710" t="s">
        <v>417</v>
      </c>
      <c r="L5" s="708" t="s">
        <v>416</v>
      </c>
      <c r="M5" s="1011" t="s">
        <v>173</v>
      </c>
      <c r="N5" s="1012"/>
      <c r="O5" s="711" t="s">
        <v>415</v>
      </c>
    </row>
    <row r="6" spans="1:15" ht="17.25" thickTop="1" thickBot="1" x14ac:dyDescent="0.3">
      <c r="A6" s="712"/>
      <c r="B6" s="713" t="s">
        <v>138</v>
      </c>
      <c r="C6" s="714" t="s">
        <v>139</v>
      </c>
      <c r="D6" s="714" t="s">
        <v>140</v>
      </c>
      <c r="E6" s="714" t="s">
        <v>141</v>
      </c>
      <c r="F6" s="714" t="s">
        <v>142</v>
      </c>
      <c r="G6" s="714" t="s">
        <v>414</v>
      </c>
      <c r="H6" s="714" t="s">
        <v>35</v>
      </c>
      <c r="I6" s="714" t="s">
        <v>36</v>
      </c>
      <c r="J6" s="714" t="s">
        <v>413</v>
      </c>
      <c r="K6" s="714" t="s">
        <v>412</v>
      </c>
      <c r="L6" s="714" t="s">
        <v>411</v>
      </c>
      <c r="M6" s="1001" t="s">
        <v>40</v>
      </c>
      <c r="N6" s="1002"/>
      <c r="O6" s="715" t="s">
        <v>262</v>
      </c>
    </row>
    <row r="7" spans="1:15" ht="16.5" thickTop="1" x14ac:dyDescent="0.25">
      <c r="A7" s="716" t="s">
        <v>144</v>
      </c>
      <c r="B7" s="717" t="s">
        <v>410</v>
      </c>
      <c r="C7" s="717"/>
      <c r="D7" s="717"/>
      <c r="E7" s="717"/>
      <c r="F7" s="717"/>
      <c r="G7" s="717"/>
      <c r="H7" s="717"/>
      <c r="I7" s="717"/>
      <c r="J7" s="717"/>
      <c r="K7" s="717"/>
      <c r="L7" s="717"/>
      <c r="M7" s="717"/>
      <c r="N7" s="717"/>
      <c r="O7" s="717"/>
    </row>
    <row r="8" spans="1:15" x14ac:dyDescent="0.25">
      <c r="A8" s="716"/>
      <c r="B8" s="718" t="s">
        <v>347</v>
      </c>
      <c r="C8" s="718">
        <f>SUM(C9:C10)</f>
        <v>573540</v>
      </c>
      <c r="D8" s="718">
        <f t="shared" ref="D8:F8" si="0">SUM(D9:D10)</f>
        <v>0</v>
      </c>
      <c r="E8" s="718">
        <f t="shared" si="0"/>
        <v>0</v>
      </c>
      <c r="F8" s="718">
        <f t="shared" si="0"/>
        <v>1900</v>
      </c>
      <c r="G8" s="718"/>
      <c r="H8" s="718"/>
      <c r="I8" s="718"/>
      <c r="J8" s="718">
        <f>SUM(C8+E8+F8+H8)</f>
        <v>575440</v>
      </c>
      <c r="K8" s="718">
        <f>SUM(D8+G8+I8)</f>
        <v>0</v>
      </c>
      <c r="L8" s="718">
        <f>SUM(J8:K8)</f>
        <v>575440</v>
      </c>
      <c r="M8" s="718">
        <f>SUM(M9:M10)</f>
        <v>511774</v>
      </c>
      <c r="N8" s="718">
        <f>SUM(N9:N10)</f>
        <v>105152</v>
      </c>
      <c r="O8" s="718">
        <f>SUM(L8:N8)</f>
        <v>1192366</v>
      </c>
    </row>
    <row r="9" spans="1:15" s="722" customFormat="1" x14ac:dyDescent="0.25">
      <c r="A9" s="719"/>
      <c r="B9" s="720" t="s">
        <v>381</v>
      </c>
      <c r="C9" s="720">
        <v>440865</v>
      </c>
      <c r="D9" s="720"/>
      <c r="E9" s="720"/>
      <c r="F9" s="720">
        <v>1425</v>
      </c>
      <c r="G9" s="720"/>
      <c r="H9" s="720"/>
      <c r="I9" s="721"/>
      <c r="J9" s="721">
        <f>SUM(C9+E9+F9+H9)</f>
        <v>442290</v>
      </c>
      <c r="K9" s="721">
        <f>SUM(D9+G9+I9)</f>
        <v>0</v>
      </c>
      <c r="L9" s="721">
        <f>SUM(J9:K9)</f>
        <v>442290</v>
      </c>
      <c r="M9" s="721">
        <v>428618</v>
      </c>
      <c r="N9" s="721">
        <v>105152</v>
      </c>
      <c r="O9" s="721">
        <f>SUM(L9:N9)</f>
        <v>976060</v>
      </c>
    </row>
    <row r="10" spans="1:15" s="722" customFormat="1" x14ac:dyDescent="0.25">
      <c r="A10" s="719"/>
      <c r="B10" s="720" t="s">
        <v>380</v>
      </c>
      <c r="C10" s="720">
        <v>132675</v>
      </c>
      <c r="D10" s="720"/>
      <c r="E10" s="720"/>
      <c r="F10" s="720">
        <v>475</v>
      </c>
      <c r="G10" s="720"/>
      <c r="H10" s="720"/>
      <c r="I10" s="721"/>
      <c r="J10" s="721">
        <f>SUM(C10+E10+F10+H10)</f>
        <v>133150</v>
      </c>
      <c r="K10" s="721">
        <f>SUM(D10+G10+I10)</f>
        <v>0</v>
      </c>
      <c r="L10" s="721">
        <f>SUM(J10:K10)</f>
        <v>133150</v>
      </c>
      <c r="M10" s="721">
        <v>83156</v>
      </c>
      <c r="N10" s="721"/>
      <c r="O10" s="721">
        <f>SUM(L10:N10)</f>
        <v>216306</v>
      </c>
    </row>
    <row r="11" spans="1:15" s="722" customFormat="1" x14ac:dyDescent="0.25">
      <c r="A11" s="719"/>
      <c r="B11" s="720" t="s">
        <v>131</v>
      </c>
      <c r="C11" s="723"/>
      <c r="D11" s="723"/>
      <c r="E11" s="723"/>
      <c r="F11" s="723"/>
      <c r="G11" s="723"/>
      <c r="H11" s="723"/>
      <c r="I11" s="723"/>
      <c r="J11" s="723"/>
      <c r="K11" s="723"/>
      <c r="L11" s="723"/>
      <c r="M11" s="723"/>
      <c r="N11" s="723"/>
      <c r="O11" s="723"/>
    </row>
    <row r="12" spans="1:15" s="722" customFormat="1" ht="31.5" x14ac:dyDescent="0.25">
      <c r="A12" s="719"/>
      <c r="B12" s="723" t="s">
        <v>1425</v>
      </c>
      <c r="C12" s="723"/>
      <c r="D12" s="718"/>
      <c r="E12" s="723"/>
      <c r="F12" s="723"/>
      <c r="G12" s="723"/>
      <c r="H12" s="723"/>
      <c r="I12" s="723"/>
      <c r="J12" s="723">
        <f t="shared" ref="J12:J19" si="1">SUM(C12+E12+F12+H12)</f>
        <v>0</v>
      </c>
      <c r="K12" s="723">
        <f t="shared" ref="K12:K19" si="2">SUM(D12+G12+I12)</f>
        <v>0</v>
      </c>
      <c r="L12" s="723">
        <f t="shared" ref="L12:L19" si="3">SUM(J12:K12)</f>
        <v>0</v>
      </c>
      <c r="M12" s="723">
        <v>486</v>
      </c>
      <c r="N12" s="723"/>
      <c r="O12" s="723">
        <f t="shared" ref="O12:O19" si="4">SUM(L12:N12)</f>
        <v>486</v>
      </c>
    </row>
    <row r="13" spans="1:15" ht="63" x14ac:dyDescent="0.25">
      <c r="A13" s="716"/>
      <c r="B13" s="723" t="s">
        <v>1326</v>
      </c>
      <c r="C13" s="723"/>
      <c r="D13" s="723"/>
      <c r="E13" s="723"/>
      <c r="F13" s="723"/>
      <c r="G13" s="723"/>
      <c r="H13" s="723"/>
      <c r="I13" s="723"/>
      <c r="J13" s="723">
        <f t="shared" si="1"/>
        <v>0</v>
      </c>
      <c r="K13" s="723">
        <f t="shared" si="2"/>
        <v>0</v>
      </c>
      <c r="L13" s="723">
        <f t="shared" si="3"/>
        <v>0</v>
      </c>
      <c r="M13" s="723">
        <v>742</v>
      </c>
      <c r="N13" s="723"/>
      <c r="O13" s="723">
        <f t="shared" si="4"/>
        <v>742</v>
      </c>
    </row>
    <row r="14" spans="1:15" ht="31.5" x14ac:dyDescent="0.25">
      <c r="A14" s="716"/>
      <c r="B14" s="724" t="s">
        <v>1426</v>
      </c>
      <c r="C14" s="723"/>
      <c r="D14" s="723"/>
      <c r="E14" s="723"/>
      <c r="F14" s="723"/>
      <c r="G14" s="723"/>
      <c r="H14" s="723"/>
      <c r="I14" s="723"/>
      <c r="J14" s="723">
        <f t="shared" si="1"/>
        <v>0</v>
      </c>
      <c r="K14" s="723">
        <f t="shared" si="2"/>
        <v>0</v>
      </c>
      <c r="L14" s="723">
        <f t="shared" si="3"/>
        <v>0</v>
      </c>
      <c r="M14" s="723">
        <v>-889</v>
      </c>
      <c r="N14" s="723"/>
      <c r="O14" s="723">
        <f t="shared" si="4"/>
        <v>-889</v>
      </c>
    </row>
    <row r="15" spans="1:15" ht="31.5" x14ac:dyDescent="0.25">
      <c r="A15" s="716"/>
      <c r="B15" s="723" t="s">
        <v>961</v>
      </c>
      <c r="C15" s="723">
        <v>68500</v>
      </c>
      <c r="D15" s="723"/>
      <c r="E15" s="723"/>
      <c r="F15" s="723">
        <v>25277</v>
      </c>
      <c r="G15" s="723"/>
      <c r="H15" s="723"/>
      <c r="I15" s="723"/>
      <c r="J15" s="723">
        <f t="shared" si="1"/>
        <v>93777</v>
      </c>
      <c r="K15" s="723">
        <f t="shared" si="2"/>
        <v>0</v>
      </c>
      <c r="L15" s="723">
        <f t="shared" si="3"/>
        <v>93777</v>
      </c>
      <c r="M15" s="723">
        <v>-7422</v>
      </c>
      <c r="N15" s="723"/>
      <c r="O15" s="723">
        <f t="shared" si="4"/>
        <v>86355</v>
      </c>
    </row>
    <row r="16" spans="1:15" ht="31.5" x14ac:dyDescent="0.25">
      <c r="A16" s="716"/>
      <c r="B16" s="723" t="s">
        <v>1427</v>
      </c>
      <c r="C16" s="723"/>
      <c r="D16" s="723"/>
      <c r="E16" s="723"/>
      <c r="F16" s="723"/>
      <c r="G16" s="723"/>
      <c r="H16" s="723"/>
      <c r="I16" s="723"/>
      <c r="J16" s="723">
        <f t="shared" si="1"/>
        <v>0</v>
      </c>
      <c r="K16" s="723">
        <f t="shared" si="2"/>
        <v>0</v>
      </c>
      <c r="L16" s="723">
        <f t="shared" si="3"/>
        <v>0</v>
      </c>
      <c r="M16" s="723">
        <v>-10000</v>
      </c>
      <c r="N16" s="723"/>
      <c r="O16" s="723">
        <f t="shared" si="4"/>
        <v>-10000</v>
      </c>
    </row>
    <row r="17" spans="1:16" s="722" customFormat="1" x14ac:dyDescent="0.25">
      <c r="A17" s="719"/>
      <c r="B17" s="720" t="s">
        <v>132</v>
      </c>
      <c r="C17" s="723"/>
      <c r="D17" s="723"/>
      <c r="E17" s="723"/>
      <c r="F17" s="723"/>
      <c r="G17" s="723"/>
      <c r="H17" s="723"/>
      <c r="I17" s="723"/>
      <c r="J17" s="723"/>
      <c r="K17" s="723"/>
      <c r="L17" s="723"/>
      <c r="M17" s="723"/>
      <c r="N17" s="723"/>
      <c r="O17" s="723"/>
    </row>
    <row r="18" spans="1:16" ht="63" x14ac:dyDescent="0.25">
      <c r="A18" s="716"/>
      <c r="B18" s="723" t="s">
        <v>1428</v>
      </c>
      <c r="C18" s="723"/>
      <c r="D18" s="723"/>
      <c r="E18" s="723"/>
      <c r="F18" s="723"/>
      <c r="G18" s="723"/>
      <c r="H18" s="723"/>
      <c r="I18" s="723"/>
      <c r="J18" s="723">
        <f t="shared" si="1"/>
        <v>0</v>
      </c>
      <c r="K18" s="723">
        <f t="shared" si="2"/>
        <v>0</v>
      </c>
      <c r="L18" s="723">
        <f t="shared" si="3"/>
        <v>0</v>
      </c>
      <c r="M18" s="723">
        <v>8207</v>
      </c>
      <c r="N18" s="723"/>
      <c r="O18" s="723">
        <f t="shared" si="4"/>
        <v>8207</v>
      </c>
    </row>
    <row r="19" spans="1:16" ht="16.5" thickBot="1" x14ac:dyDescent="0.3">
      <c r="A19" s="716"/>
      <c r="B19" s="723" t="s">
        <v>1330</v>
      </c>
      <c r="C19" s="723"/>
      <c r="D19" s="723"/>
      <c r="E19" s="723"/>
      <c r="F19" s="723"/>
      <c r="G19" s="723"/>
      <c r="H19" s="723"/>
      <c r="I19" s="723"/>
      <c r="J19" s="723">
        <f t="shared" si="1"/>
        <v>0</v>
      </c>
      <c r="K19" s="723">
        <f t="shared" si="2"/>
        <v>0</v>
      </c>
      <c r="L19" s="723">
        <f t="shared" si="3"/>
        <v>0</v>
      </c>
      <c r="M19" s="723">
        <v>2743</v>
      </c>
      <c r="N19" s="723"/>
      <c r="O19" s="723">
        <f t="shared" si="4"/>
        <v>2743</v>
      </c>
    </row>
    <row r="20" spans="1:16" ht="17.25" thickTop="1" thickBot="1" x14ac:dyDescent="0.3">
      <c r="A20" s="712"/>
      <c r="B20" s="725" t="s">
        <v>379</v>
      </c>
      <c r="C20" s="725">
        <f>+C8+C12+C18+C13+C14+C15+C16+C19</f>
        <v>642040</v>
      </c>
      <c r="D20" s="725">
        <f t="shared" ref="D20:O20" si="5">+D8+D12+D18+D13+D14+D15+D16+D19</f>
        <v>0</v>
      </c>
      <c r="E20" s="725">
        <f t="shared" si="5"/>
        <v>0</v>
      </c>
      <c r="F20" s="725">
        <f t="shared" si="5"/>
        <v>27177</v>
      </c>
      <c r="G20" s="725">
        <f t="shared" si="5"/>
        <v>0</v>
      </c>
      <c r="H20" s="725">
        <f t="shared" si="5"/>
        <v>0</v>
      </c>
      <c r="I20" s="725">
        <f t="shared" si="5"/>
        <v>0</v>
      </c>
      <c r="J20" s="725">
        <f t="shared" si="5"/>
        <v>669217</v>
      </c>
      <c r="K20" s="725">
        <f t="shared" si="5"/>
        <v>0</v>
      </c>
      <c r="L20" s="725">
        <f t="shared" si="5"/>
        <v>669217</v>
      </c>
      <c r="M20" s="725">
        <f t="shared" si="5"/>
        <v>505641</v>
      </c>
      <c r="N20" s="725">
        <f t="shared" si="5"/>
        <v>105152</v>
      </c>
      <c r="O20" s="725">
        <f t="shared" si="5"/>
        <v>1280010</v>
      </c>
      <c r="P20" s="703">
        <f>O21+O22</f>
        <v>1280010</v>
      </c>
    </row>
    <row r="21" spans="1:16" ht="17.25" thickTop="1" thickBot="1" x14ac:dyDescent="0.3">
      <c r="A21" s="712"/>
      <c r="B21" s="725" t="s">
        <v>378</v>
      </c>
      <c r="C21" s="725">
        <f>+C9+C12+C13+C14+C15+C16</f>
        <v>509365</v>
      </c>
      <c r="D21" s="725">
        <f t="shared" ref="D21:O21" si="6">+D9+D12+D13+D14+D15+D16</f>
        <v>0</v>
      </c>
      <c r="E21" s="725">
        <f t="shared" si="6"/>
        <v>0</v>
      </c>
      <c r="F21" s="725">
        <f t="shared" si="6"/>
        <v>26702</v>
      </c>
      <c r="G21" s="725">
        <f t="shared" si="6"/>
        <v>0</v>
      </c>
      <c r="H21" s="725">
        <f t="shared" si="6"/>
        <v>0</v>
      </c>
      <c r="I21" s="725">
        <f t="shared" si="6"/>
        <v>0</v>
      </c>
      <c r="J21" s="725">
        <f t="shared" si="6"/>
        <v>536067</v>
      </c>
      <c r="K21" s="725">
        <f t="shared" si="6"/>
        <v>0</v>
      </c>
      <c r="L21" s="725">
        <f t="shared" si="6"/>
        <v>536067</v>
      </c>
      <c r="M21" s="725">
        <f t="shared" si="6"/>
        <v>411535</v>
      </c>
      <c r="N21" s="725">
        <f t="shared" si="6"/>
        <v>105152</v>
      </c>
      <c r="O21" s="725">
        <f t="shared" si="6"/>
        <v>1052754</v>
      </c>
    </row>
    <row r="22" spans="1:16" ht="17.25" thickTop="1" thickBot="1" x14ac:dyDescent="0.3">
      <c r="A22" s="712"/>
      <c r="B22" s="725" t="s">
        <v>377</v>
      </c>
      <c r="C22" s="725">
        <f t="shared" ref="C22:O22" si="7">+C10+C18+C19</f>
        <v>132675</v>
      </c>
      <c r="D22" s="725">
        <f t="shared" si="7"/>
        <v>0</v>
      </c>
      <c r="E22" s="725">
        <f t="shared" si="7"/>
        <v>0</v>
      </c>
      <c r="F22" s="725">
        <f t="shared" si="7"/>
        <v>475</v>
      </c>
      <c r="G22" s="725">
        <f t="shared" si="7"/>
        <v>0</v>
      </c>
      <c r="H22" s="725">
        <f t="shared" si="7"/>
        <v>0</v>
      </c>
      <c r="I22" s="725">
        <f t="shared" si="7"/>
        <v>0</v>
      </c>
      <c r="J22" s="725">
        <f t="shared" si="7"/>
        <v>133150</v>
      </c>
      <c r="K22" s="725">
        <f t="shared" si="7"/>
        <v>0</v>
      </c>
      <c r="L22" s="725">
        <f t="shared" si="7"/>
        <v>133150</v>
      </c>
      <c r="M22" s="725">
        <f t="shared" si="7"/>
        <v>94106</v>
      </c>
      <c r="N22" s="725">
        <f t="shared" si="7"/>
        <v>0</v>
      </c>
      <c r="O22" s="725">
        <f t="shared" si="7"/>
        <v>227256</v>
      </c>
    </row>
    <row r="23" spans="1:16" ht="32.25" thickTop="1" x14ac:dyDescent="0.25">
      <c r="A23" s="716" t="s">
        <v>145</v>
      </c>
      <c r="B23" s="717" t="s">
        <v>409</v>
      </c>
      <c r="C23" s="717"/>
      <c r="D23" s="717"/>
      <c r="E23" s="717"/>
      <c r="F23" s="717"/>
      <c r="G23" s="717"/>
      <c r="H23" s="717"/>
      <c r="I23" s="717"/>
      <c r="J23" s="718"/>
      <c r="K23" s="718"/>
      <c r="L23" s="718"/>
      <c r="M23" s="718"/>
      <c r="N23" s="718"/>
      <c r="O23" s="718"/>
    </row>
    <row r="24" spans="1:16" x14ac:dyDescent="0.25">
      <c r="A24" s="716"/>
      <c r="B24" s="718" t="s">
        <v>347</v>
      </c>
      <c r="C24" s="718">
        <f>SUM(C25:C26)</f>
        <v>7577</v>
      </c>
      <c r="D24" s="718"/>
      <c r="E24" s="718"/>
      <c r="F24" s="718">
        <f>SUM(F25:F26)</f>
        <v>14572</v>
      </c>
      <c r="G24" s="718"/>
      <c r="H24" s="718"/>
      <c r="I24" s="718"/>
      <c r="J24" s="718">
        <f>SUM(C24+E24+F24+H24)</f>
        <v>22149</v>
      </c>
      <c r="K24" s="718">
        <f>SUM(D24+G24+I24)</f>
        <v>0</v>
      </c>
      <c r="L24" s="718">
        <f>SUM(J24:K24)</f>
        <v>22149</v>
      </c>
      <c r="M24" s="718">
        <f>SUM(M25:M26)</f>
        <v>111825</v>
      </c>
      <c r="N24" s="718">
        <f>SUM(N25:N26)</f>
        <v>1313</v>
      </c>
      <c r="O24" s="718">
        <f>SUM(L24:N24)</f>
        <v>135287</v>
      </c>
    </row>
    <row r="25" spans="1:16" s="722" customFormat="1" x14ac:dyDescent="0.25">
      <c r="A25" s="719"/>
      <c r="B25" s="720" t="s">
        <v>381</v>
      </c>
      <c r="C25" s="720">
        <v>7577</v>
      </c>
      <c r="D25" s="720"/>
      <c r="E25" s="720"/>
      <c r="F25" s="720">
        <v>5830</v>
      </c>
      <c r="G25" s="720"/>
      <c r="H25" s="720"/>
      <c r="I25" s="720"/>
      <c r="J25" s="721">
        <f>SUM(C25+E25+F25+H25)</f>
        <v>13407</v>
      </c>
      <c r="K25" s="721">
        <f>SUM(D25+G25+I25)</f>
        <v>0</v>
      </c>
      <c r="L25" s="721">
        <f>SUM(J25:K25)</f>
        <v>13407</v>
      </c>
      <c r="M25" s="721">
        <v>46257</v>
      </c>
      <c r="N25" s="721">
        <v>1313</v>
      </c>
      <c r="O25" s="721">
        <f>SUM(L25:N25)</f>
        <v>60977</v>
      </c>
    </row>
    <row r="26" spans="1:16" s="722" customFormat="1" x14ac:dyDescent="0.25">
      <c r="A26" s="719"/>
      <c r="B26" s="720" t="s">
        <v>380</v>
      </c>
      <c r="C26" s="720"/>
      <c r="D26" s="720"/>
      <c r="E26" s="720"/>
      <c r="F26" s="720">
        <v>8742</v>
      </c>
      <c r="G26" s="720"/>
      <c r="H26" s="720"/>
      <c r="I26" s="720"/>
      <c r="J26" s="721">
        <f>SUM(C26+E26+F26+H26)</f>
        <v>8742</v>
      </c>
      <c r="K26" s="721">
        <f>SUM(D26+G26+I26)</f>
        <v>0</v>
      </c>
      <c r="L26" s="721">
        <f>SUM(J26:K26)</f>
        <v>8742</v>
      </c>
      <c r="M26" s="721">
        <v>65568</v>
      </c>
      <c r="N26" s="721"/>
      <c r="O26" s="721">
        <f>SUM(L26:N26)</f>
        <v>74310</v>
      </c>
    </row>
    <row r="27" spans="1:16" s="722" customFormat="1" x14ac:dyDescent="0.25">
      <c r="A27" s="719"/>
      <c r="B27" s="720" t="s">
        <v>490</v>
      </c>
      <c r="C27" s="723"/>
      <c r="D27" s="723"/>
      <c r="E27" s="723"/>
      <c r="F27" s="723"/>
      <c r="G27" s="723"/>
      <c r="H27" s="723"/>
      <c r="I27" s="723"/>
      <c r="J27" s="723"/>
      <c r="K27" s="723"/>
      <c r="L27" s="723"/>
      <c r="M27" s="723"/>
      <c r="N27" s="723"/>
      <c r="O27" s="723"/>
    </row>
    <row r="28" spans="1:16" s="722" customFormat="1" ht="31.5" x14ac:dyDescent="0.25">
      <c r="A28" s="719"/>
      <c r="B28" s="723" t="s">
        <v>1425</v>
      </c>
      <c r="C28" s="723"/>
      <c r="D28" s="723"/>
      <c r="E28" s="723"/>
      <c r="F28" s="723"/>
      <c r="G28" s="723"/>
      <c r="H28" s="723"/>
      <c r="I28" s="723"/>
      <c r="J28" s="723">
        <f t="shared" ref="J28:J34" si="8">SUM(C28+E28+F28+H28)</f>
        <v>0</v>
      </c>
      <c r="K28" s="723">
        <f t="shared" ref="K28:K34" si="9">SUM(D28+G28+I28)</f>
        <v>0</v>
      </c>
      <c r="L28" s="723">
        <f t="shared" ref="L28:L34" si="10">SUM(J28:K28)</f>
        <v>0</v>
      </c>
      <c r="M28" s="723">
        <v>220</v>
      </c>
      <c r="N28" s="723"/>
      <c r="O28" s="723">
        <f t="shared" ref="O28:O34" si="11">SUM(L28:N28)</f>
        <v>220</v>
      </c>
    </row>
    <row r="29" spans="1:16" s="722" customFormat="1" ht="31.5" x14ac:dyDescent="0.25">
      <c r="A29" s="719"/>
      <c r="B29" s="723" t="s">
        <v>1429</v>
      </c>
      <c r="C29" s="723"/>
      <c r="D29" s="718"/>
      <c r="E29" s="723"/>
      <c r="F29" s="723"/>
      <c r="G29" s="723"/>
      <c r="H29" s="723"/>
      <c r="I29" s="723"/>
      <c r="J29" s="723">
        <f t="shared" si="8"/>
        <v>0</v>
      </c>
      <c r="K29" s="723">
        <f t="shared" si="9"/>
        <v>0</v>
      </c>
      <c r="L29" s="723">
        <f t="shared" si="10"/>
        <v>0</v>
      </c>
      <c r="M29" s="723">
        <v>14226</v>
      </c>
      <c r="N29" s="723"/>
      <c r="O29" s="723">
        <f t="shared" si="11"/>
        <v>14226</v>
      </c>
    </row>
    <row r="30" spans="1:16" s="722" customFormat="1" ht="31.5" x14ac:dyDescent="0.25">
      <c r="A30" s="719"/>
      <c r="B30" s="723" t="s">
        <v>961</v>
      </c>
      <c r="C30" s="723"/>
      <c r="D30" s="723"/>
      <c r="E30" s="723"/>
      <c r="F30" s="723"/>
      <c r="G30" s="723"/>
      <c r="H30" s="723"/>
      <c r="I30" s="723"/>
      <c r="J30" s="723">
        <f t="shared" si="8"/>
        <v>0</v>
      </c>
      <c r="K30" s="723">
        <f t="shared" si="9"/>
        <v>0</v>
      </c>
      <c r="L30" s="723">
        <f t="shared" si="10"/>
        <v>0</v>
      </c>
      <c r="M30" s="723">
        <v>2162</v>
      </c>
      <c r="N30" s="723"/>
      <c r="O30" s="723">
        <f t="shared" si="11"/>
        <v>2162</v>
      </c>
    </row>
    <row r="31" spans="1:16" s="722" customFormat="1" x14ac:dyDescent="0.25">
      <c r="A31" s="719"/>
      <c r="B31" s="720" t="s">
        <v>132</v>
      </c>
      <c r="C31" s="723"/>
      <c r="D31" s="723"/>
      <c r="E31" s="723"/>
      <c r="F31" s="723"/>
      <c r="G31" s="723"/>
      <c r="H31" s="723"/>
      <c r="I31" s="723"/>
      <c r="J31" s="723"/>
      <c r="K31" s="723"/>
      <c r="L31" s="723"/>
      <c r="M31" s="723"/>
      <c r="N31" s="723"/>
      <c r="O31" s="723"/>
    </row>
    <row r="32" spans="1:16" s="722" customFormat="1" ht="63" x14ac:dyDescent="0.25">
      <c r="A32" s="719"/>
      <c r="B32" s="723" t="s">
        <v>1428</v>
      </c>
      <c r="C32" s="723"/>
      <c r="D32" s="723"/>
      <c r="E32" s="723"/>
      <c r="F32" s="723"/>
      <c r="G32" s="723"/>
      <c r="H32" s="723"/>
      <c r="I32" s="723"/>
      <c r="J32" s="723">
        <f t="shared" si="8"/>
        <v>0</v>
      </c>
      <c r="K32" s="723">
        <f t="shared" si="9"/>
        <v>0</v>
      </c>
      <c r="L32" s="723">
        <f t="shared" si="10"/>
        <v>0</v>
      </c>
      <c r="M32" s="723">
        <v>1691</v>
      </c>
      <c r="N32" s="723"/>
      <c r="O32" s="723">
        <f t="shared" si="11"/>
        <v>1691</v>
      </c>
    </row>
    <row r="33" spans="1:16" s="722" customFormat="1" x14ac:dyDescent="0.25">
      <c r="A33" s="719"/>
      <c r="B33" s="723" t="s">
        <v>1330</v>
      </c>
      <c r="C33" s="723"/>
      <c r="D33" s="723"/>
      <c r="E33" s="723"/>
      <c r="F33" s="723"/>
      <c r="G33" s="723"/>
      <c r="H33" s="723"/>
      <c r="I33" s="723"/>
      <c r="J33" s="723">
        <f t="shared" si="8"/>
        <v>0</v>
      </c>
      <c r="K33" s="723">
        <f t="shared" si="9"/>
        <v>0</v>
      </c>
      <c r="L33" s="723">
        <f t="shared" si="10"/>
        <v>0</v>
      </c>
      <c r="M33" s="723">
        <v>589</v>
      </c>
      <c r="N33" s="723"/>
      <c r="O33" s="723">
        <f t="shared" si="11"/>
        <v>589</v>
      </c>
    </row>
    <row r="34" spans="1:16" s="722" customFormat="1" ht="79.5" thickBot="1" x14ac:dyDescent="0.3">
      <c r="A34" s="719"/>
      <c r="B34" s="723" t="s">
        <v>1332</v>
      </c>
      <c r="C34" s="723"/>
      <c r="D34" s="723"/>
      <c r="E34" s="723"/>
      <c r="F34" s="723"/>
      <c r="G34" s="723"/>
      <c r="H34" s="723"/>
      <c r="I34" s="723"/>
      <c r="J34" s="723">
        <f t="shared" si="8"/>
        <v>0</v>
      </c>
      <c r="K34" s="723">
        <f t="shared" si="9"/>
        <v>0</v>
      </c>
      <c r="L34" s="723">
        <f t="shared" si="10"/>
        <v>0</v>
      </c>
      <c r="M34" s="723">
        <v>50</v>
      </c>
      <c r="N34" s="723"/>
      <c r="O34" s="723">
        <f t="shared" si="11"/>
        <v>50</v>
      </c>
    </row>
    <row r="35" spans="1:16" ht="17.25" thickTop="1" thickBot="1" x14ac:dyDescent="0.3">
      <c r="A35" s="712"/>
      <c r="B35" s="725" t="s">
        <v>379</v>
      </c>
      <c r="C35" s="725">
        <f>+C24+C28+C32+C29+C30+C34+C33</f>
        <v>7577</v>
      </c>
      <c r="D35" s="725">
        <f t="shared" ref="D35:O35" si="12">+D24+D28+D32+D29+D30+D34+D33</f>
        <v>0</v>
      </c>
      <c r="E35" s="725">
        <f t="shared" si="12"/>
        <v>0</v>
      </c>
      <c r="F35" s="725">
        <f t="shared" si="12"/>
        <v>14572</v>
      </c>
      <c r="G35" s="725">
        <f t="shared" si="12"/>
        <v>0</v>
      </c>
      <c r="H35" s="725">
        <f t="shared" si="12"/>
        <v>0</v>
      </c>
      <c r="I35" s="725">
        <f t="shared" si="12"/>
        <v>0</v>
      </c>
      <c r="J35" s="725">
        <f t="shared" si="12"/>
        <v>22149</v>
      </c>
      <c r="K35" s="725">
        <f t="shared" si="12"/>
        <v>0</v>
      </c>
      <c r="L35" s="725">
        <f t="shared" si="12"/>
        <v>22149</v>
      </c>
      <c r="M35" s="725">
        <f t="shared" si="12"/>
        <v>130763</v>
      </c>
      <c r="N35" s="725">
        <f t="shared" si="12"/>
        <v>1313</v>
      </c>
      <c r="O35" s="725">
        <f t="shared" si="12"/>
        <v>154225</v>
      </c>
      <c r="P35" s="703">
        <f>O36+O37</f>
        <v>154225</v>
      </c>
    </row>
    <row r="36" spans="1:16" ht="17.25" thickTop="1" thickBot="1" x14ac:dyDescent="0.3">
      <c r="A36" s="712"/>
      <c r="B36" s="725" t="s">
        <v>378</v>
      </c>
      <c r="C36" s="725">
        <f>+C25+C28+C29+C30</f>
        <v>7577</v>
      </c>
      <c r="D36" s="725">
        <f t="shared" ref="D36:O36" si="13">+D25+D28+D29+D30</f>
        <v>0</v>
      </c>
      <c r="E36" s="725">
        <f t="shared" si="13"/>
        <v>0</v>
      </c>
      <c r="F36" s="725">
        <f t="shared" si="13"/>
        <v>5830</v>
      </c>
      <c r="G36" s="725">
        <f t="shared" si="13"/>
        <v>0</v>
      </c>
      <c r="H36" s="725">
        <f t="shared" si="13"/>
        <v>0</v>
      </c>
      <c r="I36" s="725">
        <f t="shared" si="13"/>
        <v>0</v>
      </c>
      <c r="J36" s="725">
        <f t="shared" si="13"/>
        <v>13407</v>
      </c>
      <c r="K36" s="725">
        <f t="shared" si="13"/>
        <v>0</v>
      </c>
      <c r="L36" s="725">
        <f t="shared" si="13"/>
        <v>13407</v>
      </c>
      <c r="M36" s="725">
        <f t="shared" si="13"/>
        <v>62865</v>
      </c>
      <c r="N36" s="725">
        <f t="shared" si="13"/>
        <v>1313</v>
      </c>
      <c r="O36" s="725">
        <f t="shared" si="13"/>
        <v>77585</v>
      </c>
    </row>
    <row r="37" spans="1:16" ht="17.25" thickTop="1" thickBot="1" x14ac:dyDescent="0.3">
      <c r="A37" s="712"/>
      <c r="B37" s="725" t="s">
        <v>377</v>
      </c>
      <c r="C37" s="725">
        <f t="shared" ref="C37:O37" si="14">+C26+C32+C34+C33</f>
        <v>0</v>
      </c>
      <c r="D37" s="725">
        <f t="shared" si="14"/>
        <v>0</v>
      </c>
      <c r="E37" s="725">
        <f t="shared" si="14"/>
        <v>0</v>
      </c>
      <c r="F37" s="725">
        <f t="shared" si="14"/>
        <v>8742</v>
      </c>
      <c r="G37" s="725">
        <f t="shared" si="14"/>
        <v>0</v>
      </c>
      <c r="H37" s="725">
        <f t="shared" si="14"/>
        <v>0</v>
      </c>
      <c r="I37" s="725">
        <f t="shared" si="14"/>
        <v>0</v>
      </c>
      <c r="J37" s="725">
        <f t="shared" si="14"/>
        <v>8742</v>
      </c>
      <c r="K37" s="725">
        <f t="shared" si="14"/>
        <v>0</v>
      </c>
      <c r="L37" s="725">
        <f t="shared" si="14"/>
        <v>8742</v>
      </c>
      <c r="M37" s="725">
        <f t="shared" si="14"/>
        <v>67898</v>
      </c>
      <c r="N37" s="725">
        <f t="shared" si="14"/>
        <v>0</v>
      </c>
      <c r="O37" s="725">
        <f t="shared" si="14"/>
        <v>76640</v>
      </c>
    </row>
    <row r="38" spans="1:16" ht="17.25" thickTop="1" thickBot="1" x14ac:dyDescent="0.3">
      <c r="A38" s="712"/>
      <c r="B38" s="725" t="s">
        <v>408</v>
      </c>
      <c r="C38" s="725">
        <f t="shared" ref="C38:O38" si="15">SUM(C20+C35)</f>
        <v>649617</v>
      </c>
      <c r="D38" s="725">
        <f t="shared" si="15"/>
        <v>0</v>
      </c>
      <c r="E38" s="725">
        <f t="shared" si="15"/>
        <v>0</v>
      </c>
      <c r="F38" s="725">
        <f t="shared" si="15"/>
        <v>41749</v>
      </c>
      <c r="G38" s="725">
        <f t="shared" si="15"/>
        <v>0</v>
      </c>
      <c r="H38" s="725">
        <f t="shared" si="15"/>
        <v>0</v>
      </c>
      <c r="I38" s="725">
        <f t="shared" si="15"/>
        <v>0</v>
      </c>
      <c r="J38" s="725">
        <f t="shared" si="15"/>
        <v>691366</v>
      </c>
      <c r="K38" s="725">
        <f t="shared" si="15"/>
        <v>0</v>
      </c>
      <c r="L38" s="725">
        <f t="shared" si="15"/>
        <v>691366</v>
      </c>
      <c r="M38" s="725">
        <f t="shared" si="15"/>
        <v>636404</v>
      </c>
      <c r="N38" s="725">
        <f t="shared" si="15"/>
        <v>106465</v>
      </c>
      <c r="O38" s="725">
        <f t="shared" si="15"/>
        <v>1434235</v>
      </c>
    </row>
    <row r="39" spans="1:16" ht="16.5" thickTop="1" x14ac:dyDescent="0.25">
      <c r="A39" s="716" t="s">
        <v>146</v>
      </c>
      <c r="B39" s="726" t="s">
        <v>407</v>
      </c>
      <c r="C39" s="726"/>
      <c r="D39" s="726"/>
      <c r="E39" s="726"/>
      <c r="F39" s="726"/>
      <c r="G39" s="726"/>
      <c r="H39" s="726"/>
      <c r="I39" s="726"/>
      <c r="J39" s="726"/>
      <c r="K39" s="726"/>
      <c r="L39" s="726"/>
      <c r="M39" s="726"/>
      <c r="N39" s="726"/>
      <c r="O39" s="726"/>
    </row>
    <row r="40" spans="1:16" x14ac:dyDescent="0.25">
      <c r="A40" s="727"/>
      <c r="B40" s="717" t="s">
        <v>957</v>
      </c>
      <c r="C40" s="717">
        <f>SUM(C41:C42)</f>
        <v>7274</v>
      </c>
      <c r="D40" s="717"/>
      <c r="E40" s="717"/>
      <c r="F40" s="717">
        <f>SUM(F41:F42)</f>
        <v>1702</v>
      </c>
      <c r="G40" s="717"/>
      <c r="H40" s="717"/>
      <c r="I40" s="717"/>
      <c r="J40" s="717">
        <f>SUM(C40+E40+F40+H40)</f>
        <v>8976</v>
      </c>
      <c r="K40" s="717">
        <f>SUM(D40+G40+I40)</f>
        <v>0</v>
      </c>
      <c r="L40" s="717">
        <f>SUM(J40:K40)</f>
        <v>8976</v>
      </c>
      <c r="M40" s="717">
        <f>SUM(M41:M42)</f>
        <v>100187</v>
      </c>
      <c r="N40" s="717">
        <f>SUM(N41:N42)</f>
        <v>486</v>
      </c>
      <c r="O40" s="717">
        <f>SUM(L40:N40)</f>
        <v>109649</v>
      </c>
    </row>
    <row r="41" spans="1:16" s="722" customFormat="1" x14ac:dyDescent="0.25">
      <c r="A41" s="728"/>
      <c r="B41" s="729" t="s">
        <v>381</v>
      </c>
      <c r="C41" s="729">
        <v>7274</v>
      </c>
      <c r="D41" s="729"/>
      <c r="E41" s="729"/>
      <c r="F41" s="729">
        <v>1702</v>
      </c>
      <c r="G41" s="729"/>
      <c r="H41" s="729"/>
      <c r="I41" s="729"/>
      <c r="J41" s="730">
        <f>SUM(C41+E41+F41+H41)</f>
        <v>8976</v>
      </c>
      <c r="K41" s="730">
        <f>SUM(D41+G41+I41)</f>
        <v>0</v>
      </c>
      <c r="L41" s="730">
        <f>SUM(J41:K41)</f>
        <v>8976</v>
      </c>
      <c r="M41" s="730">
        <v>99110</v>
      </c>
      <c r="N41" s="730">
        <v>486</v>
      </c>
      <c r="O41" s="730">
        <f>SUM(L41:N41)</f>
        <v>108572</v>
      </c>
    </row>
    <row r="42" spans="1:16" s="722" customFormat="1" x14ac:dyDescent="0.25">
      <c r="A42" s="728"/>
      <c r="B42" s="729" t="s">
        <v>380</v>
      </c>
      <c r="C42" s="729"/>
      <c r="D42" s="729"/>
      <c r="E42" s="729"/>
      <c r="F42" s="729"/>
      <c r="G42" s="729"/>
      <c r="H42" s="729"/>
      <c r="I42" s="729"/>
      <c r="J42" s="730">
        <f>SUM(C42+E42+F42+H42)</f>
        <v>0</v>
      </c>
      <c r="K42" s="730">
        <f>SUM(D42+G42+I42)</f>
        <v>0</v>
      </c>
      <c r="L42" s="730">
        <f>SUM(J42:K42)</f>
        <v>0</v>
      </c>
      <c r="M42" s="730">
        <v>1077</v>
      </c>
      <c r="N42" s="730"/>
      <c r="O42" s="730">
        <f>SUM(L42:N42)</f>
        <v>1077</v>
      </c>
    </row>
    <row r="43" spans="1:16" s="722" customFormat="1" x14ac:dyDescent="0.25">
      <c r="A43" s="728"/>
      <c r="B43" s="729" t="s">
        <v>131</v>
      </c>
      <c r="C43" s="731"/>
      <c r="D43" s="731"/>
      <c r="E43" s="731"/>
      <c r="F43" s="731"/>
      <c r="G43" s="731"/>
      <c r="H43" s="731"/>
      <c r="I43" s="731"/>
      <c r="J43" s="731"/>
      <c r="K43" s="731"/>
      <c r="L43" s="731"/>
      <c r="M43" s="731"/>
      <c r="N43" s="731"/>
      <c r="O43" s="731"/>
    </row>
    <row r="44" spans="1:16" s="722" customFormat="1" ht="31.5" x14ac:dyDescent="0.25">
      <c r="A44" s="728"/>
      <c r="B44" s="723" t="s">
        <v>1425</v>
      </c>
      <c r="C44" s="731"/>
      <c r="D44" s="731"/>
      <c r="E44" s="731"/>
      <c r="F44" s="731"/>
      <c r="G44" s="731"/>
      <c r="H44" s="731"/>
      <c r="I44" s="731"/>
      <c r="J44" s="731">
        <f t="shared" ref="J44:J54" si="16">SUM(C44+E44+F44+H44)</f>
        <v>0</v>
      </c>
      <c r="K44" s="731">
        <f t="shared" ref="K44:K54" si="17">SUM(D44+G44+I44)</f>
        <v>0</v>
      </c>
      <c r="L44" s="731">
        <f t="shared" ref="L44:L54" si="18">SUM(J44:K44)</f>
        <v>0</v>
      </c>
      <c r="M44" s="731">
        <v>61</v>
      </c>
      <c r="N44" s="731"/>
      <c r="O44" s="731">
        <f t="shared" ref="O44:O54" si="19">SUM(L44:N44)</f>
        <v>61</v>
      </c>
    </row>
    <row r="45" spans="1:16" s="722" customFormat="1" ht="50.25" customHeight="1" x14ac:dyDescent="0.25">
      <c r="A45" s="728"/>
      <c r="B45" s="723" t="s">
        <v>1429</v>
      </c>
      <c r="C45" s="731"/>
      <c r="D45" s="731"/>
      <c r="E45" s="731"/>
      <c r="F45" s="731"/>
      <c r="G45" s="731"/>
      <c r="H45" s="731"/>
      <c r="I45" s="731"/>
      <c r="J45" s="731">
        <f t="shared" si="16"/>
        <v>0</v>
      </c>
      <c r="K45" s="731">
        <f t="shared" si="17"/>
        <v>0</v>
      </c>
      <c r="L45" s="731">
        <f t="shared" si="18"/>
        <v>0</v>
      </c>
      <c r="M45" s="731">
        <v>929</v>
      </c>
      <c r="N45" s="731"/>
      <c r="O45" s="731">
        <f t="shared" si="19"/>
        <v>929</v>
      </c>
    </row>
    <row r="46" spans="1:16" s="722" customFormat="1" ht="69.75" customHeight="1" x14ac:dyDescent="0.25">
      <c r="A46" s="728"/>
      <c r="B46" s="772" t="s">
        <v>1333</v>
      </c>
      <c r="C46" s="731"/>
      <c r="D46" s="731"/>
      <c r="E46" s="731"/>
      <c r="F46" s="731"/>
      <c r="G46" s="731"/>
      <c r="H46" s="731"/>
      <c r="I46" s="731"/>
      <c r="J46" s="731">
        <f t="shared" si="16"/>
        <v>0</v>
      </c>
      <c r="K46" s="731">
        <f t="shared" si="17"/>
        <v>0</v>
      </c>
      <c r="L46" s="731">
        <f t="shared" si="18"/>
        <v>0</v>
      </c>
      <c r="M46" s="731">
        <v>684</v>
      </c>
      <c r="N46" s="731"/>
      <c r="O46" s="731">
        <f t="shared" si="19"/>
        <v>684</v>
      </c>
    </row>
    <row r="47" spans="1:16" s="722" customFormat="1" ht="31.5" x14ac:dyDescent="0.25">
      <c r="A47" s="728"/>
      <c r="B47" s="772" t="s">
        <v>1426</v>
      </c>
      <c r="C47" s="731"/>
      <c r="D47" s="731"/>
      <c r="E47" s="731"/>
      <c r="F47" s="731"/>
      <c r="G47" s="731"/>
      <c r="H47" s="731"/>
      <c r="I47" s="731"/>
      <c r="J47" s="731">
        <f t="shared" si="16"/>
        <v>0</v>
      </c>
      <c r="K47" s="731">
        <f t="shared" si="17"/>
        <v>0</v>
      </c>
      <c r="L47" s="731">
        <f t="shared" si="18"/>
        <v>0</v>
      </c>
      <c r="M47" s="731">
        <v>-1556</v>
      </c>
      <c r="N47" s="731"/>
      <c r="O47" s="731">
        <f t="shared" si="19"/>
        <v>-1556</v>
      </c>
    </row>
    <row r="48" spans="1:16" s="722" customFormat="1" ht="31.5" x14ac:dyDescent="0.25">
      <c r="A48" s="728"/>
      <c r="B48" s="723" t="s">
        <v>961</v>
      </c>
      <c r="C48" s="731"/>
      <c r="D48" s="731"/>
      <c r="E48" s="731"/>
      <c r="F48" s="731"/>
      <c r="G48" s="731"/>
      <c r="H48" s="731"/>
      <c r="I48" s="731"/>
      <c r="J48" s="731">
        <f t="shared" si="16"/>
        <v>0</v>
      </c>
      <c r="K48" s="731">
        <f t="shared" si="17"/>
        <v>0</v>
      </c>
      <c r="L48" s="731">
        <f t="shared" si="18"/>
        <v>0</v>
      </c>
      <c r="M48" s="731">
        <v>236</v>
      </c>
      <c r="N48" s="731"/>
      <c r="O48" s="731">
        <f t="shared" si="19"/>
        <v>236</v>
      </c>
    </row>
    <row r="49" spans="1:16" s="722" customFormat="1" x14ac:dyDescent="0.25">
      <c r="A49" s="728"/>
      <c r="B49" s="729" t="s">
        <v>491</v>
      </c>
      <c r="C49" s="731"/>
      <c r="D49" s="731"/>
      <c r="E49" s="731"/>
      <c r="F49" s="731"/>
      <c r="G49" s="731"/>
      <c r="H49" s="731"/>
      <c r="I49" s="731"/>
      <c r="J49" s="731"/>
      <c r="K49" s="731"/>
      <c r="L49" s="731"/>
      <c r="M49" s="731"/>
      <c r="N49" s="731"/>
      <c r="O49" s="731"/>
    </row>
    <row r="50" spans="1:16" s="722" customFormat="1" x14ac:dyDescent="0.25">
      <c r="A50" s="728"/>
      <c r="B50" s="723" t="s">
        <v>1330</v>
      </c>
      <c r="C50" s="731"/>
      <c r="D50" s="731"/>
      <c r="E50" s="731"/>
      <c r="F50" s="731"/>
      <c r="G50" s="731"/>
      <c r="H50" s="731"/>
      <c r="I50" s="731"/>
      <c r="J50" s="731">
        <f t="shared" si="16"/>
        <v>0</v>
      </c>
      <c r="K50" s="731">
        <f t="shared" si="17"/>
        <v>0</v>
      </c>
      <c r="L50" s="731">
        <f t="shared" si="18"/>
        <v>0</v>
      </c>
      <c r="M50" s="731">
        <v>538</v>
      </c>
      <c r="N50" s="731"/>
      <c r="O50" s="731">
        <f t="shared" si="19"/>
        <v>538</v>
      </c>
    </row>
    <row r="51" spans="1:16" s="722" customFormat="1" ht="78.75" x14ac:dyDescent="0.25">
      <c r="A51" s="732"/>
      <c r="B51" s="723" t="s">
        <v>1332</v>
      </c>
      <c r="C51" s="733"/>
      <c r="D51" s="733"/>
      <c r="E51" s="733"/>
      <c r="F51" s="733"/>
      <c r="G51" s="733"/>
      <c r="H51" s="733"/>
      <c r="I51" s="733"/>
      <c r="J51" s="731">
        <f t="shared" si="16"/>
        <v>0</v>
      </c>
      <c r="K51" s="731">
        <f t="shared" si="17"/>
        <v>0</v>
      </c>
      <c r="L51" s="731">
        <f t="shared" si="18"/>
        <v>0</v>
      </c>
      <c r="M51" s="733">
        <v>20</v>
      </c>
      <c r="N51" s="733"/>
      <c r="O51" s="731">
        <f t="shared" si="19"/>
        <v>20</v>
      </c>
    </row>
    <row r="52" spans="1:16" s="722" customFormat="1" ht="104.25" customHeight="1" x14ac:dyDescent="0.25">
      <c r="A52" s="728"/>
      <c r="B52" s="724" t="s">
        <v>1334</v>
      </c>
      <c r="C52" s="731"/>
      <c r="D52" s="731"/>
      <c r="E52" s="731"/>
      <c r="F52" s="731"/>
      <c r="G52" s="731"/>
      <c r="H52" s="731"/>
      <c r="I52" s="731"/>
      <c r="J52" s="731">
        <f t="shared" si="16"/>
        <v>0</v>
      </c>
      <c r="K52" s="731">
        <f t="shared" si="17"/>
        <v>0</v>
      </c>
      <c r="L52" s="731">
        <f t="shared" si="18"/>
        <v>0</v>
      </c>
      <c r="M52" s="731">
        <v>15</v>
      </c>
      <c r="N52" s="731"/>
      <c r="O52" s="731">
        <f t="shared" si="19"/>
        <v>15</v>
      </c>
    </row>
    <row r="53" spans="1:16" s="722" customFormat="1" ht="63" x14ac:dyDescent="0.25">
      <c r="A53" s="728"/>
      <c r="B53" s="723" t="s">
        <v>1430</v>
      </c>
      <c r="C53" s="731"/>
      <c r="D53" s="731"/>
      <c r="E53" s="731"/>
      <c r="F53" s="731"/>
      <c r="G53" s="731"/>
      <c r="H53" s="731"/>
      <c r="I53" s="731"/>
      <c r="J53" s="731">
        <f t="shared" si="16"/>
        <v>0</v>
      </c>
      <c r="K53" s="731">
        <f t="shared" si="17"/>
        <v>0</v>
      </c>
      <c r="L53" s="731">
        <f t="shared" si="18"/>
        <v>0</v>
      </c>
      <c r="M53" s="731">
        <v>342</v>
      </c>
      <c r="N53" s="731"/>
      <c r="O53" s="731">
        <f t="shared" si="19"/>
        <v>342</v>
      </c>
    </row>
    <row r="54" spans="1:16" s="722" customFormat="1" ht="95.25" thickBot="1" x14ac:dyDescent="0.3">
      <c r="A54" s="732"/>
      <c r="B54" s="723" t="s">
        <v>1431</v>
      </c>
      <c r="C54" s="733"/>
      <c r="D54" s="733"/>
      <c r="E54" s="733"/>
      <c r="F54" s="733"/>
      <c r="G54" s="733"/>
      <c r="H54" s="733"/>
      <c r="I54" s="733"/>
      <c r="J54" s="731">
        <f t="shared" si="16"/>
        <v>0</v>
      </c>
      <c r="K54" s="731">
        <f t="shared" si="17"/>
        <v>0</v>
      </c>
      <c r="L54" s="731">
        <f t="shared" si="18"/>
        <v>0</v>
      </c>
      <c r="M54" s="733">
        <v>855</v>
      </c>
      <c r="N54" s="733"/>
      <c r="O54" s="731">
        <f t="shared" si="19"/>
        <v>855</v>
      </c>
    </row>
    <row r="55" spans="1:16" ht="17.25" thickTop="1" thickBot="1" x14ac:dyDescent="0.3">
      <c r="A55" s="712"/>
      <c r="B55" s="725" t="s">
        <v>379</v>
      </c>
      <c r="C55" s="725">
        <f>+C40+C44+C50+C45+C46+C47+C48+C51+C53+C52+C54</f>
        <v>7274</v>
      </c>
      <c r="D55" s="725">
        <f t="shared" ref="D55:O55" si="20">+D40+D44+D50+D45+D46+D47+D48+D51+D53+D52+D54</f>
        <v>0</v>
      </c>
      <c r="E55" s="725">
        <f t="shared" si="20"/>
        <v>0</v>
      </c>
      <c r="F55" s="725">
        <f t="shared" si="20"/>
        <v>1702</v>
      </c>
      <c r="G55" s="725">
        <f t="shared" si="20"/>
        <v>0</v>
      </c>
      <c r="H55" s="725">
        <f t="shared" si="20"/>
        <v>0</v>
      </c>
      <c r="I55" s="725">
        <f t="shared" si="20"/>
        <v>0</v>
      </c>
      <c r="J55" s="725">
        <f t="shared" si="20"/>
        <v>8976</v>
      </c>
      <c r="K55" s="725">
        <f t="shared" si="20"/>
        <v>0</v>
      </c>
      <c r="L55" s="725">
        <f t="shared" si="20"/>
        <v>8976</v>
      </c>
      <c r="M55" s="725">
        <f t="shared" si="20"/>
        <v>102311</v>
      </c>
      <c r="N55" s="725">
        <f t="shared" si="20"/>
        <v>486</v>
      </c>
      <c r="O55" s="725">
        <f t="shared" si="20"/>
        <v>111773</v>
      </c>
      <c r="P55" s="703">
        <f>O56+O57</f>
        <v>111773</v>
      </c>
    </row>
    <row r="56" spans="1:16" ht="17.25" thickTop="1" thickBot="1" x14ac:dyDescent="0.3">
      <c r="A56" s="712"/>
      <c r="B56" s="725" t="s">
        <v>378</v>
      </c>
      <c r="C56" s="725">
        <f>+C41+C44+C45+C46+C47+C48</f>
        <v>7274</v>
      </c>
      <c r="D56" s="725">
        <f t="shared" ref="D56:O56" si="21">+D41+D44+D45+D46+D47+D48</f>
        <v>0</v>
      </c>
      <c r="E56" s="725">
        <f t="shared" si="21"/>
        <v>0</v>
      </c>
      <c r="F56" s="725">
        <f t="shared" si="21"/>
        <v>1702</v>
      </c>
      <c r="G56" s="725">
        <f t="shared" si="21"/>
        <v>0</v>
      </c>
      <c r="H56" s="725">
        <f t="shared" si="21"/>
        <v>0</v>
      </c>
      <c r="I56" s="725">
        <f t="shared" si="21"/>
        <v>0</v>
      </c>
      <c r="J56" s="725">
        <f t="shared" si="21"/>
        <v>8976</v>
      </c>
      <c r="K56" s="725">
        <f t="shared" si="21"/>
        <v>0</v>
      </c>
      <c r="L56" s="725">
        <f t="shared" si="21"/>
        <v>8976</v>
      </c>
      <c r="M56" s="725">
        <f t="shared" si="21"/>
        <v>99464</v>
      </c>
      <c r="N56" s="725">
        <f t="shared" si="21"/>
        <v>486</v>
      </c>
      <c r="O56" s="725">
        <f t="shared" si="21"/>
        <v>108926</v>
      </c>
    </row>
    <row r="57" spans="1:16" ht="17.25" thickTop="1" thickBot="1" x14ac:dyDescent="0.3">
      <c r="A57" s="712"/>
      <c r="B57" s="725" t="s">
        <v>377</v>
      </c>
      <c r="C57" s="725">
        <f t="shared" ref="C57:O57" si="22">+C42+C50+C51+C53+C52+C54</f>
        <v>0</v>
      </c>
      <c r="D57" s="725">
        <f t="shared" si="22"/>
        <v>0</v>
      </c>
      <c r="E57" s="725">
        <f t="shared" si="22"/>
        <v>0</v>
      </c>
      <c r="F57" s="725">
        <f t="shared" si="22"/>
        <v>0</v>
      </c>
      <c r="G57" s="725">
        <f t="shared" si="22"/>
        <v>0</v>
      </c>
      <c r="H57" s="725">
        <f t="shared" si="22"/>
        <v>0</v>
      </c>
      <c r="I57" s="725">
        <f t="shared" si="22"/>
        <v>0</v>
      </c>
      <c r="J57" s="725">
        <f t="shared" si="22"/>
        <v>0</v>
      </c>
      <c r="K57" s="725">
        <f t="shared" si="22"/>
        <v>0</v>
      </c>
      <c r="L57" s="725">
        <f t="shared" si="22"/>
        <v>0</v>
      </c>
      <c r="M57" s="725">
        <f t="shared" si="22"/>
        <v>2847</v>
      </c>
      <c r="N57" s="725">
        <f t="shared" si="22"/>
        <v>0</v>
      </c>
      <c r="O57" s="725">
        <f t="shared" si="22"/>
        <v>2847</v>
      </c>
    </row>
    <row r="58" spans="1:16" ht="16.5" thickTop="1" x14ac:dyDescent="0.25">
      <c r="A58" s="716" t="s">
        <v>147</v>
      </c>
      <c r="B58" s="717" t="s">
        <v>789</v>
      </c>
      <c r="C58" s="717"/>
      <c r="D58" s="717"/>
      <c r="E58" s="717"/>
      <c r="F58" s="717"/>
      <c r="G58" s="717"/>
      <c r="H58" s="717"/>
      <c r="I58" s="717"/>
      <c r="J58" s="717"/>
      <c r="K58" s="717"/>
      <c r="L58" s="717"/>
      <c r="M58" s="717"/>
      <c r="N58" s="717"/>
      <c r="O58" s="717"/>
    </row>
    <row r="59" spans="1:16" x14ac:dyDescent="0.25">
      <c r="A59" s="716"/>
      <c r="B59" s="718" t="s">
        <v>347</v>
      </c>
      <c r="C59" s="718">
        <f>SUM(C60:C61)</f>
        <v>7363</v>
      </c>
      <c r="D59" s="718"/>
      <c r="E59" s="718"/>
      <c r="F59" s="718">
        <f>SUM(F60:F61)</f>
        <v>1882</v>
      </c>
      <c r="G59" s="718"/>
      <c r="H59" s="718"/>
      <c r="I59" s="718"/>
      <c r="J59" s="718">
        <f>SUM(C59+E59+F59+H59)</f>
        <v>9245</v>
      </c>
      <c r="K59" s="718">
        <f>SUM(D59+G59+I59)</f>
        <v>0</v>
      </c>
      <c r="L59" s="718">
        <f>SUM(J59:K59)</f>
        <v>9245</v>
      </c>
      <c r="M59" s="718">
        <f>SUM(M60:M61)</f>
        <v>105524</v>
      </c>
      <c r="N59" s="718">
        <f>SUM(N60:N61)</f>
        <v>244</v>
      </c>
      <c r="O59" s="718">
        <f>SUM(L59:N59)</f>
        <v>115013</v>
      </c>
    </row>
    <row r="60" spans="1:16" s="722" customFormat="1" x14ac:dyDescent="0.25">
      <c r="A60" s="719"/>
      <c r="B60" s="720" t="s">
        <v>381</v>
      </c>
      <c r="C60" s="720">
        <v>7363</v>
      </c>
      <c r="D60" s="720"/>
      <c r="E60" s="720"/>
      <c r="F60" s="720">
        <v>1882</v>
      </c>
      <c r="G60" s="720"/>
      <c r="H60" s="720"/>
      <c r="I60" s="720"/>
      <c r="J60" s="721">
        <f>SUM(C60+E60+F60+H60)</f>
        <v>9245</v>
      </c>
      <c r="K60" s="721">
        <f>SUM(D60+G60+I60)</f>
        <v>0</v>
      </c>
      <c r="L60" s="721">
        <f>SUM(J60:K60)</f>
        <v>9245</v>
      </c>
      <c r="M60" s="721">
        <v>104390</v>
      </c>
      <c r="N60" s="721">
        <v>244</v>
      </c>
      <c r="O60" s="721">
        <f>SUM(L60:N60)</f>
        <v>113879</v>
      </c>
    </row>
    <row r="61" spans="1:16" s="722" customFormat="1" x14ac:dyDescent="0.25">
      <c r="A61" s="719"/>
      <c r="B61" s="720" t="s">
        <v>380</v>
      </c>
      <c r="C61" s="720"/>
      <c r="D61" s="720"/>
      <c r="E61" s="720"/>
      <c r="F61" s="720"/>
      <c r="G61" s="720"/>
      <c r="H61" s="720"/>
      <c r="I61" s="720"/>
      <c r="J61" s="721">
        <f>SUM(C61+E61+F61+H61)</f>
        <v>0</v>
      </c>
      <c r="K61" s="721">
        <f>SUM(D61+G61+I61)</f>
        <v>0</v>
      </c>
      <c r="L61" s="721">
        <f>SUM(J61:K61)</f>
        <v>0</v>
      </c>
      <c r="M61" s="721">
        <v>1134</v>
      </c>
      <c r="N61" s="721"/>
      <c r="O61" s="721">
        <f>SUM(L61:N61)</f>
        <v>1134</v>
      </c>
    </row>
    <row r="62" spans="1:16" s="722" customFormat="1" x14ac:dyDescent="0.25">
      <c r="A62" s="719"/>
      <c r="B62" s="720" t="s">
        <v>131</v>
      </c>
      <c r="C62" s="723"/>
      <c r="D62" s="723"/>
      <c r="E62" s="723"/>
      <c r="F62" s="723"/>
      <c r="G62" s="723"/>
      <c r="H62" s="723"/>
      <c r="I62" s="723"/>
      <c r="J62" s="723"/>
      <c r="K62" s="723"/>
      <c r="L62" s="723"/>
      <c r="M62" s="723"/>
      <c r="N62" s="723"/>
      <c r="O62" s="723"/>
    </row>
    <row r="63" spans="1:16" s="722" customFormat="1" ht="31.5" x14ac:dyDescent="0.25">
      <c r="A63" s="719"/>
      <c r="B63" s="723" t="s">
        <v>1425</v>
      </c>
      <c r="C63" s="723"/>
      <c r="D63" s="723"/>
      <c r="E63" s="723"/>
      <c r="F63" s="723"/>
      <c r="G63" s="723"/>
      <c r="H63" s="723"/>
      <c r="I63" s="723"/>
      <c r="J63" s="723">
        <f t="shared" ref="J63:J73" si="23">SUM(C63+E63+F63+H63)</f>
        <v>0</v>
      </c>
      <c r="K63" s="723">
        <f t="shared" ref="K63:K73" si="24">SUM(D63+G63+I63)</f>
        <v>0</v>
      </c>
      <c r="L63" s="723">
        <f t="shared" ref="L63:L73" si="25">SUM(J63:K63)</f>
        <v>0</v>
      </c>
      <c r="M63" s="723">
        <v>165</v>
      </c>
      <c r="N63" s="723"/>
      <c r="O63" s="723">
        <f t="shared" ref="O63:O73" si="26">SUM(L63:N63)</f>
        <v>165</v>
      </c>
    </row>
    <row r="64" spans="1:16" s="722" customFormat="1" ht="51.75" customHeight="1" x14ac:dyDescent="0.25">
      <c r="A64" s="719"/>
      <c r="B64" s="723" t="s">
        <v>1429</v>
      </c>
      <c r="C64" s="723"/>
      <c r="D64" s="723"/>
      <c r="E64" s="723"/>
      <c r="F64" s="723"/>
      <c r="G64" s="723"/>
      <c r="H64" s="723"/>
      <c r="I64" s="723"/>
      <c r="J64" s="723">
        <f t="shared" si="23"/>
        <v>0</v>
      </c>
      <c r="K64" s="723">
        <f t="shared" si="24"/>
        <v>0</v>
      </c>
      <c r="L64" s="723">
        <f t="shared" si="25"/>
        <v>0</v>
      </c>
      <c r="M64" s="723">
        <v>1112</v>
      </c>
      <c r="N64" s="723"/>
      <c r="O64" s="723">
        <f t="shared" si="26"/>
        <v>1112</v>
      </c>
    </row>
    <row r="65" spans="1:16" s="722" customFormat="1" ht="63" x14ac:dyDescent="0.25">
      <c r="A65" s="719"/>
      <c r="B65" s="723" t="s">
        <v>1326</v>
      </c>
      <c r="C65" s="723"/>
      <c r="D65" s="723"/>
      <c r="E65" s="723"/>
      <c r="F65" s="723"/>
      <c r="G65" s="723"/>
      <c r="H65" s="723"/>
      <c r="I65" s="723"/>
      <c r="J65" s="723">
        <f t="shared" si="23"/>
        <v>0</v>
      </c>
      <c r="K65" s="723">
        <f t="shared" si="24"/>
        <v>0</v>
      </c>
      <c r="L65" s="723">
        <f t="shared" si="25"/>
        <v>0</v>
      </c>
      <c r="M65" s="723">
        <v>2454</v>
      </c>
      <c r="N65" s="723"/>
      <c r="O65" s="723">
        <f t="shared" si="26"/>
        <v>2454</v>
      </c>
    </row>
    <row r="66" spans="1:16" s="722" customFormat="1" ht="69.75" customHeight="1" x14ac:dyDescent="0.25">
      <c r="A66" s="728"/>
      <c r="B66" s="724" t="s">
        <v>1333</v>
      </c>
      <c r="C66" s="731"/>
      <c r="D66" s="731"/>
      <c r="E66" s="731"/>
      <c r="F66" s="731"/>
      <c r="G66" s="731"/>
      <c r="H66" s="731"/>
      <c r="I66" s="731"/>
      <c r="J66" s="731">
        <f t="shared" si="23"/>
        <v>0</v>
      </c>
      <c r="K66" s="731">
        <f t="shared" si="24"/>
        <v>0</v>
      </c>
      <c r="L66" s="731">
        <f t="shared" si="25"/>
        <v>0</v>
      </c>
      <c r="M66" s="731">
        <v>485</v>
      </c>
      <c r="N66" s="731"/>
      <c r="O66" s="731">
        <f t="shared" si="26"/>
        <v>485</v>
      </c>
    </row>
    <row r="67" spans="1:16" s="722" customFormat="1" ht="31.5" x14ac:dyDescent="0.25">
      <c r="A67" s="719"/>
      <c r="B67" s="724" t="s">
        <v>1426</v>
      </c>
      <c r="C67" s="723"/>
      <c r="D67" s="723"/>
      <c r="E67" s="723"/>
      <c r="F67" s="723"/>
      <c r="G67" s="723"/>
      <c r="H67" s="723"/>
      <c r="I67" s="723"/>
      <c r="J67" s="723">
        <f t="shared" si="23"/>
        <v>0</v>
      </c>
      <c r="K67" s="723">
        <f t="shared" si="24"/>
        <v>0</v>
      </c>
      <c r="L67" s="723">
        <f t="shared" si="25"/>
        <v>0</v>
      </c>
      <c r="M67" s="723">
        <v>-959</v>
      </c>
      <c r="N67" s="723"/>
      <c r="O67" s="723">
        <f t="shared" si="26"/>
        <v>-959</v>
      </c>
    </row>
    <row r="68" spans="1:16" s="722" customFormat="1" ht="31.5" x14ac:dyDescent="0.25">
      <c r="A68" s="719"/>
      <c r="B68" s="723" t="s">
        <v>961</v>
      </c>
      <c r="C68" s="723"/>
      <c r="D68" s="723"/>
      <c r="E68" s="723"/>
      <c r="F68" s="723"/>
      <c r="G68" s="723"/>
      <c r="H68" s="723"/>
      <c r="I68" s="723"/>
      <c r="J68" s="723">
        <f t="shared" si="23"/>
        <v>0</v>
      </c>
      <c r="K68" s="723">
        <f t="shared" si="24"/>
        <v>0</v>
      </c>
      <c r="L68" s="723">
        <f t="shared" si="25"/>
        <v>0</v>
      </c>
      <c r="M68" s="723">
        <v>100</v>
      </c>
      <c r="N68" s="723"/>
      <c r="O68" s="723">
        <f t="shared" si="26"/>
        <v>100</v>
      </c>
    </row>
    <row r="69" spans="1:16" s="722" customFormat="1" x14ac:dyDescent="0.25">
      <c r="A69" s="719"/>
      <c r="B69" s="720" t="s">
        <v>132</v>
      </c>
      <c r="C69" s="723"/>
      <c r="D69" s="723"/>
      <c r="E69" s="723"/>
      <c r="F69" s="723"/>
      <c r="G69" s="723"/>
      <c r="H69" s="723"/>
      <c r="I69" s="723"/>
      <c r="J69" s="723"/>
      <c r="K69" s="723"/>
      <c r="L69" s="723"/>
      <c r="M69" s="723"/>
      <c r="N69" s="723"/>
      <c r="O69" s="723"/>
    </row>
    <row r="70" spans="1:16" s="722" customFormat="1" x14ac:dyDescent="0.25">
      <c r="A70" s="719"/>
      <c r="B70" s="724" t="s">
        <v>1330</v>
      </c>
      <c r="C70" s="723"/>
      <c r="D70" s="723"/>
      <c r="E70" s="723"/>
      <c r="F70" s="723"/>
      <c r="G70" s="723"/>
      <c r="H70" s="723"/>
      <c r="I70" s="723"/>
      <c r="J70" s="723">
        <f t="shared" si="23"/>
        <v>0</v>
      </c>
      <c r="K70" s="723">
        <f t="shared" si="24"/>
        <v>0</v>
      </c>
      <c r="L70" s="723">
        <f t="shared" si="25"/>
        <v>0</v>
      </c>
      <c r="M70" s="723">
        <v>551</v>
      </c>
      <c r="N70" s="723"/>
      <c r="O70" s="723">
        <f t="shared" si="26"/>
        <v>551</v>
      </c>
    </row>
    <row r="71" spans="1:16" s="722" customFormat="1" ht="78.75" x14ac:dyDescent="0.25">
      <c r="A71" s="719"/>
      <c r="B71" s="723" t="s">
        <v>1332</v>
      </c>
      <c r="C71" s="723"/>
      <c r="D71" s="723"/>
      <c r="E71" s="723"/>
      <c r="F71" s="723"/>
      <c r="G71" s="723"/>
      <c r="H71" s="723"/>
      <c r="I71" s="723"/>
      <c r="J71" s="723">
        <f t="shared" si="23"/>
        <v>0</v>
      </c>
      <c r="K71" s="723">
        <f t="shared" si="24"/>
        <v>0</v>
      </c>
      <c r="L71" s="723">
        <f t="shared" si="25"/>
        <v>0</v>
      </c>
      <c r="M71" s="723">
        <v>20</v>
      </c>
      <c r="N71" s="723"/>
      <c r="O71" s="723">
        <f t="shared" si="26"/>
        <v>20</v>
      </c>
    </row>
    <row r="72" spans="1:16" s="722" customFormat="1" ht="63" x14ac:dyDescent="0.25">
      <c r="A72" s="719"/>
      <c r="B72" s="723" t="s">
        <v>1430</v>
      </c>
      <c r="C72" s="723"/>
      <c r="D72" s="723"/>
      <c r="E72" s="723"/>
      <c r="F72" s="723"/>
      <c r="G72" s="723"/>
      <c r="H72" s="723"/>
      <c r="I72" s="723"/>
      <c r="J72" s="723">
        <f t="shared" si="23"/>
        <v>0</v>
      </c>
      <c r="K72" s="723">
        <f t="shared" si="24"/>
        <v>0</v>
      </c>
      <c r="L72" s="723">
        <f t="shared" si="25"/>
        <v>0</v>
      </c>
      <c r="M72" s="723">
        <v>243</v>
      </c>
      <c r="N72" s="723"/>
      <c r="O72" s="723">
        <f t="shared" si="26"/>
        <v>243</v>
      </c>
    </row>
    <row r="73" spans="1:16" s="722" customFormat="1" ht="95.25" thickBot="1" x14ac:dyDescent="0.3">
      <c r="A73" s="719"/>
      <c r="B73" s="723" t="s">
        <v>1431</v>
      </c>
      <c r="C73" s="723"/>
      <c r="D73" s="723"/>
      <c r="E73" s="723"/>
      <c r="F73" s="723"/>
      <c r="G73" s="723"/>
      <c r="H73" s="723"/>
      <c r="I73" s="723"/>
      <c r="J73" s="723">
        <f t="shared" si="23"/>
        <v>0</v>
      </c>
      <c r="K73" s="723">
        <f t="shared" si="24"/>
        <v>0</v>
      </c>
      <c r="L73" s="723">
        <f t="shared" si="25"/>
        <v>0</v>
      </c>
      <c r="M73" s="723">
        <v>855</v>
      </c>
      <c r="N73" s="723"/>
      <c r="O73" s="723">
        <f t="shared" si="26"/>
        <v>855</v>
      </c>
    </row>
    <row r="74" spans="1:16" ht="16.5" customHeight="1" thickTop="1" thickBot="1" x14ac:dyDescent="0.3">
      <c r="A74" s="712"/>
      <c r="B74" s="725" t="s">
        <v>379</v>
      </c>
      <c r="C74" s="725">
        <f>+C59+C63+C70+C64+C65+C66+C67+C68+C71+C72+C73</f>
        <v>7363</v>
      </c>
      <c r="D74" s="725">
        <f t="shared" ref="D74:O74" si="27">+D59+D63+D70+D64+D65+D66+D67+D68+D71+D72+D73</f>
        <v>0</v>
      </c>
      <c r="E74" s="725">
        <f t="shared" si="27"/>
        <v>0</v>
      </c>
      <c r="F74" s="725">
        <f t="shared" si="27"/>
        <v>1882</v>
      </c>
      <c r="G74" s="725">
        <f t="shared" si="27"/>
        <v>0</v>
      </c>
      <c r="H74" s="725">
        <f t="shared" si="27"/>
        <v>0</v>
      </c>
      <c r="I74" s="725">
        <f t="shared" si="27"/>
        <v>0</v>
      </c>
      <c r="J74" s="725">
        <f t="shared" si="27"/>
        <v>9245</v>
      </c>
      <c r="K74" s="725">
        <f t="shared" si="27"/>
        <v>0</v>
      </c>
      <c r="L74" s="725">
        <f t="shared" si="27"/>
        <v>9245</v>
      </c>
      <c r="M74" s="725">
        <f t="shared" si="27"/>
        <v>110550</v>
      </c>
      <c r="N74" s="725">
        <f t="shared" si="27"/>
        <v>244</v>
      </c>
      <c r="O74" s="725">
        <f t="shared" si="27"/>
        <v>120039</v>
      </c>
      <c r="P74" s="703">
        <f>O75+O76</f>
        <v>120039</v>
      </c>
    </row>
    <row r="75" spans="1:16" ht="17.25" thickTop="1" thickBot="1" x14ac:dyDescent="0.3">
      <c r="A75" s="712"/>
      <c r="B75" s="725" t="s">
        <v>378</v>
      </c>
      <c r="C75" s="725">
        <f>+C60+C63+C64+C65+C66+C67+C68</f>
        <v>7363</v>
      </c>
      <c r="D75" s="725">
        <f t="shared" ref="D75:O75" si="28">+D60+D63+D64+D65+D66+D67+D68</f>
        <v>0</v>
      </c>
      <c r="E75" s="725">
        <f t="shared" si="28"/>
        <v>0</v>
      </c>
      <c r="F75" s="725">
        <f t="shared" si="28"/>
        <v>1882</v>
      </c>
      <c r="G75" s="725">
        <f t="shared" si="28"/>
        <v>0</v>
      </c>
      <c r="H75" s="725">
        <f t="shared" si="28"/>
        <v>0</v>
      </c>
      <c r="I75" s="725">
        <f t="shared" si="28"/>
        <v>0</v>
      </c>
      <c r="J75" s="725">
        <f t="shared" si="28"/>
        <v>9245</v>
      </c>
      <c r="K75" s="725">
        <f t="shared" si="28"/>
        <v>0</v>
      </c>
      <c r="L75" s="725">
        <f t="shared" si="28"/>
        <v>9245</v>
      </c>
      <c r="M75" s="725">
        <f t="shared" si="28"/>
        <v>107747</v>
      </c>
      <c r="N75" s="725">
        <f t="shared" si="28"/>
        <v>244</v>
      </c>
      <c r="O75" s="725">
        <f t="shared" si="28"/>
        <v>117236</v>
      </c>
    </row>
    <row r="76" spans="1:16" ht="17.25" thickTop="1" thickBot="1" x14ac:dyDescent="0.3">
      <c r="A76" s="712"/>
      <c r="B76" s="725" t="s">
        <v>377</v>
      </c>
      <c r="C76" s="725">
        <f t="shared" ref="C76:O76" si="29">+C61+C70+C71+C72+C73</f>
        <v>0</v>
      </c>
      <c r="D76" s="725">
        <f t="shared" si="29"/>
        <v>0</v>
      </c>
      <c r="E76" s="725">
        <f t="shared" si="29"/>
        <v>0</v>
      </c>
      <c r="F76" s="725">
        <f t="shared" si="29"/>
        <v>0</v>
      </c>
      <c r="G76" s="725">
        <f t="shared" si="29"/>
        <v>0</v>
      </c>
      <c r="H76" s="725">
        <f t="shared" si="29"/>
        <v>0</v>
      </c>
      <c r="I76" s="725">
        <f t="shared" si="29"/>
        <v>0</v>
      </c>
      <c r="J76" s="725">
        <f t="shared" si="29"/>
        <v>0</v>
      </c>
      <c r="K76" s="725">
        <f t="shared" si="29"/>
        <v>0</v>
      </c>
      <c r="L76" s="725">
        <f t="shared" si="29"/>
        <v>0</v>
      </c>
      <c r="M76" s="725">
        <f t="shared" si="29"/>
        <v>2803</v>
      </c>
      <c r="N76" s="725">
        <f t="shared" si="29"/>
        <v>0</v>
      </c>
      <c r="O76" s="725">
        <f t="shared" si="29"/>
        <v>2803</v>
      </c>
    </row>
    <row r="77" spans="1:16" ht="16.5" thickTop="1" x14ac:dyDescent="0.25">
      <c r="A77" s="716" t="s">
        <v>148</v>
      </c>
      <c r="B77" s="717" t="s">
        <v>406</v>
      </c>
      <c r="C77" s="717"/>
      <c r="D77" s="717"/>
      <c r="E77" s="717"/>
      <c r="F77" s="717"/>
      <c r="G77" s="717"/>
      <c r="H77" s="717"/>
      <c r="I77" s="717"/>
      <c r="J77" s="717"/>
      <c r="K77" s="717"/>
      <c r="L77" s="717"/>
      <c r="M77" s="717"/>
      <c r="N77" s="717"/>
      <c r="O77" s="717"/>
    </row>
    <row r="78" spans="1:16" x14ac:dyDescent="0.25">
      <c r="A78" s="716"/>
      <c r="B78" s="718" t="s">
        <v>347</v>
      </c>
      <c r="C78" s="718">
        <f>SUM(C79:C80)</f>
        <v>6608</v>
      </c>
      <c r="D78" s="718"/>
      <c r="E78" s="718"/>
      <c r="F78" s="718">
        <f>SUM(F79:F80)</f>
        <v>2256</v>
      </c>
      <c r="G78" s="718"/>
      <c r="H78" s="718"/>
      <c r="I78" s="718"/>
      <c r="J78" s="718">
        <f>SUM(C78+E78+F78+H78)</f>
        <v>8864</v>
      </c>
      <c r="K78" s="718">
        <f>SUM(D78+G78+I78)</f>
        <v>0</v>
      </c>
      <c r="L78" s="718">
        <f>SUM(J78:K78)</f>
        <v>8864</v>
      </c>
      <c r="M78" s="718">
        <f>SUM(M79:M80)</f>
        <v>99189</v>
      </c>
      <c r="N78" s="718">
        <f>SUM(N79:N80)</f>
        <v>239</v>
      </c>
      <c r="O78" s="718">
        <f>SUM(L78:N78)</f>
        <v>108292</v>
      </c>
    </row>
    <row r="79" spans="1:16" s="722" customFormat="1" x14ac:dyDescent="0.25">
      <c r="A79" s="719"/>
      <c r="B79" s="720" t="s">
        <v>381</v>
      </c>
      <c r="C79" s="720">
        <v>6608</v>
      </c>
      <c r="D79" s="720"/>
      <c r="E79" s="720"/>
      <c r="F79" s="720">
        <v>2256</v>
      </c>
      <c r="G79" s="720"/>
      <c r="H79" s="720"/>
      <c r="I79" s="720"/>
      <c r="J79" s="721">
        <f>SUM(C79+E79+F79+H79)</f>
        <v>8864</v>
      </c>
      <c r="K79" s="721">
        <f>SUM(D79+G79+I79)</f>
        <v>0</v>
      </c>
      <c r="L79" s="721">
        <f>SUM(J79:K79)</f>
        <v>8864</v>
      </c>
      <c r="M79" s="721">
        <v>98011</v>
      </c>
      <c r="N79" s="721">
        <v>239</v>
      </c>
      <c r="O79" s="721">
        <f>SUM(L79:N79)</f>
        <v>107114</v>
      </c>
    </row>
    <row r="80" spans="1:16" s="722" customFormat="1" x14ac:dyDescent="0.25">
      <c r="A80" s="719"/>
      <c r="B80" s="720" t="s">
        <v>380</v>
      </c>
      <c r="C80" s="720"/>
      <c r="D80" s="720"/>
      <c r="E80" s="720"/>
      <c r="F80" s="720"/>
      <c r="G80" s="720"/>
      <c r="H80" s="720"/>
      <c r="I80" s="720"/>
      <c r="J80" s="721">
        <f>SUM(C80+E80+F80+H80)</f>
        <v>0</v>
      </c>
      <c r="K80" s="721">
        <f>SUM(D80+G80+I80)</f>
        <v>0</v>
      </c>
      <c r="L80" s="721">
        <f>SUM(J80:K80)</f>
        <v>0</v>
      </c>
      <c r="M80" s="721">
        <v>1178</v>
      </c>
      <c r="N80" s="721"/>
      <c r="O80" s="721">
        <f>SUM(L80:N80)</f>
        <v>1178</v>
      </c>
    </row>
    <row r="81" spans="1:16" s="722" customFormat="1" x14ac:dyDescent="0.25">
      <c r="A81" s="719"/>
      <c r="B81" s="720" t="s">
        <v>131</v>
      </c>
      <c r="C81" s="723"/>
      <c r="D81" s="723"/>
      <c r="E81" s="723"/>
      <c r="F81" s="723"/>
      <c r="G81" s="723"/>
      <c r="H81" s="723"/>
      <c r="I81" s="723"/>
      <c r="J81" s="723"/>
      <c r="K81" s="723"/>
      <c r="L81" s="723"/>
      <c r="M81" s="723"/>
      <c r="N81" s="723"/>
      <c r="O81" s="723"/>
    </row>
    <row r="82" spans="1:16" s="722" customFormat="1" ht="31.5" x14ac:dyDescent="0.25">
      <c r="A82" s="732"/>
      <c r="B82" s="723" t="s">
        <v>1425</v>
      </c>
      <c r="C82" s="734"/>
      <c r="D82" s="734"/>
      <c r="E82" s="734"/>
      <c r="F82" s="734"/>
      <c r="G82" s="734"/>
      <c r="H82" s="734"/>
      <c r="I82" s="734"/>
      <c r="J82" s="734">
        <f t="shared" ref="J82:J91" si="30">SUM(C82+E82+F82+H82)</f>
        <v>0</v>
      </c>
      <c r="K82" s="734">
        <f t="shared" ref="K82:K91" si="31">SUM(D82+G82+I82)</f>
        <v>0</v>
      </c>
      <c r="L82" s="734">
        <f t="shared" ref="L82:L91" si="32">SUM(J82:K82)</f>
        <v>0</v>
      </c>
      <c r="M82" s="734">
        <v>88</v>
      </c>
      <c r="N82" s="734"/>
      <c r="O82" s="734">
        <f t="shared" ref="O82:O91" si="33">SUM(L82:N82)</f>
        <v>88</v>
      </c>
    </row>
    <row r="83" spans="1:16" s="722" customFormat="1" ht="48.75" customHeight="1" x14ac:dyDescent="0.25">
      <c r="A83" s="732"/>
      <c r="B83" s="723" t="s">
        <v>1429</v>
      </c>
      <c r="C83" s="723"/>
      <c r="D83" s="723"/>
      <c r="E83" s="723"/>
      <c r="F83" s="723"/>
      <c r="G83" s="723"/>
      <c r="H83" s="723"/>
      <c r="I83" s="723"/>
      <c r="J83" s="723">
        <f t="shared" si="30"/>
        <v>0</v>
      </c>
      <c r="K83" s="723">
        <f t="shared" si="31"/>
        <v>0</v>
      </c>
      <c r="L83" s="723">
        <f t="shared" si="32"/>
        <v>0</v>
      </c>
      <c r="M83" s="723">
        <v>1105</v>
      </c>
      <c r="N83" s="723"/>
      <c r="O83" s="723">
        <f t="shared" si="33"/>
        <v>1105</v>
      </c>
    </row>
    <row r="84" spans="1:16" s="722" customFormat="1" ht="69.75" customHeight="1" x14ac:dyDescent="0.25">
      <c r="A84" s="728"/>
      <c r="B84" s="724" t="s">
        <v>1333</v>
      </c>
      <c r="C84" s="731"/>
      <c r="D84" s="731"/>
      <c r="E84" s="731"/>
      <c r="F84" s="731"/>
      <c r="G84" s="731"/>
      <c r="H84" s="731"/>
      <c r="I84" s="731"/>
      <c r="J84" s="731">
        <f t="shared" si="30"/>
        <v>0</v>
      </c>
      <c r="K84" s="731">
        <f t="shared" si="31"/>
        <v>0</v>
      </c>
      <c r="L84" s="731">
        <f t="shared" si="32"/>
        <v>0</v>
      </c>
      <c r="M84" s="731">
        <v>405</v>
      </c>
      <c r="N84" s="731"/>
      <c r="O84" s="731">
        <f t="shared" si="33"/>
        <v>405</v>
      </c>
    </row>
    <row r="85" spans="1:16" s="722" customFormat="1" ht="31.5" x14ac:dyDescent="0.25">
      <c r="A85" s="728"/>
      <c r="B85" s="731" t="s">
        <v>1426</v>
      </c>
      <c r="C85" s="731"/>
      <c r="D85" s="731"/>
      <c r="E85" s="731"/>
      <c r="F85" s="731"/>
      <c r="G85" s="731"/>
      <c r="H85" s="731"/>
      <c r="I85" s="731"/>
      <c r="J85" s="731">
        <f t="shared" si="30"/>
        <v>0</v>
      </c>
      <c r="K85" s="731">
        <f t="shared" si="31"/>
        <v>0</v>
      </c>
      <c r="L85" s="731">
        <f t="shared" si="32"/>
        <v>0</v>
      </c>
      <c r="M85" s="731">
        <v>72</v>
      </c>
      <c r="N85" s="731"/>
      <c r="O85" s="731">
        <f t="shared" si="33"/>
        <v>72</v>
      </c>
    </row>
    <row r="86" spans="1:16" s="722" customFormat="1" ht="31.5" x14ac:dyDescent="0.25">
      <c r="A86" s="719"/>
      <c r="B86" s="723" t="s">
        <v>961</v>
      </c>
      <c r="C86" s="733"/>
      <c r="D86" s="733"/>
      <c r="E86" s="733"/>
      <c r="F86" s="733"/>
      <c r="G86" s="733"/>
      <c r="H86" s="733"/>
      <c r="I86" s="733"/>
      <c r="J86" s="733">
        <f t="shared" si="30"/>
        <v>0</v>
      </c>
      <c r="K86" s="733">
        <f t="shared" si="31"/>
        <v>0</v>
      </c>
      <c r="L86" s="733">
        <f t="shared" si="32"/>
        <v>0</v>
      </c>
      <c r="M86" s="733">
        <v>144</v>
      </c>
      <c r="N86" s="733"/>
      <c r="O86" s="733">
        <f t="shared" si="33"/>
        <v>144</v>
      </c>
    </row>
    <row r="87" spans="1:16" s="722" customFormat="1" x14ac:dyDescent="0.25">
      <c r="A87" s="719"/>
      <c r="B87" s="720" t="s">
        <v>132</v>
      </c>
      <c r="C87" s="723"/>
      <c r="D87" s="723"/>
      <c r="E87" s="723"/>
      <c r="F87" s="723"/>
      <c r="G87" s="723"/>
      <c r="H87" s="723"/>
      <c r="I87" s="723"/>
      <c r="J87" s="723"/>
      <c r="K87" s="723"/>
      <c r="L87" s="723"/>
      <c r="M87" s="723"/>
      <c r="N87" s="723"/>
      <c r="O87" s="723"/>
    </row>
    <row r="88" spans="1:16" s="722" customFormat="1" x14ac:dyDescent="0.25">
      <c r="A88" s="719"/>
      <c r="B88" s="723" t="s">
        <v>1330</v>
      </c>
      <c r="C88" s="723"/>
      <c r="D88" s="723"/>
      <c r="E88" s="723"/>
      <c r="F88" s="723"/>
      <c r="G88" s="723"/>
      <c r="H88" s="723"/>
      <c r="I88" s="723"/>
      <c r="J88" s="723">
        <f t="shared" si="30"/>
        <v>0</v>
      </c>
      <c r="K88" s="723">
        <f t="shared" si="31"/>
        <v>0</v>
      </c>
      <c r="L88" s="723">
        <f t="shared" si="32"/>
        <v>0</v>
      </c>
      <c r="M88" s="723">
        <v>551</v>
      </c>
      <c r="N88" s="723"/>
      <c r="O88" s="723">
        <f t="shared" si="33"/>
        <v>551</v>
      </c>
    </row>
    <row r="89" spans="1:16" s="722" customFormat="1" ht="78.75" x14ac:dyDescent="0.25">
      <c r="A89" s="719"/>
      <c r="B89" s="723" t="s">
        <v>1332</v>
      </c>
      <c r="C89" s="723"/>
      <c r="D89" s="723"/>
      <c r="E89" s="723"/>
      <c r="F89" s="723"/>
      <c r="G89" s="723"/>
      <c r="H89" s="723"/>
      <c r="I89" s="723"/>
      <c r="J89" s="723">
        <f t="shared" si="30"/>
        <v>0</v>
      </c>
      <c r="K89" s="723">
        <f t="shared" si="31"/>
        <v>0</v>
      </c>
      <c r="L89" s="723">
        <f t="shared" si="32"/>
        <v>0</v>
      </c>
      <c r="M89" s="723">
        <v>70</v>
      </c>
      <c r="N89" s="723"/>
      <c r="O89" s="723">
        <f t="shared" si="33"/>
        <v>70</v>
      </c>
    </row>
    <row r="90" spans="1:16" s="722" customFormat="1" ht="63" x14ac:dyDescent="0.25">
      <c r="A90" s="719"/>
      <c r="B90" s="723" t="s">
        <v>1430</v>
      </c>
      <c r="C90" s="723"/>
      <c r="D90" s="723"/>
      <c r="E90" s="723"/>
      <c r="F90" s="723"/>
      <c r="G90" s="723"/>
      <c r="H90" s="723"/>
      <c r="I90" s="723"/>
      <c r="J90" s="723">
        <f t="shared" si="30"/>
        <v>0</v>
      </c>
      <c r="K90" s="723">
        <f t="shared" si="31"/>
        <v>0</v>
      </c>
      <c r="L90" s="723">
        <f t="shared" si="32"/>
        <v>0</v>
      </c>
      <c r="M90" s="723">
        <v>202</v>
      </c>
      <c r="N90" s="723"/>
      <c r="O90" s="723">
        <f t="shared" si="33"/>
        <v>202</v>
      </c>
    </row>
    <row r="91" spans="1:16" s="722" customFormat="1" ht="95.25" thickBot="1" x14ac:dyDescent="0.3">
      <c r="A91" s="719"/>
      <c r="B91" s="723" t="s">
        <v>1431</v>
      </c>
      <c r="C91" s="723"/>
      <c r="D91" s="723"/>
      <c r="E91" s="723"/>
      <c r="F91" s="723"/>
      <c r="G91" s="723"/>
      <c r="H91" s="723"/>
      <c r="I91" s="723"/>
      <c r="J91" s="723">
        <f t="shared" si="30"/>
        <v>0</v>
      </c>
      <c r="K91" s="723">
        <f t="shared" si="31"/>
        <v>0</v>
      </c>
      <c r="L91" s="723">
        <f t="shared" si="32"/>
        <v>0</v>
      </c>
      <c r="M91" s="723">
        <v>855</v>
      </c>
      <c r="N91" s="723"/>
      <c r="O91" s="723">
        <f t="shared" si="33"/>
        <v>855</v>
      </c>
    </row>
    <row r="92" spans="1:16" ht="17.25" thickTop="1" thickBot="1" x14ac:dyDescent="0.3">
      <c r="A92" s="712"/>
      <c r="B92" s="725" t="s">
        <v>379</v>
      </c>
      <c r="C92" s="725">
        <f>+C78+C82+C88+C83+C84+C85+C86+C89+C90+C91</f>
        <v>6608</v>
      </c>
      <c r="D92" s="725">
        <f t="shared" ref="D92:O92" si="34">+D78+D82+D88+D83+D84+D85+D86+D89+D90+D91</f>
        <v>0</v>
      </c>
      <c r="E92" s="725">
        <f t="shared" si="34"/>
        <v>0</v>
      </c>
      <c r="F92" s="725">
        <f t="shared" si="34"/>
        <v>2256</v>
      </c>
      <c r="G92" s="725">
        <f t="shared" si="34"/>
        <v>0</v>
      </c>
      <c r="H92" s="725">
        <f t="shared" si="34"/>
        <v>0</v>
      </c>
      <c r="I92" s="725">
        <f t="shared" si="34"/>
        <v>0</v>
      </c>
      <c r="J92" s="725">
        <f t="shared" si="34"/>
        <v>8864</v>
      </c>
      <c r="K92" s="725">
        <f t="shared" si="34"/>
        <v>0</v>
      </c>
      <c r="L92" s="725">
        <f t="shared" si="34"/>
        <v>8864</v>
      </c>
      <c r="M92" s="725">
        <f t="shared" si="34"/>
        <v>102681</v>
      </c>
      <c r="N92" s="725">
        <f t="shared" si="34"/>
        <v>239</v>
      </c>
      <c r="O92" s="725">
        <f t="shared" si="34"/>
        <v>111784</v>
      </c>
      <c r="P92" s="703">
        <f>O93+O94</f>
        <v>111784</v>
      </c>
    </row>
    <row r="93" spans="1:16" ht="17.25" thickTop="1" thickBot="1" x14ac:dyDescent="0.3">
      <c r="A93" s="712"/>
      <c r="B93" s="725" t="s">
        <v>378</v>
      </c>
      <c r="C93" s="725">
        <f>+C79+C82+C83+C84+C85+C86</f>
        <v>6608</v>
      </c>
      <c r="D93" s="725">
        <f t="shared" ref="D93:O93" si="35">+D79+D82+D83+D84+D85+D86</f>
        <v>0</v>
      </c>
      <c r="E93" s="725">
        <f t="shared" si="35"/>
        <v>0</v>
      </c>
      <c r="F93" s="725">
        <f t="shared" si="35"/>
        <v>2256</v>
      </c>
      <c r="G93" s="725">
        <f t="shared" si="35"/>
        <v>0</v>
      </c>
      <c r="H93" s="725">
        <f t="shared" si="35"/>
        <v>0</v>
      </c>
      <c r="I93" s="725">
        <f t="shared" si="35"/>
        <v>0</v>
      </c>
      <c r="J93" s="725">
        <f t="shared" si="35"/>
        <v>8864</v>
      </c>
      <c r="K93" s="725">
        <f t="shared" si="35"/>
        <v>0</v>
      </c>
      <c r="L93" s="725">
        <f t="shared" si="35"/>
        <v>8864</v>
      </c>
      <c r="M93" s="725">
        <f t="shared" si="35"/>
        <v>99825</v>
      </c>
      <c r="N93" s="725">
        <f t="shared" si="35"/>
        <v>239</v>
      </c>
      <c r="O93" s="725">
        <f t="shared" si="35"/>
        <v>108928</v>
      </c>
    </row>
    <row r="94" spans="1:16" ht="17.25" thickTop="1" thickBot="1" x14ac:dyDescent="0.3">
      <c r="A94" s="712"/>
      <c r="B94" s="725" t="s">
        <v>377</v>
      </c>
      <c r="C94" s="725">
        <f t="shared" ref="C94:O94" si="36">+C80+C88+C89+C90+C91</f>
        <v>0</v>
      </c>
      <c r="D94" s="725">
        <f t="shared" si="36"/>
        <v>0</v>
      </c>
      <c r="E94" s="725">
        <f t="shared" si="36"/>
        <v>0</v>
      </c>
      <c r="F94" s="725">
        <f t="shared" si="36"/>
        <v>0</v>
      </c>
      <c r="G94" s="725">
        <f t="shared" si="36"/>
        <v>0</v>
      </c>
      <c r="H94" s="725">
        <f t="shared" si="36"/>
        <v>0</v>
      </c>
      <c r="I94" s="725">
        <f t="shared" si="36"/>
        <v>0</v>
      </c>
      <c r="J94" s="725">
        <f t="shared" si="36"/>
        <v>0</v>
      </c>
      <c r="K94" s="725">
        <f t="shared" si="36"/>
        <v>0</v>
      </c>
      <c r="L94" s="725">
        <f t="shared" si="36"/>
        <v>0</v>
      </c>
      <c r="M94" s="725">
        <f t="shared" si="36"/>
        <v>2856</v>
      </c>
      <c r="N94" s="725">
        <f t="shared" si="36"/>
        <v>0</v>
      </c>
      <c r="O94" s="725">
        <f t="shared" si="36"/>
        <v>2856</v>
      </c>
    </row>
    <row r="95" spans="1:16" ht="16.5" thickTop="1" x14ac:dyDescent="0.25">
      <c r="A95" s="716" t="s">
        <v>149</v>
      </c>
      <c r="B95" s="717" t="s">
        <v>405</v>
      </c>
      <c r="C95" s="717"/>
      <c r="D95" s="717"/>
      <c r="E95" s="717"/>
      <c r="F95" s="717"/>
      <c r="G95" s="717"/>
      <c r="H95" s="717"/>
      <c r="I95" s="717"/>
      <c r="J95" s="717"/>
      <c r="K95" s="717"/>
      <c r="L95" s="717"/>
      <c r="M95" s="717"/>
      <c r="N95" s="717"/>
      <c r="O95" s="717"/>
    </row>
    <row r="96" spans="1:16" x14ac:dyDescent="0.25">
      <c r="A96" s="716"/>
      <c r="B96" s="718" t="s">
        <v>347</v>
      </c>
      <c r="C96" s="718">
        <f>SUM(C97:C98)</f>
        <v>3719</v>
      </c>
      <c r="D96" s="718"/>
      <c r="E96" s="718"/>
      <c r="F96" s="718">
        <f>SUM(F97:F98)</f>
        <v>470</v>
      </c>
      <c r="G96" s="718"/>
      <c r="H96" s="718"/>
      <c r="I96" s="718"/>
      <c r="J96" s="718">
        <f>SUM(C96+E96+F96+H96)</f>
        <v>4189</v>
      </c>
      <c r="K96" s="718">
        <f>SUM(D96+G96+I96)</f>
        <v>0</v>
      </c>
      <c r="L96" s="718">
        <f>SUM(J96:K96)</f>
        <v>4189</v>
      </c>
      <c r="M96" s="718">
        <f>SUM(M97:M98)</f>
        <v>58989</v>
      </c>
      <c r="N96" s="718">
        <f>SUM(N97:N98)</f>
        <v>327</v>
      </c>
      <c r="O96" s="718">
        <f>SUM(L96:N96)</f>
        <v>63505</v>
      </c>
    </row>
    <row r="97" spans="1:16" s="722" customFormat="1" x14ac:dyDescent="0.25">
      <c r="A97" s="719"/>
      <c r="B97" s="720" t="s">
        <v>381</v>
      </c>
      <c r="C97" s="720">
        <v>3719</v>
      </c>
      <c r="D97" s="720"/>
      <c r="E97" s="720"/>
      <c r="F97" s="720">
        <v>470</v>
      </c>
      <c r="G97" s="720"/>
      <c r="H97" s="720"/>
      <c r="I97" s="720"/>
      <c r="J97" s="721">
        <f>SUM(C97+E97+F97+H97)</f>
        <v>4189</v>
      </c>
      <c r="K97" s="721">
        <f>SUM(D97+G97+I97)</f>
        <v>0</v>
      </c>
      <c r="L97" s="721">
        <f>SUM(J97:K97)</f>
        <v>4189</v>
      </c>
      <c r="M97" s="721">
        <v>58363</v>
      </c>
      <c r="N97" s="721">
        <v>327</v>
      </c>
      <c r="O97" s="721">
        <f>SUM(L97:N97)</f>
        <v>62879</v>
      </c>
    </row>
    <row r="98" spans="1:16" s="722" customFormat="1" x14ac:dyDescent="0.25">
      <c r="A98" s="719"/>
      <c r="B98" s="720" t="s">
        <v>380</v>
      </c>
      <c r="C98" s="720"/>
      <c r="D98" s="720"/>
      <c r="E98" s="720"/>
      <c r="F98" s="720"/>
      <c r="G98" s="720"/>
      <c r="H98" s="720"/>
      <c r="I98" s="720"/>
      <c r="J98" s="721">
        <f>SUM(C98+E98+F98+H98)</f>
        <v>0</v>
      </c>
      <c r="K98" s="721">
        <f>SUM(D98+G98+I98)</f>
        <v>0</v>
      </c>
      <c r="L98" s="721">
        <f>SUM(J98:K98)</f>
        <v>0</v>
      </c>
      <c r="M98" s="721">
        <v>626</v>
      </c>
      <c r="N98" s="721"/>
      <c r="O98" s="721">
        <f>SUM(L98:N98)</f>
        <v>626</v>
      </c>
    </row>
    <row r="99" spans="1:16" s="722" customFormat="1" x14ac:dyDescent="0.25">
      <c r="A99" s="719"/>
      <c r="B99" s="720" t="s">
        <v>131</v>
      </c>
      <c r="C99" s="723"/>
      <c r="D99" s="723"/>
      <c r="E99" s="723"/>
      <c r="F99" s="723"/>
      <c r="G99" s="723"/>
      <c r="H99" s="723"/>
      <c r="I99" s="723"/>
      <c r="J99" s="723"/>
      <c r="K99" s="723"/>
      <c r="L99" s="723"/>
      <c r="M99" s="723"/>
      <c r="N99" s="723"/>
      <c r="O99" s="723"/>
    </row>
    <row r="100" spans="1:16" s="722" customFormat="1" ht="31.5" x14ac:dyDescent="0.25">
      <c r="A100" s="719"/>
      <c r="B100" s="723" t="s">
        <v>1425</v>
      </c>
      <c r="C100" s="723"/>
      <c r="D100" s="723"/>
      <c r="E100" s="723"/>
      <c r="F100" s="723"/>
      <c r="G100" s="723"/>
      <c r="H100" s="723"/>
      <c r="I100" s="723"/>
      <c r="J100" s="723">
        <f t="shared" ref="J100:J109" si="37">SUM(C100+E100+F100+H100)</f>
        <v>0</v>
      </c>
      <c r="K100" s="723">
        <f t="shared" ref="K100:K109" si="38">SUM(D100+G100+I100)</f>
        <v>0</v>
      </c>
      <c r="L100" s="723">
        <f t="shared" ref="L100:L109" si="39">SUM(J100:K100)</f>
        <v>0</v>
      </c>
      <c r="M100" s="723">
        <v>55</v>
      </c>
      <c r="N100" s="723"/>
      <c r="O100" s="723">
        <f t="shared" ref="O100:O109" si="40">SUM(L100:N100)</f>
        <v>55</v>
      </c>
    </row>
    <row r="101" spans="1:16" s="722" customFormat="1" ht="51.75" customHeight="1" x14ac:dyDescent="0.25">
      <c r="A101" s="719"/>
      <c r="B101" s="723" t="s">
        <v>1429</v>
      </c>
      <c r="C101" s="723"/>
      <c r="D101" s="723"/>
      <c r="E101" s="723"/>
      <c r="F101" s="723"/>
      <c r="G101" s="723"/>
      <c r="H101" s="723"/>
      <c r="I101" s="723"/>
      <c r="J101" s="723">
        <f t="shared" si="37"/>
        <v>0</v>
      </c>
      <c r="K101" s="723">
        <f t="shared" si="38"/>
        <v>0</v>
      </c>
      <c r="L101" s="723">
        <f t="shared" si="39"/>
        <v>0</v>
      </c>
      <c r="M101" s="723">
        <v>651</v>
      </c>
      <c r="N101" s="723"/>
      <c r="O101" s="723">
        <f t="shared" si="40"/>
        <v>651</v>
      </c>
    </row>
    <row r="102" spans="1:16" s="722" customFormat="1" ht="67.5" customHeight="1" x14ac:dyDescent="0.25">
      <c r="A102" s="728"/>
      <c r="B102" s="724" t="s">
        <v>1333</v>
      </c>
      <c r="C102" s="731"/>
      <c r="D102" s="731"/>
      <c r="E102" s="731"/>
      <c r="F102" s="731"/>
      <c r="G102" s="731"/>
      <c r="H102" s="731"/>
      <c r="I102" s="731"/>
      <c r="J102" s="731">
        <f t="shared" si="37"/>
        <v>0</v>
      </c>
      <c r="K102" s="731">
        <f t="shared" si="38"/>
        <v>0</v>
      </c>
      <c r="L102" s="731">
        <f t="shared" si="39"/>
        <v>0</v>
      </c>
      <c r="M102" s="731">
        <v>152</v>
      </c>
      <c r="N102" s="731"/>
      <c r="O102" s="731">
        <f t="shared" si="40"/>
        <v>152</v>
      </c>
    </row>
    <row r="103" spans="1:16" s="722" customFormat="1" ht="31.5" x14ac:dyDescent="0.25">
      <c r="A103" s="719"/>
      <c r="B103" s="723" t="s">
        <v>961</v>
      </c>
      <c r="C103" s="723"/>
      <c r="D103" s="723"/>
      <c r="E103" s="723"/>
      <c r="F103" s="723"/>
      <c r="G103" s="723"/>
      <c r="H103" s="723"/>
      <c r="I103" s="723"/>
      <c r="J103" s="723">
        <f t="shared" si="37"/>
        <v>0</v>
      </c>
      <c r="K103" s="723">
        <f t="shared" si="38"/>
        <v>0</v>
      </c>
      <c r="L103" s="723">
        <f t="shared" si="39"/>
        <v>0</v>
      </c>
      <c r="M103" s="723">
        <v>7</v>
      </c>
      <c r="N103" s="723"/>
      <c r="O103" s="723">
        <f t="shared" si="40"/>
        <v>7</v>
      </c>
    </row>
    <row r="104" spans="1:16" s="722" customFormat="1" x14ac:dyDescent="0.25">
      <c r="A104" s="719"/>
      <c r="B104" s="720" t="s">
        <v>492</v>
      </c>
      <c r="C104" s="723"/>
      <c r="D104" s="723"/>
      <c r="E104" s="723"/>
      <c r="F104" s="723"/>
      <c r="G104" s="723"/>
      <c r="H104" s="723"/>
      <c r="I104" s="723"/>
      <c r="J104" s="723"/>
      <c r="K104" s="723"/>
      <c r="L104" s="723"/>
      <c r="M104" s="723"/>
      <c r="N104" s="723"/>
      <c r="O104" s="723"/>
    </row>
    <row r="105" spans="1:16" s="722" customFormat="1" x14ac:dyDescent="0.25">
      <c r="A105" s="719"/>
      <c r="B105" s="723" t="s">
        <v>1330</v>
      </c>
      <c r="C105" s="723"/>
      <c r="D105" s="723"/>
      <c r="E105" s="723"/>
      <c r="F105" s="723"/>
      <c r="G105" s="723"/>
      <c r="H105" s="723"/>
      <c r="I105" s="723"/>
      <c r="J105" s="723">
        <f t="shared" si="37"/>
        <v>0</v>
      </c>
      <c r="K105" s="723">
        <f t="shared" si="38"/>
        <v>0</v>
      </c>
      <c r="L105" s="723">
        <f t="shared" si="39"/>
        <v>0</v>
      </c>
      <c r="M105" s="723">
        <v>313</v>
      </c>
      <c r="N105" s="723"/>
      <c r="O105" s="723">
        <f t="shared" si="40"/>
        <v>313</v>
      </c>
    </row>
    <row r="106" spans="1:16" s="722" customFormat="1" ht="78.75" x14ac:dyDescent="0.25">
      <c r="A106" s="719"/>
      <c r="B106" s="723" t="s">
        <v>1332</v>
      </c>
      <c r="C106" s="723"/>
      <c r="D106" s="723"/>
      <c r="E106" s="723"/>
      <c r="F106" s="723"/>
      <c r="G106" s="723"/>
      <c r="H106" s="723"/>
      <c r="I106" s="723"/>
      <c r="J106" s="723">
        <f t="shared" si="37"/>
        <v>0</v>
      </c>
      <c r="K106" s="723">
        <f t="shared" si="38"/>
        <v>0</v>
      </c>
      <c r="L106" s="723">
        <f t="shared" si="39"/>
        <v>0</v>
      </c>
      <c r="M106" s="723">
        <v>20</v>
      </c>
      <c r="N106" s="723"/>
      <c r="O106" s="723">
        <f t="shared" si="40"/>
        <v>20</v>
      </c>
    </row>
    <row r="107" spans="1:16" s="722" customFormat="1" ht="63" x14ac:dyDescent="0.25">
      <c r="A107" s="931"/>
      <c r="B107" s="731" t="s">
        <v>1430</v>
      </c>
      <c r="C107" s="731"/>
      <c r="D107" s="731"/>
      <c r="E107" s="731"/>
      <c r="F107" s="731"/>
      <c r="G107" s="731"/>
      <c r="H107" s="731"/>
      <c r="I107" s="731"/>
      <c r="J107" s="731">
        <f t="shared" si="37"/>
        <v>0</v>
      </c>
      <c r="K107" s="731">
        <f t="shared" si="38"/>
        <v>0</v>
      </c>
      <c r="L107" s="731">
        <f t="shared" si="39"/>
        <v>0</v>
      </c>
      <c r="M107" s="731">
        <v>76</v>
      </c>
      <c r="N107" s="731"/>
      <c r="O107" s="731">
        <f t="shared" si="40"/>
        <v>76</v>
      </c>
    </row>
    <row r="108" spans="1:16" s="722" customFormat="1" ht="78.75" x14ac:dyDescent="0.25">
      <c r="A108" s="931"/>
      <c r="B108" s="731" t="s">
        <v>1334</v>
      </c>
      <c r="C108" s="731"/>
      <c r="D108" s="731"/>
      <c r="E108" s="731"/>
      <c r="F108" s="731"/>
      <c r="G108" s="731"/>
      <c r="H108" s="731"/>
      <c r="I108" s="731"/>
      <c r="J108" s="731">
        <f t="shared" si="37"/>
        <v>0</v>
      </c>
      <c r="K108" s="731">
        <f t="shared" si="38"/>
        <v>0</v>
      </c>
      <c r="L108" s="731">
        <f t="shared" si="39"/>
        <v>0</v>
      </c>
      <c r="M108" s="731">
        <v>100</v>
      </c>
      <c r="N108" s="731"/>
      <c r="O108" s="731">
        <f t="shared" si="40"/>
        <v>100</v>
      </c>
    </row>
    <row r="109" spans="1:16" s="722" customFormat="1" ht="95.25" thickBot="1" x14ac:dyDescent="0.3">
      <c r="A109" s="719"/>
      <c r="B109" s="723" t="s">
        <v>1431</v>
      </c>
      <c r="C109" s="723"/>
      <c r="D109" s="723"/>
      <c r="E109" s="723"/>
      <c r="F109" s="723"/>
      <c r="G109" s="723"/>
      <c r="H109" s="723"/>
      <c r="I109" s="723"/>
      <c r="J109" s="723">
        <f t="shared" si="37"/>
        <v>0</v>
      </c>
      <c r="K109" s="723">
        <f t="shared" si="38"/>
        <v>0</v>
      </c>
      <c r="L109" s="723">
        <f t="shared" si="39"/>
        <v>0</v>
      </c>
      <c r="M109" s="723">
        <v>489</v>
      </c>
      <c r="N109" s="723"/>
      <c r="O109" s="723">
        <f t="shared" si="40"/>
        <v>489</v>
      </c>
    </row>
    <row r="110" spans="1:16" ht="17.25" thickTop="1" thickBot="1" x14ac:dyDescent="0.3">
      <c r="A110" s="712"/>
      <c r="B110" s="725" t="s">
        <v>379</v>
      </c>
      <c r="C110" s="725">
        <f>+C96+C100+C105+C101+C102+C103+C106+C107+C108+C109</f>
        <v>3719</v>
      </c>
      <c r="D110" s="725">
        <f t="shared" ref="D110:O110" si="41">+D96+D100+D105+D101+D102+D103+D106+D107+D108+D109</f>
        <v>0</v>
      </c>
      <c r="E110" s="725">
        <f t="shared" si="41"/>
        <v>0</v>
      </c>
      <c r="F110" s="725">
        <f t="shared" si="41"/>
        <v>470</v>
      </c>
      <c r="G110" s="725">
        <f t="shared" si="41"/>
        <v>0</v>
      </c>
      <c r="H110" s="725">
        <f t="shared" si="41"/>
        <v>0</v>
      </c>
      <c r="I110" s="725">
        <f t="shared" si="41"/>
        <v>0</v>
      </c>
      <c r="J110" s="725">
        <f t="shared" si="41"/>
        <v>4189</v>
      </c>
      <c r="K110" s="725">
        <f t="shared" si="41"/>
        <v>0</v>
      </c>
      <c r="L110" s="725">
        <f t="shared" si="41"/>
        <v>4189</v>
      </c>
      <c r="M110" s="725">
        <f t="shared" si="41"/>
        <v>60852</v>
      </c>
      <c r="N110" s="725">
        <f t="shared" si="41"/>
        <v>327</v>
      </c>
      <c r="O110" s="725">
        <f t="shared" si="41"/>
        <v>65368</v>
      </c>
      <c r="P110" s="703">
        <f>O111+O112</f>
        <v>65368</v>
      </c>
    </row>
    <row r="111" spans="1:16" ht="17.25" thickTop="1" thickBot="1" x14ac:dyDescent="0.3">
      <c r="A111" s="712"/>
      <c r="B111" s="725" t="s">
        <v>378</v>
      </c>
      <c r="C111" s="725">
        <f>+C97+C100+C101+C102+C103</f>
        <v>3719</v>
      </c>
      <c r="D111" s="725">
        <f t="shared" ref="D111:O111" si="42">+D97+D100+D101+D102+D103</f>
        <v>0</v>
      </c>
      <c r="E111" s="725">
        <f t="shared" si="42"/>
        <v>0</v>
      </c>
      <c r="F111" s="725">
        <f t="shared" si="42"/>
        <v>470</v>
      </c>
      <c r="G111" s="725">
        <f t="shared" si="42"/>
        <v>0</v>
      </c>
      <c r="H111" s="725">
        <f t="shared" si="42"/>
        <v>0</v>
      </c>
      <c r="I111" s="725">
        <f t="shared" si="42"/>
        <v>0</v>
      </c>
      <c r="J111" s="725">
        <f t="shared" si="42"/>
        <v>4189</v>
      </c>
      <c r="K111" s="725">
        <f t="shared" si="42"/>
        <v>0</v>
      </c>
      <c r="L111" s="725">
        <f t="shared" si="42"/>
        <v>4189</v>
      </c>
      <c r="M111" s="725">
        <f t="shared" si="42"/>
        <v>59228</v>
      </c>
      <c r="N111" s="725">
        <f t="shared" si="42"/>
        <v>327</v>
      </c>
      <c r="O111" s="725">
        <f t="shared" si="42"/>
        <v>63744</v>
      </c>
    </row>
    <row r="112" spans="1:16" ht="17.25" thickTop="1" thickBot="1" x14ac:dyDescent="0.3">
      <c r="A112" s="712"/>
      <c r="B112" s="725" t="s">
        <v>377</v>
      </c>
      <c r="C112" s="725">
        <f t="shared" ref="C112:O112" si="43">+C98+C105+C106+C107+C108+C109</f>
        <v>0</v>
      </c>
      <c r="D112" s="725">
        <f t="shared" si="43"/>
        <v>0</v>
      </c>
      <c r="E112" s="725">
        <f t="shared" si="43"/>
        <v>0</v>
      </c>
      <c r="F112" s="725">
        <f t="shared" si="43"/>
        <v>0</v>
      </c>
      <c r="G112" s="725">
        <f t="shared" si="43"/>
        <v>0</v>
      </c>
      <c r="H112" s="725">
        <f t="shared" si="43"/>
        <v>0</v>
      </c>
      <c r="I112" s="725">
        <f t="shared" si="43"/>
        <v>0</v>
      </c>
      <c r="J112" s="725">
        <f t="shared" si="43"/>
        <v>0</v>
      </c>
      <c r="K112" s="725">
        <f t="shared" si="43"/>
        <v>0</v>
      </c>
      <c r="L112" s="725">
        <f t="shared" si="43"/>
        <v>0</v>
      </c>
      <c r="M112" s="725">
        <f t="shared" si="43"/>
        <v>1624</v>
      </c>
      <c r="N112" s="725">
        <f t="shared" si="43"/>
        <v>0</v>
      </c>
      <c r="O112" s="725">
        <f t="shared" si="43"/>
        <v>1624</v>
      </c>
    </row>
    <row r="113" spans="1:15" ht="16.5" thickTop="1" x14ac:dyDescent="0.25">
      <c r="A113" s="716" t="s">
        <v>150</v>
      </c>
      <c r="B113" s="717" t="s">
        <v>790</v>
      </c>
      <c r="C113" s="717"/>
      <c r="D113" s="717"/>
      <c r="E113" s="717"/>
      <c r="F113" s="717"/>
      <c r="G113" s="717"/>
      <c r="H113" s="717"/>
      <c r="I113" s="717"/>
      <c r="J113" s="717"/>
      <c r="K113" s="717"/>
      <c r="L113" s="717"/>
      <c r="M113" s="717"/>
      <c r="N113" s="717"/>
      <c r="O113" s="717"/>
    </row>
    <row r="114" spans="1:15" x14ac:dyDescent="0.25">
      <c r="A114" s="716"/>
      <c r="B114" s="718" t="s">
        <v>347</v>
      </c>
      <c r="C114" s="718">
        <f>SUM(C115:C116)</f>
        <v>7680</v>
      </c>
      <c r="D114" s="718"/>
      <c r="E114" s="718"/>
      <c r="F114" s="718">
        <f>SUM(F115:F116)</f>
        <v>1361</v>
      </c>
      <c r="G114" s="718"/>
      <c r="H114" s="718"/>
      <c r="I114" s="718"/>
      <c r="J114" s="718">
        <f>SUM(C114+E114+F114+H114)</f>
        <v>9041</v>
      </c>
      <c r="K114" s="718">
        <f>SUM(D114+G114+I114)</f>
        <v>0</v>
      </c>
      <c r="L114" s="718">
        <f>SUM(J114:K114)</f>
        <v>9041</v>
      </c>
      <c r="M114" s="718">
        <f>SUM(M115:M116)</f>
        <v>131312</v>
      </c>
      <c r="N114" s="718">
        <f>SUM(N115:N116)</f>
        <v>590</v>
      </c>
      <c r="O114" s="718">
        <f>SUM(L114:N114)</f>
        <v>140943</v>
      </c>
    </row>
    <row r="115" spans="1:15" s="722" customFormat="1" x14ac:dyDescent="0.25">
      <c r="A115" s="719"/>
      <c r="B115" s="720" t="s">
        <v>381</v>
      </c>
      <c r="C115" s="720">
        <v>7680</v>
      </c>
      <c r="D115" s="720"/>
      <c r="E115" s="720"/>
      <c r="F115" s="720">
        <v>1361</v>
      </c>
      <c r="G115" s="720"/>
      <c r="H115" s="720"/>
      <c r="I115" s="720"/>
      <c r="J115" s="721">
        <f>SUM(C115+E115+F115+H115)</f>
        <v>9041</v>
      </c>
      <c r="K115" s="721">
        <f>SUM(D115+G115+I115)</f>
        <v>0</v>
      </c>
      <c r="L115" s="721">
        <f>SUM(J115:K115)</f>
        <v>9041</v>
      </c>
      <c r="M115" s="721">
        <v>129946</v>
      </c>
      <c r="N115" s="721">
        <v>590</v>
      </c>
      <c r="O115" s="721">
        <f>SUM(L115:N115)</f>
        <v>139577</v>
      </c>
    </row>
    <row r="116" spans="1:15" s="722" customFormat="1" x14ac:dyDescent="0.25">
      <c r="A116" s="719"/>
      <c r="B116" s="720" t="s">
        <v>380</v>
      </c>
      <c r="C116" s="720"/>
      <c r="D116" s="720"/>
      <c r="E116" s="720"/>
      <c r="F116" s="720"/>
      <c r="G116" s="720"/>
      <c r="H116" s="720"/>
      <c r="I116" s="720"/>
      <c r="J116" s="721">
        <f>SUM(C116+E116+F116+H116)</f>
        <v>0</v>
      </c>
      <c r="K116" s="721">
        <f>SUM(D116+G116+I116)</f>
        <v>0</v>
      </c>
      <c r="L116" s="721">
        <f>SUM(J116:K116)</f>
        <v>0</v>
      </c>
      <c r="M116" s="721">
        <v>1366</v>
      </c>
      <c r="N116" s="721"/>
      <c r="O116" s="721">
        <f>SUM(L116:N116)</f>
        <v>1366</v>
      </c>
    </row>
    <row r="117" spans="1:15" s="722" customFormat="1" x14ac:dyDescent="0.25">
      <c r="A117" s="719"/>
      <c r="B117" s="720" t="s">
        <v>131</v>
      </c>
      <c r="C117" s="723"/>
      <c r="D117" s="723"/>
      <c r="E117" s="723"/>
      <c r="F117" s="723"/>
      <c r="G117" s="723"/>
      <c r="H117" s="723"/>
      <c r="I117" s="723"/>
      <c r="J117" s="723"/>
      <c r="K117" s="723"/>
      <c r="L117" s="723"/>
      <c r="M117" s="723"/>
      <c r="N117" s="723"/>
      <c r="O117" s="723"/>
    </row>
    <row r="118" spans="1:15" s="722" customFormat="1" ht="31.5" x14ac:dyDescent="0.25">
      <c r="A118" s="719"/>
      <c r="B118" s="723" t="s">
        <v>1425</v>
      </c>
      <c r="C118" s="723"/>
      <c r="D118" s="723"/>
      <c r="E118" s="723"/>
      <c r="F118" s="723"/>
      <c r="G118" s="723"/>
      <c r="H118" s="723"/>
      <c r="I118" s="723"/>
      <c r="J118" s="723">
        <f t="shared" ref="J118:J128" si="44">SUM(C118+E118+F118+H118)</f>
        <v>0</v>
      </c>
      <c r="K118" s="723">
        <f t="shared" ref="K118:K128" si="45">SUM(D118+G118+I118)</f>
        <v>0</v>
      </c>
      <c r="L118" s="723">
        <f t="shared" ref="L118:L128" si="46">SUM(J118:K118)</f>
        <v>0</v>
      </c>
      <c r="M118" s="723">
        <v>692</v>
      </c>
      <c r="N118" s="723"/>
      <c r="O118" s="723">
        <f t="shared" ref="O118:O128" si="47">SUM(L118:N118)</f>
        <v>692</v>
      </c>
    </row>
    <row r="119" spans="1:15" s="722" customFormat="1" ht="51.75" customHeight="1" x14ac:dyDescent="0.25">
      <c r="A119" s="719"/>
      <c r="B119" s="723" t="s">
        <v>1429</v>
      </c>
      <c r="C119" s="723"/>
      <c r="D119" s="723"/>
      <c r="E119" s="723"/>
      <c r="F119" s="723"/>
      <c r="G119" s="723"/>
      <c r="H119" s="723"/>
      <c r="I119" s="723"/>
      <c r="J119" s="723">
        <f t="shared" si="44"/>
        <v>0</v>
      </c>
      <c r="K119" s="723">
        <f t="shared" si="45"/>
        <v>0</v>
      </c>
      <c r="L119" s="723">
        <f t="shared" si="46"/>
        <v>0</v>
      </c>
      <c r="M119" s="723">
        <v>1172</v>
      </c>
      <c r="N119" s="723"/>
      <c r="O119" s="723">
        <f t="shared" si="47"/>
        <v>1172</v>
      </c>
    </row>
    <row r="120" spans="1:15" s="722" customFormat="1" ht="63" x14ac:dyDescent="0.25">
      <c r="A120" s="719"/>
      <c r="B120" s="723" t="s">
        <v>1326</v>
      </c>
      <c r="C120" s="723"/>
      <c r="D120" s="723"/>
      <c r="E120" s="723"/>
      <c r="F120" s="723"/>
      <c r="G120" s="723"/>
      <c r="H120" s="723"/>
      <c r="I120" s="723"/>
      <c r="J120" s="723">
        <f t="shared" si="44"/>
        <v>0</v>
      </c>
      <c r="K120" s="723">
        <f t="shared" si="45"/>
        <v>0</v>
      </c>
      <c r="L120" s="723">
        <f t="shared" si="46"/>
        <v>0</v>
      </c>
      <c r="M120" s="723">
        <v>529</v>
      </c>
      <c r="N120" s="723"/>
      <c r="O120" s="723">
        <f t="shared" si="47"/>
        <v>529</v>
      </c>
    </row>
    <row r="121" spans="1:15" s="722" customFormat="1" ht="69.75" customHeight="1" x14ac:dyDescent="0.25">
      <c r="A121" s="728"/>
      <c r="B121" s="724" t="s">
        <v>1333</v>
      </c>
      <c r="C121" s="731"/>
      <c r="D121" s="731"/>
      <c r="E121" s="731"/>
      <c r="F121" s="731"/>
      <c r="G121" s="731"/>
      <c r="H121" s="731"/>
      <c r="I121" s="731"/>
      <c r="J121" s="731">
        <f t="shared" si="44"/>
        <v>0</v>
      </c>
      <c r="K121" s="731">
        <f t="shared" si="45"/>
        <v>0</v>
      </c>
      <c r="L121" s="731">
        <f t="shared" si="46"/>
        <v>0</v>
      </c>
      <c r="M121" s="731">
        <v>735</v>
      </c>
      <c r="N121" s="731"/>
      <c r="O121" s="731">
        <f t="shared" si="47"/>
        <v>735</v>
      </c>
    </row>
    <row r="122" spans="1:15" s="722" customFormat="1" ht="31.5" x14ac:dyDescent="0.25">
      <c r="A122" s="719"/>
      <c r="B122" s="731" t="s">
        <v>1426</v>
      </c>
      <c r="C122" s="723"/>
      <c r="D122" s="723"/>
      <c r="E122" s="723"/>
      <c r="F122" s="723"/>
      <c r="G122" s="723"/>
      <c r="H122" s="723"/>
      <c r="I122" s="723"/>
      <c r="J122" s="723">
        <f t="shared" si="44"/>
        <v>0</v>
      </c>
      <c r="K122" s="723">
        <f t="shared" si="45"/>
        <v>0</v>
      </c>
      <c r="L122" s="723">
        <f t="shared" si="46"/>
        <v>0</v>
      </c>
      <c r="M122" s="723">
        <v>524</v>
      </c>
      <c r="N122" s="723"/>
      <c r="O122" s="723">
        <f t="shared" si="47"/>
        <v>524</v>
      </c>
    </row>
    <row r="123" spans="1:15" s="722" customFormat="1" ht="31.5" x14ac:dyDescent="0.25">
      <c r="A123" s="719"/>
      <c r="B123" s="723" t="s">
        <v>961</v>
      </c>
      <c r="C123" s="723"/>
      <c r="D123" s="723"/>
      <c r="E123" s="723"/>
      <c r="F123" s="723"/>
      <c r="G123" s="723"/>
      <c r="H123" s="723"/>
      <c r="I123" s="723"/>
      <c r="J123" s="723">
        <f t="shared" si="44"/>
        <v>0</v>
      </c>
      <c r="K123" s="723">
        <f t="shared" si="45"/>
        <v>0</v>
      </c>
      <c r="L123" s="723">
        <f t="shared" si="46"/>
        <v>0</v>
      </c>
      <c r="M123" s="723">
        <v>67</v>
      </c>
      <c r="N123" s="723"/>
      <c r="O123" s="723">
        <f t="shared" si="47"/>
        <v>67</v>
      </c>
    </row>
    <row r="124" spans="1:15" s="722" customFormat="1" x14ac:dyDescent="0.25">
      <c r="A124" s="719"/>
      <c r="B124" s="720" t="s">
        <v>132</v>
      </c>
      <c r="C124" s="723"/>
      <c r="D124" s="723"/>
      <c r="E124" s="723"/>
      <c r="F124" s="723"/>
      <c r="G124" s="723"/>
      <c r="H124" s="723"/>
      <c r="I124" s="723"/>
      <c r="J124" s="723"/>
      <c r="K124" s="723"/>
      <c r="L124" s="723"/>
      <c r="M124" s="723"/>
      <c r="N124" s="723"/>
      <c r="O124" s="723"/>
    </row>
    <row r="125" spans="1:15" s="722" customFormat="1" x14ac:dyDescent="0.25">
      <c r="A125" s="719"/>
      <c r="B125" s="723" t="s">
        <v>1330</v>
      </c>
      <c r="C125" s="723"/>
      <c r="D125" s="723"/>
      <c r="E125" s="723"/>
      <c r="F125" s="723"/>
      <c r="G125" s="723"/>
      <c r="H125" s="723"/>
      <c r="I125" s="723"/>
      <c r="J125" s="723">
        <f t="shared" si="44"/>
        <v>0</v>
      </c>
      <c r="K125" s="723">
        <f t="shared" si="45"/>
        <v>0</v>
      </c>
      <c r="L125" s="723">
        <f t="shared" si="46"/>
        <v>0</v>
      </c>
      <c r="M125" s="723">
        <v>663</v>
      </c>
      <c r="N125" s="723"/>
      <c r="O125" s="723">
        <f t="shared" si="47"/>
        <v>663</v>
      </c>
    </row>
    <row r="126" spans="1:15" s="722" customFormat="1" ht="78.75" x14ac:dyDescent="0.25">
      <c r="A126" s="719"/>
      <c r="B126" s="723" t="s">
        <v>1332</v>
      </c>
      <c r="C126" s="723"/>
      <c r="D126" s="723"/>
      <c r="E126" s="723"/>
      <c r="F126" s="723"/>
      <c r="G126" s="723"/>
      <c r="H126" s="723"/>
      <c r="I126" s="723"/>
      <c r="J126" s="723">
        <f t="shared" si="44"/>
        <v>0</v>
      </c>
      <c r="K126" s="723">
        <f t="shared" si="45"/>
        <v>0</v>
      </c>
      <c r="L126" s="723">
        <f t="shared" si="46"/>
        <v>0</v>
      </c>
      <c r="M126" s="723">
        <v>20</v>
      </c>
      <c r="N126" s="723"/>
      <c r="O126" s="723">
        <f t="shared" si="47"/>
        <v>20</v>
      </c>
    </row>
    <row r="127" spans="1:15" s="722" customFormat="1" ht="63" x14ac:dyDescent="0.25">
      <c r="A127" s="719"/>
      <c r="B127" s="723" t="s">
        <v>1430</v>
      </c>
      <c r="C127" s="723"/>
      <c r="D127" s="723"/>
      <c r="E127" s="723"/>
      <c r="F127" s="723"/>
      <c r="G127" s="723"/>
      <c r="H127" s="723"/>
      <c r="I127" s="723"/>
      <c r="J127" s="723">
        <f t="shared" si="44"/>
        <v>0</v>
      </c>
      <c r="K127" s="723">
        <f t="shared" si="45"/>
        <v>0</v>
      </c>
      <c r="L127" s="723">
        <f t="shared" si="46"/>
        <v>0</v>
      </c>
      <c r="M127" s="723">
        <v>367</v>
      </c>
      <c r="N127" s="723"/>
      <c r="O127" s="723">
        <f t="shared" si="47"/>
        <v>367</v>
      </c>
    </row>
    <row r="128" spans="1:15" s="722" customFormat="1" ht="95.25" thickBot="1" x14ac:dyDescent="0.3">
      <c r="A128" s="719"/>
      <c r="B128" s="723" t="s">
        <v>1431</v>
      </c>
      <c r="C128" s="723"/>
      <c r="D128" s="723"/>
      <c r="E128" s="723"/>
      <c r="F128" s="723"/>
      <c r="G128" s="723"/>
      <c r="H128" s="723"/>
      <c r="I128" s="723"/>
      <c r="J128" s="723">
        <f t="shared" si="44"/>
        <v>0</v>
      </c>
      <c r="K128" s="723">
        <f t="shared" si="45"/>
        <v>0</v>
      </c>
      <c r="L128" s="723">
        <f t="shared" si="46"/>
        <v>0</v>
      </c>
      <c r="M128" s="723">
        <v>1043</v>
      </c>
      <c r="N128" s="723"/>
      <c r="O128" s="723">
        <f t="shared" si="47"/>
        <v>1043</v>
      </c>
    </row>
    <row r="129" spans="1:16" ht="17.25" thickTop="1" thickBot="1" x14ac:dyDescent="0.3">
      <c r="A129" s="712"/>
      <c r="B129" s="725" t="s">
        <v>379</v>
      </c>
      <c r="C129" s="725">
        <f>+C114+C118+C125+C119+C120+C121+C122+C123+C126+C127+C128</f>
        <v>7680</v>
      </c>
      <c r="D129" s="725">
        <f t="shared" ref="D129:O129" si="48">+D114+D118+D125+D119+D120+D121+D122+D123+D126+D127+D128</f>
        <v>0</v>
      </c>
      <c r="E129" s="725">
        <f t="shared" si="48"/>
        <v>0</v>
      </c>
      <c r="F129" s="725">
        <f t="shared" si="48"/>
        <v>1361</v>
      </c>
      <c r="G129" s="725">
        <f t="shared" si="48"/>
        <v>0</v>
      </c>
      <c r="H129" s="725">
        <f t="shared" si="48"/>
        <v>0</v>
      </c>
      <c r="I129" s="725">
        <f t="shared" si="48"/>
        <v>0</v>
      </c>
      <c r="J129" s="725">
        <f t="shared" si="48"/>
        <v>9041</v>
      </c>
      <c r="K129" s="725">
        <f t="shared" si="48"/>
        <v>0</v>
      </c>
      <c r="L129" s="725">
        <f t="shared" si="48"/>
        <v>9041</v>
      </c>
      <c r="M129" s="725">
        <f t="shared" si="48"/>
        <v>137124</v>
      </c>
      <c r="N129" s="725">
        <f t="shared" si="48"/>
        <v>590</v>
      </c>
      <c r="O129" s="725">
        <f t="shared" si="48"/>
        <v>146755</v>
      </c>
      <c r="P129" s="703">
        <f>O130+O131</f>
        <v>146755</v>
      </c>
    </row>
    <row r="130" spans="1:16" ht="17.25" thickTop="1" thickBot="1" x14ac:dyDescent="0.3">
      <c r="A130" s="712"/>
      <c r="B130" s="725" t="s">
        <v>378</v>
      </c>
      <c r="C130" s="725">
        <f>+C115+C118+C119+C120+C121+C122+C123</f>
        <v>7680</v>
      </c>
      <c r="D130" s="725">
        <f t="shared" ref="D130:O130" si="49">+D115+D118+D119+D120+D121+D122+D123</f>
        <v>0</v>
      </c>
      <c r="E130" s="725">
        <f t="shared" si="49"/>
        <v>0</v>
      </c>
      <c r="F130" s="725">
        <f t="shared" si="49"/>
        <v>1361</v>
      </c>
      <c r="G130" s="725">
        <f t="shared" si="49"/>
        <v>0</v>
      </c>
      <c r="H130" s="725">
        <f t="shared" si="49"/>
        <v>0</v>
      </c>
      <c r="I130" s="725">
        <f t="shared" si="49"/>
        <v>0</v>
      </c>
      <c r="J130" s="725">
        <f t="shared" si="49"/>
        <v>9041</v>
      </c>
      <c r="K130" s="725">
        <f t="shared" si="49"/>
        <v>0</v>
      </c>
      <c r="L130" s="725">
        <f t="shared" si="49"/>
        <v>9041</v>
      </c>
      <c r="M130" s="725">
        <f t="shared" si="49"/>
        <v>133665</v>
      </c>
      <c r="N130" s="725">
        <f t="shared" si="49"/>
        <v>590</v>
      </c>
      <c r="O130" s="725">
        <f t="shared" si="49"/>
        <v>143296</v>
      </c>
    </row>
    <row r="131" spans="1:16" ht="17.25" thickTop="1" thickBot="1" x14ac:dyDescent="0.3">
      <c r="A131" s="712"/>
      <c r="B131" s="725" t="s">
        <v>377</v>
      </c>
      <c r="C131" s="725">
        <f t="shared" ref="C131:O131" si="50">+C116+C125+C126+C127+C128</f>
        <v>0</v>
      </c>
      <c r="D131" s="725">
        <f t="shared" si="50"/>
        <v>0</v>
      </c>
      <c r="E131" s="725">
        <f t="shared" si="50"/>
        <v>0</v>
      </c>
      <c r="F131" s="725">
        <f t="shared" si="50"/>
        <v>0</v>
      </c>
      <c r="G131" s="725">
        <f t="shared" si="50"/>
        <v>0</v>
      </c>
      <c r="H131" s="725">
        <f t="shared" si="50"/>
        <v>0</v>
      </c>
      <c r="I131" s="725">
        <f t="shared" si="50"/>
        <v>0</v>
      </c>
      <c r="J131" s="725">
        <f t="shared" si="50"/>
        <v>0</v>
      </c>
      <c r="K131" s="725">
        <f t="shared" si="50"/>
        <v>0</v>
      </c>
      <c r="L131" s="725">
        <f t="shared" si="50"/>
        <v>0</v>
      </c>
      <c r="M131" s="725">
        <f t="shared" si="50"/>
        <v>3459</v>
      </c>
      <c r="N131" s="725">
        <f t="shared" si="50"/>
        <v>0</v>
      </c>
      <c r="O131" s="725">
        <f t="shared" si="50"/>
        <v>3459</v>
      </c>
    </row>
    <row r="132" spans="1:16" ht="16.5" thickTop="1" x14ac:dyDescent="0.25">
      <c r="A132" s="716" t="s">
        <v>151</v>
      </c>
      <c r="B132" s="717" t="s">
        <v>791</v>
      </c>
      <c r="C132" s="717"/>
      <c r="D132" s="717"/>
      <c r="E132" s="717"/>
      <c r="F132" s="717"/>
      <c r="G132" s="717"/>
      <c r="H132" s="717"/>
      <c r="I132" s="717"/>
      <c r="J132" s="717"/>
      <c r="K132" s="717"/>
      <c r="L132" s="717"/>
      <c r="M132" s="717"/>
      <c r="N132" s="717"/>
      <c r="O132" s="717"/>
    </row>
    <row r="133" spans="1:16" x14ac:dyDescent="0.25">
      <c r="A133" s="716"/>
      <c r="B133" s="718" t="s">
        <v>347</v>
      </c>
      <c r="C133" s="718">
        <f>SUM(C134:C135)</f>
        <v>6905</v>
      </c>
      <c r="D133" s="718"/>
      <c r="E133" s="718"/>
      <c r="F133" s="718">
        <f>SUM(F134:F135)</f>
        <v>1844</v>
      </c>
      <c r="G133" s="718"/>
      <c r="H133" s="718"/>
      <c r="I133" s="718"/>
      <c r="J133" s="718">
        <f>SUM(C133+E133+F133+H133)</f>
        <v>8749</v>
      </c>
      <c r="K133" s="718">
        <f>SUM(D133+G133+I133)</f>
        <v>0</v>
      </c>
      <c r="L133" s="718">
        <f>SUM(J133:K133)</f>
        <v>8749</v>
      </c>
      <c r="M133" s="718">
        <f>SUM(M134:M135)</f>
        <v>100218</v>
      </c>
      <c r="N133" s="718">
        <f>SUM(N134:N135)</f>
        <v>645</v>
      </c>
      <c r="O133" s="718">
        <f>SUM(L133:N133)</f>
        <v>109612</v>
      </c>
    </row>
    <row r="134" spans="1:16" s="722" customFormat="1" x14ac:dyDescent="0.25">
      <c r="A134" s="728"/>
      <c r="B134" s="729" t="s">
        <v>381</v>
      </c>
      <c r="C134" s="729">
        <v>6905</v>
      </c>
      <c r="D134" s="729"/>
      <c r="E134" s="729"/>
      <c r="F134" s="729">
        <v>1844</v>
      </c>
      <c r="G134" s="729"/>
      <c r="H134" s="729"/>
      <c r="I134" s="729"/>
      <c r="J134" s="730">
        <f>SUM(C134+E134+F134+H134)</f>
        <v>8749</v>
      </c>
      <c r="K134" s="730">
        <f>SUM(D134+G134+I134)</f>
        <v>0</v>
      </c>
      <c r="L134" s="730">
        <f>SUM(J134:K134)</f>
        <v>8749</v>
      </c>
      <c r="M134" s="730">
        <v>99053</v>
      </c>
      <c r="N134" s="730">
        <v>645</v>
      </c>
      <c r="O134" s="730">
        <f>SUM(L134:N134)</f>
        <v>108447</v>
      </c>
    </row>
    <row r="135" spans="1:16" s="722" customFormat="1" x14ac:dyDescent="0.25">
      <c r="A135" s="728"/>
      <c r="B135" s="729" t="s">
        <v>380</v>
      </c>
      <c r="C135" s="729"/>
      <c r="D135" s="729"/>
      <c r="E135" s="729"/>
      <c r="F135" s="729"/>
      <c r="G135" s="729"/>
      <c r="H135" s="729"/>
      <c r="I135" s="729"/>
      <c r="J135" s="730">
        <f>SUM(C135+E135+F135+H135)</f>
        <v>0</v>
      </c>
      <c r="K135" s="730">
        <f>SUM(D135+G135+I135)</f>
        <v>0</v>
      </c>
      <c r="L135" s="730">
        <f>SUM(J135:K135)</f>
        <v>0</v>
      </c>
      <c r="M135" s="730">
        <v>1165</v>
      </c>
      <c r="N135" s="730"/>
      <c r="O135" s="730">
        <f>SUM(L135:N135)</f>
        <v>1165</v>
      </c>
    </row>
    <row r="136" spans="1:16" s="722" customFormat="1" x14ac:dyDescent="0.25">
      <c r="A136" s="728"/>
      <c r="B136" s="729" t="s">
        <v>131</v>
      </c>
      <c r="C136" s="731"/>
      <c r="D136" s="731"/>
      <c r="E136" s="731"/>
      <c r="F136" s="731"/>
      <c r="G136" s="731"/>
      <c r="H136" s="731"/>
      <c r="I136" s="731"/>
      <c r="J136" s="731"/>
      <c r="K136" s="731"/>
      <c r="L136" s="731"/>
      <c r="M136" s="731"/>
      <c r="N136" s="731"/>
      <c r="O136" s="731"/>
    </row>
    <row r="137" spans="1:16" s="722" customFormat="1" ht="31.5" x14ac:dyDescent="0.25">
      <c r="A137" s="728"/>
      <c r="B137" s="723" t="s">
        <v>1425</v>
      </c>
      <c r="C137" s="731"/>
      <c r="D137" s="731"/>
      <c r="E137" s="731"/>
      <c r="F137" s="731"/>
      <c r="G137" s="731"/>
      <c r="H137" s="731"/>
      <c r="I137" s="731"/>
      <c r="J137" s="731">
        <f t="shared" ref="J137:J145" si="51">SUM(C137+E137+F137+H137)</f>
        <v>0</v>
      </c>
      <c r="K137" s="731">
        <f t="shared" ref="K137:K145" si="52">SUM(D137+G137+I137)</f>
        <v>0</v>
      </c>
      <c r="L137" s="731">
        <f t="shared" ref="L137:L145" si="53">SUM(J137:K137)</f>
        <v>0</v>
      </c>
      <c r="M137" s="731">
        <v>101</v>
      </c>
      <c r="N137" s="731"/>
      <c r="O137" s="731">
        <f t="shared" ref="O137:O145" si="54">SUM(L137:N137)</f>
        <v>101</v>
      </c>
    </row>
    <row r="138" spans="1:16" s="722" customFormat="1" ht="54" customHeight="1" x14ac:dyDescent="0.25">
      <c r="A138" s="728"/>
      <c r="B138" s="731" t="s">
        <v>1429</v>
      </c>
      <c r="C138" s="731"/>
      <c r="D138" s="731"/>
      <c r="E138" s="731"/>
      <c r="F138" s="731"/>
      <c r="G138" s="731"/>
      <c r="H138" s="731"/>
      <c r="I138" s="731"/>
      <c r="J138" s="731">
        <f t="shared" si="51"/>
        <v>0</v>
      </c>
      <c r="K138" s="731">
        <f t="shared" si="52"/>
        <v>0</v>
      </c>
      <c r="L138" s="731">
        <f t="shared" si="53"/>
        <v>0</v>
      </c>
      <c r="M138" s="731">
        <v>1530</v>
      </c>
      <c r="N138" s="731"/>
      <c r="O138" s="731">
        <f t="shared" si="54"/>
        <v>1530</v>
      </c>
    </row>
    <row r="139" spans="1:16" s="722" customFormat="1" ht="69.75" customHeight="1" x14ac:dyDescent="0.25">
      <c r="A139" s="728"/>
      <c r="B139" s="772" t="s">
        <v>1333</v>
      </c>
      <c r="C139" s="731"/>
      <c r="D139" s="731"/>
      <c r="E139" s="731"/>
      <c r="F139" s="731"/>
      <c r="G139" s="731"/>
      <c r="H139" s="731"/>
      <c r="I139" s="731"/>
      <c r="J139" s="731">
        <f t="shared" si="51"/>
        <v>0</v>
      </c>
      <c r="K139" s="731">
        <f t="shared" si="52"/>
        <v>0</v>
      </c>
      <c r="L139" s="731">
        <f t="shared" si="53"/>
        <v>0</v>
      </c>
      <c r="M139" s="731">
        <v>388</v>
      </c>
      <c r="N139" s="731"/>
      <c r="O139" s="731">
        <f t="shared" si="54"/>
        <v>388</v>
      </c>
    </row>
    <row r="140" spans="1:16" s="722" customFormat="1" ht="31.5" x14ac:dyDescent="0.25">
      <c r="A140" s="728"/>
      <c r="B140" s="723" t="s">
        <v>961</v>
      </c>
      <c r="C140" s="731"/>
      <c r="D140" s="731"/>
      <c r="E140" s="731"/>
      <c r="F140" s="731"/>
      <c r="G140" s="731"/>
      <c r="H140" s="731"/>
      <c r="I140" s="731"/>
      <c r="J140" s="731">
        <f t="shared" si="51"/>
        <v>0</v>
      </c>
      <c r="K140" s="731">
        <f t="shared" si="52"/>
        <v>0</v>
      </c>
      <c r="L140" s="731">
        <f t="shared" si="53"/>
        <v>0</v>
      </c>
      <c r="M140" s="731">
        <v>308</v>
      </c>
      <c r="N140" s="731"/>
      <c r="O140" s="731">
        <f t="shared" si="54"/>
        <v>308</v>
      </c>
    </row>
    <row r="141" spans="1:16" s="722" customFormat="1" x14ac:dyDescent="0.25">
      <c r="A141" s="728"/>
      <c r="B141" s="729" t="s">
        <v>132</v>
      </c>
      <c r="C141" s="731"/>
      <c r="D141" s="731"/>
      <c r="E141" s="731"/>
      <c r="F141" s="731"/>
      <c r="G141" s="731"/>
      <c r="H141" s="731"/>
      <c r="I141" s="731"/>
      <c r="J141" s="731"/>
      <c r="K141" s="731"/>
      <c r="L141" s="731"/>
      <c r="M141" s="731"/>
      <c r="N141" s="731"/>
      <c r="O141" s="731"/>
    </row>
    <row r="142" spans="1:16" s="722" customFormat="1" x14ac:dyDescent="0.25">
      <c r="A142" s="728"/>
      <c r="B142" s="723" t="s">
        <v>1330</v>
      </c>
      <c r="C142" s="731"/>
      <c r="D142" s="731"/>
      <c r="E142" s="731"/>
      <c r="F142" s="731"/>
      <c r="G142" s="731"/>
      <c r="H142" s="731"/>
      <c r="I142" s="731"/>
      <c r="J142" s="731">
        <f t="shared" si="51"/>
        <v>0</v>
      </c>
      <c r="K142" s="731">
        <f t="shared" si="52"/>
        <v>0</v>
      </c>
      <c r="L142" s="731">
        <f t="shared" si="53"/>
        <v>0</v>
      </c>
      <c r="M142" s="731">
        <v>568</v>
      </c>
      <c r="N142" s="731"/>
      <c r="O142" s="731">
        <f t="shared" si="54"/>
        <v>568</v>
      </c>
    </row>
    <row r="143" spans="1:16" s="722" customFormat="1" ht="78.75" x14ac:dyDescent="0.25">
      <c r="A143" s="728"/>
      <c r="B143" s="723" t="s">
        <v>1332</v>
      </c>
      <c r="C143" s="731"/>
      <c r="D143" s="731"/>
      <c r="E143" s="731"/>
      <c r="F143" s="731"/>
      <c r="G143" s="731"/>
      <c r="H143" s="731"/>
      <c r="I143" s="731"/>
      <c r="J143" s="731">
        <f t="shared" si="51"/>
        <v>0</v>
      </c>
      <c r="K143" s="731">
        <f t="shared" si="52"/>
        <v>0</v>
      </c>
      <c r="L143" s="731">
        <f t="shared" si="53"/>
        <v>0</v>
      </c>
      <c r="M143" s="731">
        <v>20</v>
      </c>
      <c r="N143" s="731"/>
      <c r="O143" s="731">
        <f t="shared" si="54"/>
        <v>20</v>
      </c>
    </row>
    <row r="144" spans="1:16" s="722" customFormat="1" ht="63" x14ac:dyDescent="0.25">
      <c r="A144" s="728"/>
      <c r="B144" s="723" t="s">
        <v>1430</v>
      </c>
      <c r="C144" s="731"/>
      <c r="D144" s="731"/>
      <c r="E144" s="731"/>
      <c r="F144" s="731"/>
      <c r="G144" s="731"/>
      <c r="H144" s="731"/>
      <c r="I144" s="731"/>
      <c r="J144" s="731">
        <f t="shared" si="51"/>
        <v>0</v>
      </c>
      <c r="K144" s="731">
        <f t="shared" si="52"/>
        <v>0</v>
      </c>
      <c r="L144" s="731">
        <f t="shared" si="53"/>
        <v>0</v>
      </c>
      <c r="M144" s="731">
        <v>194</v>
      </c>
      <c r="N144" s="731"/>
      <c r="O144" s="731">
        <f t="shared" si="54"/>
        <v>194</v>
      </c>
    </row>
    <row r="145" spans="1:16" s="722" customFormat="1" ht="95.25" thickBot="1" x14ac:dyDescent="0.3">
      <c r="A145" s="732"/>
      <c r="B145" s="723" t="s">
        <v>1431</v>
      </c>
      <c r="C145" s="733"/>
      <c r="D145" s="733"/>
      <c r="E145" s="733"/>
      <c r="F145" s="733"/>
      <c r="G145" s="733"/>
      <c r="H145" s="733"/>
      <c r="I145" s="733"/>
      <c r="J145" s="731">
        <f t="shared" si="51"/>
        <v>0</v>
      </c>
      <c r="K145" s="731">
        <f t="shared" si="52"/>
        <v>0</v>
      </c>
      <c r="L145" s="731">
        <f t="shared" si="53"/>
        <v>0</v>
      </c>
      <c r="M145" s="733">
        <v>856</v>
      </c>
      <c r="N145" s="733"/>
      <c r="O145" s="731">
        <f t="shared" si="54"/>
        <v>856</v>
      </c>
    </row>
    <row r="146" spans="1:16" ht="17.25" thickTop="1" thickBot="1" x14ac:dyDescent="0.3">
      <c r="A146" s="712"/>
      <c r="B146" s="725" t="s">
        <v>379</v>
      </c>
      <c r="C146" s="725">
        <f>+C133+C137+C142+C138+C139+C140+C143+C144+C145</f>
        <v>6905</v>
      </c>
      <c r="D146" s="725">
        <f t="shared" ref="D146:O146" si="55">+D133+D137+D142+D138+D139+D140+D143+D144+D145</f>
        <v>0</v>
      </c>
      <c r="E146" s="725">
        <f t="shared" si="55"/>
        <v>0</v>
      </c>
      <c r="F146" s="725">
        <f t="shared" si="55"/>
        <v>1844</v>
      </c>
      <c r="G146" s="725">
        <f t="shared" si="55"/>
        <v>0</v>
      </c>
      <c r="H146" s="725">
        <f t="shared" si="55"/>
        <v>0</v>
      </c>
      <c r="I146" s="725">
        <f t="shared" si="55"/>
        <v>0</v>
      </c>
      <c r="J146" s="725">
        <f t="shared" si="55"/>
        <v>8749</v>
      </c>
      <c r="K146" s="725">
        <f t="shared" si="55"/>
        <v>0</v>
      </c>
      <c r="L146" s="725">
        <f t="shared" si="55"/>
        <v>8749</v>
      </c>
      <c r="M146" s="725">
        <f t="shared" si="55"/>
        <v>104183</v>
      </c>
      <c r="N146" s="725">
        <f t="shared" si="55"/>
        <v>645</v>
      </c>
      <c r="O146" s="725">
        <f t="shared" si="55"/>
        <v>113577</v>
      </c>
      <c r="P146" s="703">
        <f>O147+O148</f>
        <v>113577</v>
      </c>
    </row>
    <row r="147" spans="1:16" ht="17.25" thickTop="1" thickBot="1" x14ac:dyDescent="0.3">
      <c r="A147" s="712"/>
      <c r="B147" s="725" t="s">
        <v>378</v>
      </c>
      <c r="C147" s="725">
        <f>+C134+C137+C138+C139+C140</f>
        <v>6905</v>
      </c>
      <c r="D147" s="725">
        <f t="shared" ref="D147:O147" si="56">+D134+D137+D138+D139+D140</f>
        <v>0</v>
      </c>
      <c r="E147" s="725">
        <f t="shared" si="56"/>
        <v>0</v>
      </c>
      <c r="F147" s="725">
        <f t="shared" si="56"/>
        <v>1844</v>
      </c>
      <c r="G147" s="725">
        <f t="shared" si="56"/>
        <v>0</v>
      </c>
      <c r="H147" s="725">
        <f t="shared" si="56"/>
        <v>0</v>
      </c>
      <c r="I147" s="725">
        <f t="shared" si="56"/>
        <v>0</v>
      </c>
      <c r="J147" s="725">
        <f t="shared" si="56"/>
        <v>8749</v>
      </c>
      <c r="K147" s="725">
        <f t="shared" si="56"/>
        <v>0</v>
      </c>
      <c r="L147" s="725">
        <f t="shared" si="56"/>
        <v>8749</v>
      </c>
      <c r="M147" s="725">
        <f t="shared" si="56"/>
        <v>101380</v>
      </c>
      <c r="N147" s="725">
        <f t="shared" si="56"/>
        <v>645</v>
      </c>
      <c r="O147" s="725">
        <f t="shared" si="56"/>
        <v>110774</v>
      </c>
    </row>
    <row r="148" spans="1:16" ht="17.25" thickTop="1" thickBot="1" x14ac:dyDescent="0.3">
      <c r="A148" s="712"/>
      <c r="B148" s="725" t="s">
        <v>377</v>
      </c>
      <c r="C148" s="725">
        <f t="shared" ref="C148:O148" si="57">+C135+C142+C143+C144+C145</f>
        <v>0</v>
      </c>
      <c r="D148" s="725">
        <f t="shared" si="57"/>
        <v>0</v>
      </c>
      <c r="E148" s="725">
        <f t="shared" si="57"/>
        <v>0</v>
      </c>
      <c r="F148" s="725">
        <f t="shared" si="57"/>
        <v>0</v>
      </c>
      <c r="G148" s="725">
        <f t="shared" si="57"/>
        <v>0</v>
      </c>
      <c r="H148" s="725">
        <f t="shared" si="57"/>
        <v>0</v>
      </c>
      <c r="I148" s="725">
        <f t="shared" si="57"/>
        <v>0</v>
      </c>
      <c r="J148" s="725">
        <f t="shared" si="57"/>
        <v>0</v>
      </c>
      <c r="K148" s="725">
        <f t="shared" si="57"/>
        <v>0</v>
      </c>
      <c r="L148" s="725">
        <f t="shared" si="57"/>
        <v>0</v>
      </c>
      <c r="M148" s="725">
        <f t="shared" si="57"/>
        <v>2803</v>
      </c>
      <c r="N148" s="725">
        <f t="shared" si="57"/>
        <v>0</v>
      </c>
      <c r="O148" s="725">
        <f t="shared" si="57"/>
        <v>2803</v>
      </c>
    </row>
    <row r="149" spans="1:16" ht="17.25" thickTop="1" thickBot="1" x14ac:dyDescent="0.3">
      <c r="A149" s="712"/>
      <c r="B149" s="725" t="s">
        <v>404</v>
      </c>
      <c r="C149" s="725">
        <f t="shared" ref="C149:O149" si="58">SUM(C55+C74+C92+C110+C129+C146)</f>
        <v>39549</v>
      </c>
      <c r="D149" s="725">
        <f t="shared" si="58"/>
        <v>0</v>
      </c>
      <c r="E149" s="725">
        <f t="shared" si="58"/>
        <v>0</v>
      </c>
      <c r="F149" s="725">
        <f t="shared" si="58"/>
        <v>9515</v>
      </c>
      <c r="G149" s="725">
        <f t="shared" si="58"/>
        <v>0</v>
      </c>
      <c r="H149" s="725">
        <f t="shared" si="58"/>
        <v>0</v>
      </c>
      <c r="I149" s="725">
        <f t="shared" si="58"/>
        <v>0</v>
      </c>
      <c r="J149" s="725">
        <f t="shared" si="58"/>
        <v>49064</v>
      </c>
      <c r="K149" s="725">
        <f t="shared" si="58"/>
        <v>0</v>
      </c>
      <c r="L149" s="725">
        <f t="shared" si="58"/>
        <v>49064</v>
      </c>
      <c r="M149" s="725">
        <f t="shared" si="58"/>
        <v>617701</v>
      </c>
      <c r="N149" s="725">
        <f t="shared" si="58"/>
        <v>2531</v>
      </c>
      <c r="O149" s="725">
        <f t="shared" si="58"/>
        <v>669296</v>
      </c>
    </row>
    <row r="150" spans="1:16" ht="16.5" thickTop="1" x14ac:dyDescent="0.25">
      <c r="A150" s="716" t="s">
        <v>152</v>
      </c>
      <c r="B150" s="717" t="s">
        <v>403</v>
      </c>
      <c r="C150" s="717"/>
      <c r="D150" s="717"/>
      <c r="E150" s="717"/>
      <c r="F150" s="717"/>
      <c r="G150" s="717"/>
      <c r="H150" s="717"/>
      <c r="I150" s="717"/>
      <c r="J150" s="717"/>
      <c r="K150" s="717"/>
      <c r="L150" s="717"/>
      <c r="M150" s="717"/>
      <c r="N150" s="717"/>
      <c r="O150" s="717"/>
    </row>
    <row r="151" spans="1:16" x14ac:dyDescent="0.25">
      <c r="A151" s="716"/>
      <c r="B151" s="718" t="s">
        <v>347</v>
      </c>
      <c r="C151" s="718">
        <f t="shared" ref="C151:E151" si="59">SUM(C152:C153)</f>
        <v>15230</v>
      </c>
      <c r="D151" s="718">
        <f t="shared" si="59"/>
        <v>0</v>
      </c>
      <c r="E151" s="718">
        <f t="shared" si="59"/>
        <v>0</v>
      </c>
      <c r="F151" s="718">
        <f>SUM(F152:F153)</f>
        <v>8814</v>
      </c>
      <c r="G151" s="718"/>
      <c r="H151" s="718"/>
      <c r="I151" s="718"/>
      <c r="J151" s="718">
        <f>SUM(C151+E151+F151+H151)</f>
        <v>24044</v>
      </c>
      <c r="K151" s="718">
        <f>SUM(D151+G151+I151)</f>
        <v>0</v>
      </c>
      <c r="L151" s="718">
        <f>SUM(J151:K151)</f>
        <v>24044</v>
      </c>
      <c r="M151" s="718">
        <f>SUM(M152:M153)</f>
        <v>249313</v>
      </c>
      <c r="N151" s="718">
        <f>SUM(N152:N153)</f>
        <v>2023</v>
      </c>
      <c r="O151" s="718">
        <f>SUM(L151:N151)</f>
        <v>275380</v>
      </c>
    </row>
    <row r="152" spans="1:16" s="722" customFormat="1" x14ac:dyDescent="0.25">
      <c r="A152" s="719"/>
      <c r="B152" s="720" t="s">
        <v>381</v>
      </c>
      <c r="C152" s="720">
        <v>15230</v>
      </c>
      <c r="D152" s="720"/>
      <c r="E152" s="720"/>
      <c r="F152" s="720">
        <v>8814</v>
      </c>
      <c r="G152" s="720"/>
      <c r="H152" s="720"/>
      <c r="I152" s="720"/>
      <c r="J152" s="721">
        <f>SUM(C152+E152+F152+H152)</f>
        <v>24044</v>
      </c>
      <c r="K152" s="721">
        <f>SUM(D152+G152+I152)</f>
        <v>0</v>
      </c>
      <c r="L152" s="721">
        <f>SUM(J152:K152)</f>
        <v>24044</v>
      </c>
      <c r="M152" s="721">
        <v>246840</v>
      </c>
      <c r="N152" s="721">
        <v>2023</v>
      </c>
      <c r="O152" s="721">
        <f>SUM(L152:N152)</f>
        <v>272907</v>
      </c>
    </row>
    <row r="153" spans="1:16" s="722" customFormat="1" x14ac:dyDescent="0.25">
      <c r="A153" s="728"/>
      <c r="B153" s="720" t="s">
        <v>380</v>
      </c>
      <c r="C153" s="720"/>
      <c r="D153" s="720"/>
      <c r="E153" s="720"/>
      <c r="F153" s="720"/>
      <c r="G153" s="720"/>
      <c r="H153" s="720"/>
      <c r="I153" s="720"/>
      <c r="J153" s="721">
        <f>SUM(C153+E153+F153+H153)</f>
        <v>0</v>
      </c>
      <c r="K153" s="721">
        <f>SUM(D153+G153+I153)</f>
        <v>0</v>
      </c>
      <c r="L153" s="721">
        <f>SUM(J153:K153)</f>
        <v>0</v>
      </c>
      <c r="M153" s="721">
        <v>2473</v>
      </c>
      <c r="N153" s="721"/>
      <c r="O153" s="721">
        <f>SUM(L153:N153)</f>
        <v>2473</v>
      </c>
    </row>
    <row r="154" spans="1:16" s="722" customFormat="1" x14ac:dyDescent="0.25">
      <c r="A154" s="728"/>
      <c r="B154" s="720" t="s">
        <v>131</v>
      </c>
      <c r="C154" s="723"/>
      <c r="D154" s="723"/>
      <c r="E154" s="723"/>
      <c r="F154" s="723"/>
      <c r="G154" s="723"/>
      <c r="H154" s="723"/>
      <c r="I154" s="723"/>
      <c r="J154" s="723"/>
      <c r="K154" s="723"/>
      <c r="L154" s="723"/>
      <c r="M154" s="723"/>
      <c r="N154" s="723"/>
      <c r="O154" s="723"/>
    </row>
    <row r="155" spans="1:16" s="722" customFormat="1" ht="31.5" x14ac:dyDescent="0.25">
      <c r="A155" s="728"/>
      <c r="B155" s="723" t="s">
        <v>1425</v>
      </c>
      <c r="C155" s="723"/>
      <c r="D155" s="723"/>
      <c r="E155" s="723"/>
      <c r="F155" s="723"/>
      <c r="G155" s="723"/>
      <c r="H155" s="723"/>
      <c r="I155" s="723"/>
      <c r="J155" s="723">
        <f t="shared" ref="J155:J164" si="60">SUM(C155+E155+F155+H155)</f>
        <v>0</v>
      </c>
      <c r="K155" s="723">
        <f t="shared" ref="K155:K164" si="61">SUM(D155+G155+I155)</f>
        <v>0</v>
      </c>
      <c r="L155" s="723">
        <f t="shared" ref="L155:L164" si="62">SUM(J155:K155)</f>
        <v>0</v>
      </c>
      <c r="M155" s="723">
        <v>7</v>
      </c>
      <c r="N155" s="723"/>
      <c r="O155" s="723">
        <f t="shared" ref="O155:O164" si="63">SUM(L155:N155)</f>
        <v>7</v>
      </c>
    </row>
    <row r="156" spans="1:16" s="722" customFormat="1" ht="66" customHeight="1" x14ac:dyDescent="0.25">
      <c r="A156" s="728"/>
      <c r="B156" s="724" t="s">
        <v>1337</v>
      </c>
      <c r="C156" s="723"/>
      <c r="D156" s="723"/>
      <c r="E156" s="723"/>
      <c r="F156" s="723"/>
      <c r="G156" s="723"/>
      <c r="H156" s="723"/>
      <c r="I156" s="723"/>
      <c r="J156" s="723">
        <f t="shared" si="60"/>
        <v>0</v>
      </c>
      <c r="K156" s="723">
        <f t="shared" si="61"/>
        <v>0</v>
      </c>
      <c r="L156" s="723">
        <f t="shared" si="62"/>
        <v>0</v>
      </c>
      <c r="M156" s="723">
        <v>5912</v>
      </c>
      <c r="N156" s="723"/>
      <c r="O156" s="723">
        <f t="shared" si="63"/>
        <v>5912</v>
      </c>
    </row>
    <row r="157" spans="1:16" s="722" customFormat="1" ht="31.5" x14ac:dyDescent="0.25">
      <c r="A157" s="728"/>
      <c r="B157" s="724" t="s">
        <v>1338</v>
      </c>
      <c r="C157" s="723"/>
      <c r="D157" s="723"/>
      <c r="E157" s="723"/>
      <c r="F157" s="723"/>
      <c r="G157" s="723"/>
      <c r="H157" s="723"/>
      <c r="I157" s="723"/>
      <c r="J157" s="723">
        <f t="shared" si="60"/>
        <v>0</v>
      </c>
      <c r="K157" s="723">
        <f t="shared" si="61"/>
        <v>0</v>
      </c>
      <c r="L157" s="723">
        <f t="shared" si="62"/>
        <v>0</v>
      </c>
      <c r="M157" s="723">
        <v>1899</v>
      </c>
      <c r="N157" s="723"/>
      <c r="O157" s="723">
        <f t="shared" si="63"/>
        <v>1899</v>
      </c>
    </row>
    <row r="158" spans="1:16" s="722" customFormat="1" ht="31.5" x14ac:dyDescent="0.25">
      <c r="A158" s="728"/>
      <c r="B158" s="723" t="s">
        <v>961</v>
      </c>
      <c r="C158" s="723"/>
      <c r="D158" s="723"/>
      <c r="E158" s="723"/>
      <c r="F158" s="723"/>
      <c r="G158" s="723"/>
      <c r="H158" s="723"/>
      <c r="I158" s="723"/>
      <c r="J158" s="723">
        <f t="shared" si="60"/>
        <v>0</v>
      </c>
      <c r="K158" s="723">
        <f t="shared" si="61"/>
        <v>0</v>
      </c>
      <c r="L158" s="723">
        <f t="shared" si="62"/>
        <v>0</v>
      </c>
      <c r="M158" s="723">
        <v>1502</v>
      </c>
      <c r="N158" s="723"/>
      <c r="O158" s="723">
        <f t="shared" si="63"/>
        <v>1502</v>
      </c>
    </row>
    <row r="159" spans="1:16" s="722" customFormat="1" x14ac:dyDescent="0.25">
      <c r="A159" s="728"/>
      <c r="B159" s="723" t="s">
        <v>1432</v>
      </c>
      <c r="C159" s="723"/>
      <c r="D159" s="723"/>
      <c r="E159" s="723"/>
      <c r="F159" s="723">
        <v>-207</v>
      </c>
      <c r="G159" s="723"/>
      <c r="H159" s="723"/>
      <c r="I159" s="723"/>
      <c r="J159" s="723">
        <f t="shared" si="60"/>
        <v>-207</v>
      </c>
      <c r="K159" s="723">
        <f t="shared" si="61"/>
        <v>0</v>
      </c>
      <c r="L159" s="723">
        <f t="shared" si="62"/>
        <v>-207</v>
      </c>
      <c r="M159" s="723">
        <v>-5824</v>
      </c>
      <c r="N159" s="723"/>
      <c r="O159" s="723">
        <f t="shared" si="63"/>
        <v>-6031</v>
      </c>
    </row>
    <row r="160" spans="1:16" s="722" customFormat="1" x14ac:dyDescent="0.25">
      <c r="A160" s="728"/>
      <c r="B160" s="720" t="s">
        <v>132</v>
      </c>
      <c r="C160" s="723"/>
      <c r="D160" s="723"/>
      <c r="E160" s="723"/>
      <c r="F160" s="723"/>
      <c r="G160" s="723"/>
      <c r="H160" s="723"/>
      <c r="I160" s="723"/>
      <c r="J160" s="723"/>
      <c r="K160" s="723"/>
      <c r="L160" s="723"/>
      <c r="M160" s="723"/>
      <c r="N160" s="723"/>
      <c r="O160" s="723"/>
    </row>
    <row r="161" spans="1:16" s="722" customFormat="1" x14ac:dyDescent="0.25">
      <c r="A161" s="728"/>
      <c r="B161" s="723" t="s">
        <v>1330</v>
      </c>
      <c r="C161" s="723"/>
      <c r="D161" s="723"/>
      <c r="E161" s="723"/>
      <c r="F161" s="723"/>
      <c r="G161" s="723"/>
      <c r="H161" s="723"/>
      <c r="I161" s="723"/>
      <c r="J161" s="723">
        <f t="shared" si="60"/>
        <v>0</v>
      </c>
      <c r="K161" s="723">
        <f t="shared" si="61"/>
        <v>0</v>
      </c>
      <c r="L161" s="723">
        <f t="shared" si="62"/>
        <v>0</v>
      </c>
      <c r="M161" s="723">
        <v>1172</v>
      </c>
      <c r="N161" s="723"/>
      <c r="O161" s="723">
        <f t="shared" si="63"/>
        <v>1172</v>
      </c>
    </row>
    <row r="162" spans="1:16" s="722" customFormat="1" ht="78.75" x14ac:dyDescent="0.25">
      <c r="A162" s="728"/>
      <c r="B162" s="723" t="s">
        <v>1332</v>
      </c>
      <c r="C162" s="723"/>
      <c r="D162" s="723"/>
      <c r="E162" s="723"/>
      <c r="F162" s="723"/>
      <c r="G162" s="723"/>
      <c r="H162" s="723"/>
      <c r="I162" s="723"/>
      <c r="J162" s="723">
        <f t="shared" si="60"/>
        <v>0</v>
      </c>
      <c r="K162" s="723">
        <f t="shared" si="61"/>
        <v>0</v>
      </c>
      <c r="L162" s="723">
        <f t="shared" si="62"/>
        <v>0</v>
      </c>
      <c r="M162" s="723">
        <v>100</v>
      </c>
      <c r="N162" s="723"/>
      <c r="O162" s="723">
        <f t="shared" si="63"/>
        <v>100</v>
      </c>
    </row>
    <row r="163" spans="1:16" s="722" customFormat="1" ht="94.5" x14ac:dyDescent="0.25">
      <c r="A163" s="728"/>
      <c r="B163" s="723" t="s">
        <v>1433</v>
      </c>
      <c r="C163" s="723"/>
      <c r="D163" s="723"/>
      <c r="E163" s="723"/>
      <c r="F163" s="723"/>
      <c r="G163" s="723"/>
      <c r="H163" s="723"/>
      <c r="I163" s="723"/>
      <c r="J163" s="723">
        <f t="shared" si="60"/>
        <v>0</v>
      </c>
      <c r="K163" s="723">
        <f t="shared" si="61"/>
        <v>0</v>
      </c>
      <c r="L163" s="723">
        <f t="shared" si="62"/>
        <v>0</v>
      </c>
      <c r="M163" s="723">
        <v>30</v>
      </c>
      <c r="N163" s="723"/>
      <c r="O163" s="723">
        <f t="shared" si="63"/>
        <v>30</v>
      </c>
    </row>
    <row r="164" spans="1:16" s="722" customFormat="1" ht="95.25" thickBot="1" x14ac:dyDescent="0.3">
      <c r="A164" s="728"/>
      <c r="B164" s="723" t="s">
        <v>1431</v>
      </c>
      <c r="C164" s="723"/>
      <c r="D164" s="723"/>
      <c r="E164" s="723"/>
      <c r="F164" s="723"/>
      <c r="G164" s="723"/>
      <c r="H164" s="723"/>
      <c r="I164" s="723"/>
      <c r="J164" s="723">
        <f t="shared" si="60"/>
        <v>0</v>
      </c>
      <c r="K164" s="723">
        <f t="shared" si="61"/>
        <v>0</v>
      </c>
      <c r="L164" s="723">
        <f t="shared" si="62"/>
        <v>0</v>
      </c>
      <c r="M164" s="723">
        <v>1794</v>
      </c>
      <c r="N164" s="723"/>
      <c r="O164" s="723">
        <f t="shared" si="63"/>
        <v>1794</v>
      </c>
    </row>
    <row r="165" spans="1:16" ht="17.25" thickTop="1" thickBot="1" x14ac:dyDescent="0.3">
      <c r="A165" s="712"/>
      <c r="B165" s="725" t="s">
        <v>379</v>
      </c>
      <c r="C165" s="725">
        <f>+C151+C155+C161+C156+C162+C157+C158+C159+C163+C164</f>
        <v>15230</v>
      </c>
      <c r="D165" s="725">
        <f t="shared" ref="D165:O165" si="64">+D151+D155+D161+D156+D162+D157+D158+D159+D163+D164</f>
        <v>0</v>
      </c>
      <c r="E165" s="725">
        <f t="shared" si="64"/>
        <v>0</v>
      </c>
      <c r="F165" s="725">
        <f t="shared" si="64"/>
        <v>8607</v>
      </c>
      <c r="G165" s="725">
        <f t="shared" si="64"/>
        <v>0</v>
      </c>
      <c r="H165" s="725">
        <f t="shared" si="64"/>
        <v>0</v>
      </c>
      <c r="I165" s="725">
        <f t="shared" si="64"/>
        <v>0</v>
      </c>
      <c r="J165" s="725">
        <f t="shared" si="64"/>
        <v>23837</v>
      </c>
      <c r="K165" s="725">
        <f t="shared" si="64"/>
        <v>0</v>
      </c>
      <c r="L165" s="725">
        <f t="shared" si="64"/>
        <v>23837</v>
      </c>
      <c r="M165" s="725">
        <f t="shared" si="64"/>
        <v>255905</v>
      </c>
      <c r="N165" s="725">
        <f t="shared" si="64"/>
        <v>2023</v>
      </c>
      <c r="O165" s="725">
        <f t="shared" si="64"/>
        <v>281765</v>
      </c>
      <c r="P165" s="703">
        <f>O166+O167</f>
        <v>281765</v>
      </c>
    </row>
    <row r="166" spans="1:16" ht="17.25" thickTop="1" thickBot="1" x14ac:dyDescent="0.3">
      <c r="A166" s="712"/>
      <c r="B166" s="725" t="s">
        <v>378</v>
      </c>
      <c r="C166" s="725">
        <f>+C152+C155+C156+C157+C158+C159</f>
        <v>15230</v>
      </c>
      <c r="D166" s="725">
        <f t="shared" ref="D166:O166" si="65">+D152+D155+D156+D157+D158+D159</f>
        <v>0</v>
      </c>
      <c r="E166" s="725">
        <f t="shared" si="65"/>
        <v>0</v>
      </c>
      <c r="F166" s="725">
        <f t="shared" si="65"/>
        <v>8607</v>
      </c>
      <c r="G166" s="725">
        <f t="shared" si="65"/>
        <v>0</v>
      </c>
      <c r="H166" s="725">
        <f t="shared" si="65"/>
        <v>0</v>
      </c>
      <c r="I166" s="725">
        <f t="shared" si="65"/>
        <v>0</v>
      </c>
      <c r="J166" s="725">
        <f t="shared" si="65"/>
        <v>23837</v>
      </c>
      <c r="K166" s="725">
        <f t="shared" si="65"/>
        <v>0</v>
      </c>
      <c r="L166" s="725">
        <f t="shared" si="65"/>
        <v>23837</v>
      </c>
      <c r="M166" s="725">
        <f t="shared" si="65"/>
        <v>250336</v>
      </c>
      <c r="N166" s="725">
        <f t="shared" si="65"/>
        <v>2023</v>
      </c>
      <c r="O166" s="725">
        <f t="shared" si="65"/>
        <v>276196</v>
      </c>
    </row>
    <row r="167" spans="1:16" ht="17.25" thickTop="1" thickBot="1" x14ac:dyDescent="0.3">
      <c r="A167" s="716"/>
      <c r="B167" s="725" t="s">
        <v>377</v>
      </c>
      <c r="C167" s="725">
        <f t="shared" ref="C167:O167" si="66">+C153+C161+C162+C163+C164</f>
        <v>0</v>
      </c>
      <c r="D167" s="725">
        <f t="shared" si="66"/>
        <v>0</v>
      </c>
      <c r="E167" s="725">
        <f t="shared" si="66"/>
        <v>0</v>
      </c>
      <c r="F167" s="725">
        <f t="shared" si="66"/>
        <v>0</v>
      </c>
      <c r="G167" s="725">
        <f t="shared" si="66"/>
        <v>0</v>
      </c>
      <c r="H167" s="725">
        <f t="shared" si="66"/>
        <v>0</v>
      </c>
      <c r="I167" s="725">
        <f t="shared" si="66"/>
        <v>0</v>
      </c>
      <c r="J167" s="725">
        <f t="shared" si="66"/>
        <v>0</v>
      </c>
      <c r="K167" s="725">
        <f t="shared" si="66"/>
        <v>0</v>
      </c>
      <c r="L167" s="725">
        <f t="shared" si="66"/>
        <v>0</v>
      </c>
      <c r="M167" s="725">
        <f t="shared" si="66"/>
        <v>5569</v>
      </c>
      <c r="N167" s="725">
        <f t="shared" si="66"/>
        <v>0</v>
      </c>
      <c r="O167" s="725">
        <f t="shared" si="66"/>
        <v>5569</v>
      </c>
    </row>
    <row r="168" spans="1:16" ht="16.5" thickTop="1" x14ac:dyDescent="0.25">
      <c r="A168" s="716" t="s">
        <v>0</v>
      </c>
      <c r="B168" s="717" t="s">
        <v>660</v>
      </c>
      <c r="C168" s="717"/>
      <c r="D168" s="717"/>
      <c r="E168" s="717"/>
      <c r="F168" s="717"/>
      <c r="G168" s="717"/>
      <c r="H168" s="717"/>
      <c r="I168" s="717"/>
      <c r="J168" s="717"/>
      <c r="K168" s="717"/>
      <c r="L168" s="717"/>
      <c r="M168" s="717"/>
      <c r="N168" s="717"/>
      <c r="O168" s="717"/>
    </row>
    <row r="169" spans="1:16" x14ac:dyDescent="0.25">
      <c r="A169" s="716"/>
      <c r="B169" s="718" t="s">
        <v>347</v>
      </c>
      <c r="C169" s="718">
        <f t="shared" ref="C169:E169" si="67">SUM(C170:C171)</f>
        <v>14121</v>
      </c>
      <c r="D169" s="718">
        <f t="shared" si="67"/>
        <v>0</v>
      </c>
      <c r="E169" s="718">
        <f t="shared" si="67"/>
        <v>0</v>
      </c>
      <c r="F169" s="718">
        <f>SUM(F170:F171)</f>
        <v>6284</v>
      </c>
      <c r="G169" s="718"/>
      <c r="H169" s="718"/>
      <c r="I169" s="718"/>
      <c r="J169" s="718">
        <f>SUM(C169+E169+F169+H169)</f>
        <v>20405</v>
      </c>
      <c r="K169" s="718">
        <f>SUM(D169+G169+I169)</f>
        <v>0</v>
      </c>
      <c r="L169" s="718">
        <f>SUM(J169:K169)</f>
        <v>20405</v>
      </c>
      <c r="M169" s="718">
        <f>SUM(M170:M171)</f>
        <v>254413</v>
      </c>
      <c r="N169" s="718">
        <f>SUM(N170:N171)</f>
        <v>1205</v>
      </c>
      <c r="O169" s="718">
        <f>SUM(L169:N169)</f>
        <v>276023</v>
      </c>
    </row>
    <row r="170" spans="1:16" s="722" customFormat="1" x14ac:dyDescent="0.25">
      <c r="A170" s="719"/>
      <c r="B170" s="720" t="s">
        <v>381</v>
      </c>
      <c r="C170" s="720">
        <v>14121</v>
      </c>
      <c r="D170" s="720"/>
      <c r="E170" s="720"/>
      <c r="F170" s="720">
        <v>6284</v>
      </c>
      <c r="G170" s="720"/>
      <c r="H170" s="720"/>
      <c r="I170" s="720"/>
      <c r="J170" s="721">
        <f>SUM(C170+E170+F170+H170)</f>
        <v>20405</v>
      </c>
      <c r="K170" s="721">
        <f>SUM(D170+G170+I170)</f>
        <v>0</v>
      </c>
      <c r="L170" s="721">
        <f>SUM(J170:K170)</f>
        <v>20405</v>
      </c>
      <c r="M170" s="721">
        <v>252008</v>
      </c>
      <c r="N170" s="721">
        <v>1205</v>
      </c>
      <c r="O170" s="721">
        <f>SUM(L170:N170)</f>
        <v>273618</v>
      </c>
    </row>
    <row r="171" spans="1:16" s="722" customFormat="1" x14ac:dyDescent="0.25">
      <c r="A171" s="719"/>
      <c r="B171" s="720" t="s">
        <v>380</v>
      </c>
      <c r="C171" s="720"/>
      <c r="D171" s="720"/>
      <c r="E171" s="720"/>
      <c r="F171" s="720"/>
      <c r="G171" s="720"/>
      <c r="H171" s="720"/>
      <c r="I171" s="720"/>
      <c r="J171" s="721">
        <f>SUM(C171+E171+F171+H171)</f>
        <v>0</v>
      </c>
      <c r="K171" s="721">
        <f>SUM(D171+G171+I171)</f>
        <v>0</v>
      </c>
      <c r="L171" s="721">
        <f>SUM(J171:K171)</f>
        <v>0</v>
      </c>
      <c r="M171" s="721">
        <v>2405</v>
      </c>
      <c r="N171" s="721"/>
      <c r="O171" s="721">
        <f>SUM(L171:N171)</f>
        <v>2405</v>
      </c>
    </row>
    <row r="172" spans="1:16" s="722" customFormat="1" x14ac:dyDescent="0.25">
      <c r="A172" s="728"/>
      <c r="B172" s="729" t="s">
        <v>131</v>
      </c>
      <c r="C172" s="731"/>
      <c r="D172" s="731"/>
      <c r="E172" s="731"/>
      <c r="F172" s="731"/>
      <c r="G172" s="731"/>
      <c r="H172" s="731"/>
      <c r="I172" s="731"/>
      <c r="J172" s="731"/>
      <c r="K172" s="731"/>
      <c r="L172" s="731"/>
      <c r="M172" s="731"/>
      <c r="N172" s="731"/>
      <c r="O172" s="731"/>
    </row>
    <row r="173" spans="1:16" s="722" customFormat="1" ht="31.5" x14ac:dyDescent="0.25">
      <c r="A173" s="728"/>
      <c r="B173" s="731" t="s">
        <v>1425</v>
      </c>
      <c r="C173" s="734"/>
      <c r="D173" s="734"/>
      <c r="E173" s="734"/>
      <c r="F173" s="734"/>
      <c r="G173" s="734"/>
      <c r="H173" s="734"/>
      <c r="I173" s="734"/>
      <c r="J173" s="734">
        <f t="shared" ref="J173:J183" si="68">SUM(C173+E173+F173+H173)</f>
        <v>0</v>
      </c>
      <c r="K173" s="734">
        <f t="shared" ref="K173:K183" si="69">SUM(D173+G173+I173)</f>
        <v>0</v>
      </c>
      <c r="L173" s="734">
        <f t="shared" ref="L173:L183" si="70">SUM(J173:K173)</f>
        <v>0</v>
      </c>
      <c r="M173" s="734">
        <v>122</v>
      </c>
      <c r="N173" s="734"/>
      <c r="O173" s="734">
        <f t="shared" ref="O173:O183" si="71">SUM(L173:N173)</f>
        <v>122</v>
      </c>
    </row>
    <row r="174" spans="1:16" s="722" customFormat="1" ht="63" x14ac:dyDescent="0.25">
      <c r="A174" s="719"/>
      <c r="B174" s="723" t="s">
        <v>1326</v>
      </c>
      <c r="C174" s="734"/>
      <c r="D174" s="734"/>
      <c r="E174" s="734"/>
      <c r="F174" s="734"/>
      <c r="G174" s="734"/>
      <c r="H174" s="734"/>
      <c r="I174" s="734"/>
      <c r="J174" s="734">
        <f t="shared" si="68"/>
        <v>0</v>
      </c>
      <c r="K174" s="734">
        <f t="shared" si="69"/>
        <v>0</v>
      </c>
      <c r="L174" s="734">
        <f t="shared" si="70"/>
        <v>0</v>
      </c>
      <c r="M174" s="734">
        <v>2655</v>
      </c>
      <c r="N174" s="734"/>
      <c r="O174" s="734">
        <f t="shared" si="71"/>
        <v>2655</v>
      </c>
    </row>
    <row r="175" spans="1:16" s="722" customFormat="1" ht="66" customHeight="1" x14ac:dyDescent="0.25">
      <c r="A175" s="728"/>
      <c r="B175" s="724" t="s">
        <v>1337</v>
      </c>
      <c r="C175" s="723"/>
      <c r="D175" s="723"/>
      <c r="E175" s="723"/>
      <c r="F175" s="723"/>
      <c r="G175" s="723"/>
      <c r="H175" s="723"/>
      <c r="I175" s="723"/>
      <c r="J175" s="723">
        <f t="shared" si="68"/>
        <v>0</v>
      </c>
      <c r="K175" s="723">
        <f t="shared" si="69"/>
        <v>0</v>
      </c>
      <c r="L175" s="723">
        <f t="shared" si="70"/>
        <v>0</v>
      </c>
      <c r="M175" s="723">
        <v>5869</v>
      </c>
      <c r="N175" s="723"/>
      <c r="O175" s="723">
        <f t="shared" si="71"/>
        <v>5869</v>
      </c>
    </row>
    <row r="176" spans="1:16" s="722" customFormat="1" ht="31.5" x14ac:dyDescent="0.25">
      <c r="A176" s="719"/>
      <c r="B176" s="724" t="s">
        <v>1338</v>
      </c>
      <c r="C176" s="723"/>
      <c r="D176" s="723"/>
      <c r="E176" s="723"/>
      <c r="F176" s="723"/>
      <c r="G176" s="723"/>
      <c r="H176" s="723"/>
      <c r="I176" s="723"/>
      <c r="J176" s="723">
        <f t="shared" si="68"/>
        <v>0</v>
      </c>
      <c r="K176" s="723">
        <f t="shared" si="69"/>
        <v>0</v>
      </c>
      <c r="L176" s="723">
        <f t="shared" si="70"/>
        <v>0</v>
      </c>
      <c r="M176" s="723">
        <v>1899</v>
      </c>
      <c r="N176" s="723"/>
      <c r="O176" s="723">
        <f t="shared" si="71"/>
        <v>1899</v>
      </c>
    </row>
    <row r="177" spans="1:16" s="722" customFormat="1" ht="31.5" x14ac:dyDescent="0.25">
      <c r="A177" s="719"/>
      <c r="B177" s="731" t="s">
        <v>1426</v>
      </c>
      <c r="C177" s="723"/>
      <c r="D177" s="723"/>
      <c r="E177" s="723"/>
      <c r="F177" s="723"/>
      <c r="G177" s="723"/>
      <c r="H177" s="723"/>
      <c r="I177" s="723"/>
      <c r="J177" s="723">
        <f t="shared" si="68"/>
        <v>0</v>
      </c>
      <c r="K177" s="723">
        <f t="shared" si="69"/>
        <v>0</v>
      </c>
      <c r="L177" s="723">
        <f t="shared" si="70"/>
        <v>0</v>
      </c>
      <c r="M177" s="723">
        <v>-24792</v>
      </c>
      <c r="N177" s="723"/>
      <c r="O177" s="723">
        <f t="shared" si="71"/>
        <v>-24792</v>
      </c>
    </row>
    <row r="178" spans="1:16" s="722" customFormat="1" ht="31.5" x14ac:dyDescent="0.25">
      <c r="A178" s="719"/>
      <c r="B178" s="723" t="s">
        <v>961</v>
      </c>
      <c r="C178" s="723"/>
      <c r="D178" s="723"/>
      <c r="E178" s="723"/>
      <c r="F178" s="723"/>
      <c r="G178" s="723"/>
      <c r="H178" s="723"/>
      <c r="I178" s="723"/>
      <c r="J178" s="723">
        <f t="shared" si="68"/>
        <v>0</v>
      </c>
      <c r="K178" s="723">
        <f t="shared" si="69"/>
        <v>0</v>
      </c>
      <c r="L178" s="723">
        <f t="shared" si="70"/>
        <v>0</v>
      </c>
      <c r="M178" s="723">
        <v>165</v>
      </c>
      <c r="N178" s="723"/>
      <c r="O178" s="723">
        <f t="shared" si="71"/>
        <v>165</v>
      </c>
    </row>
    <row r="179" spans="1:16" s="722" customFormat="1" x14ac:dyDescent="0.25">
      <c r="A179" s="719"/>
      <c r="B179" s="724" t="s">
        <v>1432</v>
      </c>
      <c r="C179" s="723"/>
      <c r="D179" s="723"/>
      <c r="E179" s="723"/>
      <c r="F179" s="723">
        <v>-244</v>
      </c>
      <c r="G179" s="723"/>
      <c r="H179" s="723"/>
      <c r="I179" s="723"/>
      <c r="J179" s="723">
        <f t="shared" si="68"/>
        <v>-244</v>
      </c>
      <c r="K179" s="723">
        <f t="shared" si="69"/>
        <v>0</v>
      </c>
      <c r="L179" s="723">
        <f t="shared" si="70"/>
        <v>-244</v>
      </c>
      <c r="M179" s="723">
        <v>-11753</v>
      </c>
      <c r="N179" s="723"/>
      <c r="O179" s="723">
        <f t="shared" si="71"/>
        <v>-11997</v>
      </c>
    </row>
    <row r="180" spans="1:16" s="722" customFormat="1" x14ac:dyDescent="0.25">
      <c r="A180" s="719"/>
      <c r="B180" s="720" t="s">
        <v>132</v>
      </c>
      <c r="C180" s="723"/>
      <c r="D180" s="723"/>
      <c r="E180" s="723"/>
      <c r="F180" s="723"/>
      <c r="G180" s="723"/>
      <c r="H180" s="723"/>
      <c r="I180" s="723"/>
      <c r="J180" s="723"/>
      <c r="K180" s="723"/>
      <c r="L180" s="723"/>
      <c r="M180" s="723"/>
      <c r="N180" s="723"/>
      <c r="O180" s="723"/>
    </row>
    <row r="181" spans="1:16" s="722" customFormat="1" x14ac:dyDescent="0.25">
      <c r="A181" s="719"/>
      <c r="B181" s="723" t="s">
        <v>1330</v>
      </c>
      <c r="C181" s="723"/>
      <c r="D181" s="723"/>
      <c r="E181" s="723"/>
      <c r="F181" s="723"/>
      <c r="G181" s="723"/>
      <c r="H181" s="723"/>
      <c r="I181" s="723"/>
      <c r="J181" s="723">
        <f t="shared" si="68"/>
        <v>0</v>
      </c>
      <c r="K181" s="723">
        <f t="shared" si="69"/>
        <v>0</v>
      </c>
      <c r="L181" s="723">
        <f t="shared" si="70"/>
        <v>0</v>
      </c>
      <c r="M181" s="723">
        <v>1103</v>
      </c>
      <c r="N181" s="723"/>
      <c r="O181" s="723">
        <f t="shared" si="71"/>
        <v>1103</v>
      </c>
    </row>
    <row r="182" spans="1:16" s="722" customFormat="1" ht="94.5" x14ac:dyDescent="0.25">
      <c r="A182" s="719"/>
      <c r="B182" s="723" t="s">
        <v>1341</v>
      </c>
      <c r="C182" s="723"/>
      <c r="D182" s="723"/>
      <c r="E182" s="723"/>
      <c r="F182" s="723"/>
      <c r="G182" s="723"/>
      <c r="H182" s="723"/>
      <c r="I182" s="723"/>
      <c r="J182" s="723">
        <f t="shared" si="68"/>
        <v>0</v>
      </c>
      <c r="K182" s="723">
        <f t="shared" si="69"/>
        <v>0</v>
      </c>
      <c r="L182" s="723">
        <f t="shared" si="70"/>
        <v>0</v>
      </c>
      <c r="M182" s="723">
        <v>50</v>
      </c>
      <c r="N182" s="723"/>
      <c r="O182" s="723">
        <f t="shared" si="71"/>
        <v>50</v>
      </c>
    </row>
    <row r="183" spans="1:16" s="722" customFormat="1" ht="95.25" thickBot="1" x14ac:dyDescent="0.3">
      <c r="A183" s="719"/>
      <c r="B183" s="723" t="s">
        <v>1431</v>
      </c>
      <c r="C183" s="723"/>
      <c r="D183" s="723"/>
      <c r="E183" s="723"/>
      <c r="F183" s="723"/>
      <c r="G183" s="723"/>
      <c r="H183" s="723"/>
      <c r="I183" s="723"/>
      <c r="J183" s="723">
        <f t="shared" si="68"/>
        <v>0</v>
      </c>
      <c r="K183" s="723">
        <f t="shared" si="69"/>
        <v>0</v>
      </c>
      <c r="L183" s="723">
        <f t="shared" si="70"/>
        <v>0</v>
      </c>
      <c r="M183" s="723">
        <v>1419</v>
      </c>
      <c r="N183" s="723"/>
      <c r="O183" s="723">
        <f t="shared" si="71"/>
        <v>1419</v>
      </c>
    </row>
    <row r="184" spans="1:16" ht="17.25" thickTop="1" thickBot="1" x14ac:dyDescent="0.3">
      <c r="A184" s="712"/>
      <c r="B184" s="725" t="s">
        <v>379</v>
      </c>
      <c r="C184" s="725">
        <f>+C169+C173+C181+C174+C175+C176+C177+C178+C179+C182+C183</f>
        <v>14121</v>
      </c>
      <c r="D184" s="725">
        <f t="shared" ref="D184:O184" si="72">+D169+D173+D181+D174+D175+D176+D177+D178+D179+D182+D183</f>
        <v>0</v>
      </c>
      <c r="E184" s="725">
        <f t="shared" si="72"/>
        <v>0</v>
      </c>
      <c r="F184" s="725">
        <f t="shared" si="72"/>
        <v>6040</v>
      </c>
      <c r="G184" s="725">
        <f t="shared" si="72"/>
        <v>0</v>
      </c>
      <c r="H184" s="725">
        <f t="shared" si="72"/>
        <v>0</v>
      </c>
      <c r="I184" s="725">
        <f t="shared" si="72"/>
        <v>0</v>
      </c>
      <c r="J184" s="725">
        <f t="shared" si="72"/>
        <v>20161</v>
      </c>
      <c r="K184" s="725">
        <f t="shared" si="72"/>
        <v>0</v>
      </c>
      <c r="L184" s="725">
        <f t="shared" si="72"/>
        <v>20161</v>
      </c>
      <c r="M184" s="725">
        <f t="shared" si="72"/>
        <v>231150</v>
      </c>
      <c r="N184" s="725">
        <f t="shared" si="72"/>
        <v>1205</v>
      </c>
      <c r="O184" s="725">
        <f t="shared" si="72"/>
        <v>252516</v>
      </c>
      <c r="P184" s="703">
        <f>O185+O186</f>
        <v>252516</v>
      </c>
    </row>
    <row r="185" spans="1:16" ht="17.25" thickTop="1" thickBot="1" x14ac:dyDescent="0.3">
      <c r="A185" s="712"/>
      <c r="B185" s="725" t="s">
        <v>378</v>
      </c>
      <c r="C185" s="725">
        <f t="shared" ref="C185:O185" si="73">+C170+C173+C174+C175+C176+C177+C178+C179</f>
        <v>14121</v>
      </c>
      <c r="D185" s="725">
        <f t="shared" si="73"/>
        <v>0</v>
      </c>
      <c r="E185" s="725">
        <f t="shared" si="73"/>
        <v>0</v>
      </c>
      <c r="F185" s="725">
        <f t="shared" si="73"/>
        <v>6040</v>
      </c>
      <c r="G185" s="725">
        <f t="shared" si="73"/>
        <v>0</v>
      </c>
      <c r="H185" s="725">
        <f t="shared" si="73"/>
        <v>0</v>
      </c>
      <c r="I185" s="725">
        <f t="shared" si="73"/>
        <v>0</v>
      </c>
      <c r="J185" s="725">
        <f t="shared" si="73"/>
        <v>20161</v>
      </c>
      <c r="K185" s="725">
        <f t="shared" si="73"/>
        <v>0</v>
      </c>
      <c r="L185" s="725">
        <f t="shared" si="73"/>
        <v>20161</v>
      </c>
      <c r="M185" s="725">
        <f t="shared" si="73"/>
        <v>226173</v>
      </c>
      <c r="N185" s="725">
        <f t="shared" si="73"/>
        <v>1205</v>
      </c>
      <c r="O185" s="725">
        <f t="shared" si="73"/>
        <v>247539</v>
      </c>
    </row>
    <row r="186" spans="1:16" ht="17.25" thickTop="1" thickBot="1" x14ac:dyDescent="0.3">
      <c r="A186" s="712"/>
      <c r="B186" s="725" t="s">
        <v>377</v>
      </c>
      <c r="C186" s="725">
        <f>+C171+C181+C182+C183</f>
        <v>0</v>
      </c>
      <c r="D186" s="725">
        <f t="shared" ref="D186:O186" si="74">+D171+D181+D182+D183</f>
        <v>0</v>
      </c>
      <c r="E186" s="725">
        <f t="shared" si="74"/>
        <v>0</v>
      </c>
      <c r="F186" s="725">
        <f t="shared" si="74"/>
        <v>0</v>
      </c>
      <c r="G186" s="725">
        <f t="shared" si="74"/>
        <v>0</v>
      </c>
      <c r="H186" s="725">
        <f t="shared" si="74"/>
        <v>0</v>
      </c>
      <c r="I186" s="725">
        <f t="shared" si="74"/>
        <v>0</v>
      </c>
      <c r="J186" s="725">
        <f t="shared" si="74"/>
        <v>0</v>
      </c>
      <c r="K186" s="725">
        <f t="shared" si="74"/>
        <v>0</v>
      </c>
      <c r="L186" s="725">
        <f t="shared" si="74"/>
        <v>0</v>
      </c>
      <c r="M186" s="725">
        <f t="shared" si="74"/>
        <v>4977</v>
      </c>
      <c r="N186" s="725">
        <f t="shared" si="74"/>
        <v>0</v>
      </c>
      <c r="O186" s="725">
        <f t="shared" si="74"/>
        <v>4977</v>
      </c>
    </row>
    <row r="187" spans="1:16" ht="32.25" thickTop="1" x14ac:dyDescent="0.25">
      <c r="A187" s="716" t="s">
        <v>1</v>
      </c>
      <c r="B187" s="717" t="s">
        <v>661</v>
      </c>
      <c r="C187" s="717"/>
      <c r="D187" s="717"/>
      <c r="E187" s="717"/>
      <c r="F187" s="717"/>
      <c r="G187" s="717"/>
      <c r="H187" s="717"/>
      <c r="I187" s="717"/>
      <c r="J187" s="717"/>
      <c r="K187" s="717"/>
      <c r="L187" s="717"/>
      <c r="M187" s="717"/>
      <c r="N187" s="717"/>
      <c r="O187" s="717"/>
    </row>
    <row r="188" spans="1:16" x14ac:dyDescent="0.25">
      <c r="A188" s="716"/>
      <c r="B188" s="718" t="s">
        <v>347</v>
      </c>
      <c r="C188" s="718">
        <f t="shared" ref="C188:E188" si="75">SUM(C189:C190)</f>
        <v>12763</v>
      </c>
      <c r="D188" s="718">
        <f t="shared" si="75"/>
        <v>0</v>
      </c>
      <c r="E188" s="718">
        <f t="shared" si="75"/>
        <v>0</v>
      </c>
      <c r="F188" s="718">
        <f>SUM(F189:F190)</f>
        <v>14870</v>
      </c>
      <c r="G188" s="718"/>
      <c r="H188" s="718"/>
      <c r="I188" s="718"/>
      <c r="J188" s="718">
        <f>SUM(C188+E188+F188+H188)</f>
        <v>27633</v>
      </c>
      <c r="K188" s="718">
        <f>SUM(D188+G188+I188)</f>
        <v>0</v>
      </c>
      <c r="L188" s="718">
        <f>SUM(J188:K188)</f>
        <v>27633</v>
      </c>
      <c r="M188" s="718">
        <f>SUM(M189:M190)</f>
        <v>291796</v>
      </c>
      <c r="N188" s="718">
        <f>SUM(N189:N190)</f>
        <v>5590</v>
      </c>
      <c r="O188" s="718">
        <f>SUM(L188:N188)</f>
        <v>325019</v>
      </c>
    </row>
    <row r="189" spans="1:16" s="722" customFormat="1" x14ac:dyDescent="0.25">
      <c r="A189" s="719"/>
      <c r="B189" s="720" t="s">
        <v>381</v>
      </c>
      <c r="C189" s="720">
        <v>12763</v>
      </c>
      <c r="D189" s="720"/>
      <c r="E189" s="720"/>
      <c r="F189" s="720">
        <v>14870</v>
      </c>
      <c r="G189" s="720"/>
      <c r="H189" s="720"/>
      <c r="I189" s="720"/>
      <c r="J189" s="721">
        <f>SUM(C189+E189+F189+H189)</f>
        <v>27633</v>
      </c>
      <c r="K189" s="721">
        <f>SUM(D189+G189+I189)</f>
        <v>0</v>
      </c>
      <c r="L189" s="721">
        <f>SUM(J189:K189)</f>
        <v>27633</v>
      </c>
      <c r="M189" s="721">
        <v>289371</v>
      </c>
      <c r="N189" s="721">
        <v>5590</v>
      </c>
      <c r="O189" s="721">
        <f>SUM(L189:N189)</f>
        <v>322594</v>
      </c>
    </row>
    <row r="190" spans="1:16" s="722" customFormat="1" x14ac:dyDescent="0.25">
      <c r="A190" s="719"/>
      <c r="B190" s="720" t="s">
        <v>380</v>
      </c>
      <c r="C190" s="720"/>
      <c r="D190" s="720"/>
      <c r="E190" s="720"/>
      <c r="F190" s="720"/>
      <c r="G190" s="720"/>
      <c r="H190" s="720"/>
      <c r="I190" s="720"/>
      <c r="J190" s="721">
        <f>SUM(C190+E190+F190+H190)</f>
        <v>0</v>
      </c>
      <c r="K190" s="721">
        <f>SUM(D190+G190+I190)</f>
        <v>0</v>
      </c>
      <c r="L190" s="721">
        <f>SUM(J190:K190)</f>
        <v>0</v>
      </c>
      <c r="M190" s="721">
        <v>2425</v>
      </c>
      <c r="N190" s="721"/>
      <c r="O190" s="721">
        <f>SUM(L190:N190)</f>
        <v>2425</v>
      </c>
    </row>
    <row r="191" spans="1:16" s="722" customFormat="1" x14ac:dyDescent="0.25">
      <c r="A191" s="719"/>
      <c r="B191" s="720" t="s">
        <v>131</v>
      </c>
      <c r="C191" s="723"/>
      <c r="D191" s="723"/>
      <c r="E191" s="723"/>
      <c r="F191" s="723"/>
      <c r="G191" s="723"/>
      <c r="H191" s="723"/>
      <c r="I191" s="723"/>
      <c r="J191" s="723"/>
      <c r="K191" s="723"/>
      <c r="L191" s="723"/>
      <c r="M191" s="723"/>
      <c r="N191" s="723"/>
      <c r="O191" s="723"/>
    </row>
    <row r="192" spans="1:16" s="722" customFormat="1" ht="31.5" x14ac:dyDescent="0.25">
      <c r="A192" s="719"/>
      <c r="B192" s="723" t="s">
        <v>1425</v>
      </c>
      <c r="C192" s="723"/>
      <c r="D192" s="723"/>
      <c r="E192" s="723"/>
      <c r="F192" s="723"/>
      <c r="G192" s="723"/>
      <c r="H192" s="723"/>
      <c r="I192" s="723"/>
      <c r="J192" s="723">
        <f t="shared" ref="J192:J202" si="76">SUM(C192+E192+F192+H192)</f>
        <v>0</v>
      </c>
      <c r="K192" s="723">
        <f t="shared" ref="K192:K202" si="77">SUM(D192+G192+I192)</f>
        <v>0</v>
      </c>
      <c r="L192" s="723">
        <f t="shared" ref="L192:L202" si="78">SUM(J192:K192)</f>
        <v>0</v>
      </c>
      <c r="M192" s="723">
        <v>165</v>
      </c>
      <c r="N192" s="723"/>
      <c r="O192" s="723">
        <f t="shared" ref="O192:O202" si="79">SUM(L192:N192)</f>
        <v>165</v>
      </c>
    </row>
    <row r="193" spans="1:16" s="722" customFormat="1" ht="63" x14ac:dyDescent="0.25">
      <c r="A193" s="719"/>
      <c r="B193" s="723" t="s">
        <v>1326</v>
      </c>
      <c r="C193" s="723"/>
      <c r="D193" s="723"/>
      <c r="E193" s="723"/>
      <c r="F193" s="723"/>
      <c r="G193" s="723"/>
      <c r="H193" s="723"/>
      <c r="I193" s="723"/>
      <c r="J193" s="723">
        <f t="shared" si="76"/>
        <v>0</v>
      </c>
      <c r="K193" s="723">
        <f t="shared" si="77"/>
        <v>0</v>
      </c>
      <c r="L193" s="723">
        <f t="shared" si="78"/>
        <v>0</v>
      </c>
      <c r="M193" s="723">
        <v>4553</v>
      </c>
      <c r="N193" s="723"/>
      <c r="O193" s="723">
        <f t="shared" si="79"/>
        <v>4553</v>
      </c>
    </row>
    <row r="194" spans="1:16" s="722" customFormat="1" ht="66" customHeight="1" x14ac:dyDescent="0.25">
      <c r="A194" s="728"/>
      <c r="B194" s="724" t="s">
        <v>1337</v>
      </c>
      <c r="C194" s="723"/>
      <c r="D194" s="723"/>
      <c r="E194" s="723"/>
      <c r="F194" s="723"/>
      <c r="G194" s="723"/>
      <c r="H194" s="723"/>
      <c r="I194" s="723"/>
      <c r="J194" s="723">
        <f t="shared" si="76"/>
        <v>0</v>
      </c>
      <c r="K194" s="723">
        <f t="shared" si="77"/>
        <v>0</v>
      </c>
      <c r="L194" s="723">
        <f t="shared" si="78"/>
        <v>0</v>
      </c>
      <c r="M194" s="723">
        <v>6356</v>
      </c>
      <c r="N194" s="723"/>
      <c r="O194" s="723">
        <f t="shared" si="79"/>
        <v>6356</v>
      </c>
    </row>
    <row r="195" spans="1:16" s="722" customFormat="1" ht="31.5" x14ac:dyDescent="0.25">
      <c r="A195" s="719"/>
      <c r="B195" s="724" t="s">
        <v>1338</v>
      </c>
      <c r="C195" s="723"/>
      <c r="D195" s="723"/>
      <c r="E195" s="723"/>
      <c r="F195" s="723"/>
      <c r="G195" s="723"/>
      <c r="H195" s="723"/>
      <c r="I195" s="723"/>
      <c r="J195" s="723">
        <f t="shared" si="76"/>
        <v>0</v>
      </c>
      <c r="K195" s="723">
        <f t="shared" si="77"/>
        <v>0</v>
      </c>
      <c r="L195" s="723">
        <f t="shared" si="78"/>
        <v>0</v>
      </c>
      <c r="M195" s="723">
        <v>1773</v>
      </c>
      <c r="N195" s="723"/>
      <c r="O195" s="723">
        <f t="shared" si="79"/>
        <v>1773</v>
      </c>
    </row>
    <row r="196" spans="1:16" s="722" customFormat="1" ht="31.5" x14ac:dyDescent="0.25">
      <c r="A196" s="719"/>
      <c r="B196" s="731" t="s">
        <v>1426</v>
      </c>
      <c r="C196" s="723"/>
      <c r="D196" s="723"/>
      <c r="E196" s="723"/>
      <c r="F196" s="723"/>
      <c r="G196" s="723"/>
      <c r="H196" s="723"/>
      <c r="I196" s="723"/>
      <c r="J196" s="723">
        <f t="shared" si="76"/>
        <v>0</v>
      </c>
      <c r="K196" s="723">
        <f t="shared" si="77"/>
        <v>0</v>
      </c>
      <c r="L196" s="723">
        <f t="shared" si="78"/>
        <v>0</v>
      </c>
      <c r="M196" s="723">
        <v>-5748</v>
      </c>
      <c r="N196" s="723"/>
      <c r="O196" s="723">
        <f t="shared" si="79"/>
        <v>-5748</v>
      </c>
    </row>
    <row r="197" spans="1:16" s="722" customFormat="1" ht="31.5" x14ac:dyDescent="0.25">
      <c r="A197" s="719"/>
      <c r="B197" s="723" t="s">
        <v>961</v>
      </c>
      <c r="C197" s="723"/>
      <c r="D197" s="723"/>
      <c r="E197" s="723"/>
      <c r="F197" s="723"/>
      <c r="G197" s="723"/>
      <c r="H197" s="723"/>
      <c r="I197" s="723"/>
      <c r="J197" s="723">
        <f t="shared" si="76"/>
        <v>0</v>
      </c>
      <c r="K197" s="723">
        <f t="shared" si="77"/>
        <v>0</v>
      </c>
      <c r="L197" s="723">
        <f t="shared" si="78"/>
        <v>0</v>
      </c>
      <c r="M197" s="723">
        <v>318</v>
      </c>
      <c r="N197" s="723"/>
      <c r="O197" s="723">
        <f t="shared" si="79"/>
        <v>318</v>
      </c>
    </row>
    <row r="198" spans="1:16" s="722" customFormat="1" x14ac:dyDescent="0.25">
      <c r="A198" s="719"/>
      <c r="B198" s="724" t="s">
        <v>1432</v>
      </c>
      <c r="C198" s="723"/>
      <c r="D198" s="723"/>
      <c r="E198" s="723"/>
      <c r="F198" s="723">
        <v>-1282</v>
      </c>
      <c r="G198" s="723"/>
      <c r="H198" s="723"/>
      <c r="I198" s="723"/>
      <c r="J198" s="723">
        <f t="shared" si="76"/>
        <v>-1282</v>
      </c>
      <c r="K198" s="723">
        <f t="shared" si="77"/>
        <v>0</v>
      </c>
      <c r="L198" s="723">
        <f t="shared" si="78"/>
        <v>-1282</v>
      </c>
      <c r="M198" s="723">
        <v>-10527</v>
      </c>
      <c r="N198" s="723"/>
      <c r="O198" s="723">
        <f t="shared" si="79"/>
        <v>-11809</v>
      </c>
    </row>
    <row r="199" spans="1:16" s="722" customFormat="1" x14ac:dyDescent="0.25">
      <c r="A199" s="719"/>
      <c r="B199" s="720" t="s">
        <v>132</v>
      </c>
      <c r="C199" s="723"/>
      <c r="D199" s="723"/>
      <c r="E199" s="723"/>
      <c r="F199" s="723"/>
      <c r="G199" s="723"/>
      <c r="H199" s="723"/>
      <c r="I199" s="723"/>
      <c r="J199" s="723"/>
      <c r="K199" s="723"/>
      <c r="L199" s="723"/>
      <c r="M199" s="723"/>
      <c r="N199" s="723"/>
      <c r="O199" s="723"/>
    </row>
    <row r="200" spans="1:16" s="722" customFormat="1" x14ac:dyDescent="0.25">
      <c r="A200" s="719"/>
      <c r="B200" s="723" t="s">
        <v>1330</v>
      </c>
      <c r="C200" s="723"/>
      <c r="D200" s="723"/>
      <c r="E200" s="723"/>
      <c r="F200" s="723"/>
      <c r="G200" s="723"/>
      <c r="H200" s="723"/>
      <c r="I200" s="723"/>
      <c r="J200" s="723">
        <f t="shared" si="76"/>
        <v>0</v>
      </c>
      <c r="K200" s="723">
        <f t="shared" si="77"/>
        <v>0</v>
      </c>
      <c r="L200" s="723">
        <f t="shared" si="78"/>
        <v>0</v>
      </c>
      <c r="M200" s="723">
        <v>1203</v>
      </c>
      <c r="N200" s="723"/>
      <c r="O200" s="723">
        <f t="shared" si="79"/>
        <v>1203</v>
      </c>
    </row>
    <row r="201" spans="1:16" s="722" customFormat="1" ht="78.75" x14ac:dyDescent="0.25">
      <c r="A201" s="719"/>
      <c r="B201" s="723" t="s">
        <v>1334</v>
      </c>
      <c r="C201" s="723"/>
      <c r="D201" s="723"/>
      <c r="E201" s="723"/>
      <c r="F201" s="723"/>
      <c r="G201" s="723"/>
      <c r="H201" s="723"/>
      <c r="I201" s="723"/>
      <c r="J201" s="723">
        <f t="shared" si="76"/>
        <v>0</v>
      </c>
      <c r="K201" s="723">
        <f t="shared" si="77"/>
        <v>0</v>
      </c>
      <c r="L201" s="723">
        <f t="shared" si="78"/>
        <v>0</v>
      </c>
      <c r="M201" s="723">
        <v>15</v>
      </c>
      <c r="N201" s="723"/>
      <c r="O201" s="723">
        <f t="shared" si="79"/>
        <v>15</v>
      </c>
    </row>
    <row r="202" spans="1:16" s="722" customFormat="1" ht="95.25" thickBot="1" x14ac:dyDescent="0.3">
      <c r="A202" s="719"/>
      <c r="B202" s="723" t="s">
        <v>1431</v>
      </c>
      <c r="C202" s="723"/>
      <c r="D202" s="723"/>
      <c r="E202" s="723"/>
      <c r="F202" s="723"/>
      <c r="G202" s="723"/>
      <c r="H202" s="723"/>
      <c r="I202" s="723"/>
      <c r="J202" s="723">
        <f t="shared" si="76"/>
        <v>0</v>
      </c>
      <c r="K202" s="723">
        <f t="shared" si="77"/>
        <v>0</v>
      </c>
      <c r="L202" s="723">
        <f t="shared" si="78"/>
        <v>0</v>
      </c>
      <c r="M202" s="723">
        <v>2067</v>
      </c>
      <c r="N202" s="723"/>
      <c r="O202" s="723">
        <f t="shared" si="79"/>
        <v>2067</v>
      </c>
    </row>
    <row r="203" spans="1:16" ht="17.25" thickTop="1" thickBot="1" x14ac:dyDescent="0.3">
      <c r="A203" s="712"/>
      <c r="B203" s="725" t="s">
        <v>379</v>
      </c>
      <c r="C203" s="725">
        <f>+C188+C192+C200+C193+C194+C195+C196+C197+C198+C201+C202</f>
        <v>12763</v>
      </c>
      <c r="D203" s="725">
        <f t="shared" ref="D203:O203" si="80">+D188+D192+D200+D193+D194+D195+D196+D197+D198+D201+D202</f>
        <v>0</v>
      </c>
      <c r="E203" s="725">
        <f t="shared" si="80"/>
        <v>0</v>
      </c>
      <c r="F203" s="725">
        <f t="shared" si="80"/>
        <v>13588</v>
      </c>
      <c r="G203" s="725">
        <f t="shared" si="80"/>
        <v>0</v>
      </c>
      <c r="H203" s="725">
        <f t="shared" si="80"/>
        <v>0</v>
      </c>
      <c r="I203" s="725">
        <f t="shared" si="80"/>
        <v>0</v>
      </c>
      <c r="J203" s="725">
        <f t="shared" si="80"/>
        <v>26351</v>
      </c>
      <c r="K203" s="725">
        <f t="shared" si="80"/>
        <v>0</v>
      </c>
      <c r="L203" s="725">
        <f t="shared" si="80"/>
        <v>26351</v>
      </c>
      <c r="M203" s="725">
        <f t="shared" si="80"/>
        <v>291971</v>
      </c>
      <c r="N203" s="725">
        <f t="shared" si="80"/>
        <v>5590</v>
      </c>
      <c r="O203" s="725">
        <f t="shared" si="80"/>
        <v>323912</v>
      </c>
      <c r="P203" s="703">
        <f>O204+O205</f>
        <v>323912</v>
      </c>
    </row>
    <row r="204" spans="1:16" ht="17.25" thickTop="1" thickBot="1" x14ac:dyDescent="0.3">
      <c r="A204" s="712"/>
      <c r="B204" s="725" t="s">
        <v>378</v>
      </c>
      <c r="C204" s="725">
        <f t="shared" ref="C204:O204" si="81">+C189+C192+C193+C194+C195+C196+C197+C198</f>
        <v>12763</v>
      </c>
      <c r="D204" s="725">
        <f t="shared" si="81"/>
        <v>0</v>
      </c>
      <c r="E204" s="725">
        <f t="shared" si="81"/>
        <v>0</v>
      </c>
      <c r="F204" s="725">
        <f t="shared" si="81"/>
        <v>13588</v>
      </c>
      <c r="G204" s="725">
        <f t="shared" si="81"/>
        <v>0</v>
      </c>
      <c r="H204" s="725">
        <f t="shared" si="81"/>
        <v>0</v>
      </c>
      <c r="I204" s="725">
        <f t="shared" si="81"/>
        <v>0</v>
      </c>
      <c r="J204" s="725">
        <f t="shared" si="81"/>
        <v>26351</v>
      </c>
      <c r="K204" s="725">
        <f t="shared" si="81"/>
        <v>0</v>
      </c>
      <c r="L204" s="725">
        <f t="shared" si="81"/>
        <v>26351</v>
      </c>
      <c r="M204" s="725">
        <f t="shared" si="81"/>
        <v>286261</v>
      </c>
      <c r="N204" s="725">
        <f t="shared" si="81"/>
        <v>5590</v>
      </c>
      <c r="O204" s="725">
        <f t="shared" si="81"/>
        <v>318202</v>
      </c>
    </row>
    <row r="205" spans="1:16" ht="17.25" thickTop="1" thickBot="1" x14ac:dyDescent="0.3">
      <c r="A205" s="712"/>
      <c r="B205" s="725" t="s">
        <v>377</v>
      </c>
      <c r="C205" s="725">
        <f>+C190+C200+C201+C202</f>
        <v>0</v>
      </c>
      <c r="D205" s="725">
        <f t="shared" ref="D205:O205" si="82">+D190+D200+D201+D202</f>
        <v>0</v>
      </c>
      <c r="E205" s="725">
        <f t="shared" si="82"/>
        <v>0</v>
      </c>
      <c r="F205" s="725">
        <f t="shared" si="82"/>
        <v>0</v>
      </c>
      <c r="G205" s="725">
        <f t="shared" si="82"/>
        <v>0</v>
      </c>
      <c r="H205" s="725">
        <f t="shared" si="82"/>
        <v>0</v>
      </c>
      <c r="I205" s="725">
        <f t="shared" si="82"/>
        <v>0</v>
      </c>
      <c r="J205" s="725">
        <f t="shared" si="82"/>
        <v>0</v>
      </c>
      <c r="K205" s="725">
        <f t="shared" si="82"/>
        <v>0</v>
      </c>
      <c r="L205" s="725">
        <f t="shared" si="82"/>
        <v>0</v>
      </c>
      <c r="M205" s="725">
        <f t="shared" si="82"/>
        <v>5710</v>
      </c>
      <c r="N205" s="725">
        <f t="shared" si="82"/>
        <v>0</v>
      </c>
      <c r="O205" s="725">
        <f t="shared" si="82"/>
        <v>5710</v>
      </c>
    </row>
    <row r="206" spans="1:16" ht="16.5" thickTop="1" x14ac:dyDescent="0.25">
      <c r="A206" s="727" t="s">
        <v>2</v>
      </c>
      <c r="B206" s="717" t="s">
        <v>402</v>
      </c>
      <c r="C206" s="717"/>
      <c r="D206" s="717"/>
      <c r="E206" s="717"/>
      <c r="F206" s="717"/>
      <c r="G206" s="717"/>
      <c r="H206" s="717"/>
      <c r="I206" s="717"/>
      <c r="J206" s="717"/>
      <c r="K206" s="717"/>
      <c r="L206" s="717"/>
      <c r="M206" s="717"/>
      <c r="N206" s="717"/>
      <c r="O206" s="717"/>
    </row>
    <row r="207" spans="1:16" x14ac:dyDescent="0.25">
      <c r="A207" s="727"/>
      <c r="B207" s="717" t="s">
        <v>347</v>
      </c>
      <c r="C207" s="717">
        <f t="shared" ref="C207:E207" si="83">SUM(C208:C209)</f>
        <v>13707</v>
      </c>
      <c r="D207" s="717">
        <f t="shared" si="83"/>
        <v>0</v>
      </c>
      <c r="E207" s="717">
        <f t="shared" si="83"/>
        <v>0</v>
      </c>
      <c r="F207" s="717">
        <f>SUM(F208:F209)</f>
        <v>7750</v>
      </c>
      <c r="G207" s="717"/>
      <c r="H207" s="717"/>
      <c r="I207" s="717"/>
      <c r="J207" s="718">
        <f>SUM(C207+E207+F207+H207)</f>
        <v>21457</v>
      </c>
      <c r="K207" s="718">
        <f>SUM(D207+G207+I207)</f>
        <v>0</v>
      </c>
      <c r="L207" s="718">
        <f>SUM(J207:K207)</f>
        <v>21457</v>
      </c>
      <c r="M207" s="718">
        <f>SUM(M208:M209)</f>
        <v>186230</v>
      </c>
      <c r="N207" s="718">
        <f>SUM(N208:N209)</f>
        <v>4047</v>
      </c>
      <c r="O207" s="718">
        <f>SUM(L207:N207)</f>
        <v>211734</v>
      </c>
    </row>
    <row r="208" spans="1:16" s="722" customFormat="1" x14ac:dyDescent="0.25">
      <c r="A208" s="728"/>
      <c r="B208" s="720" t="s">
        <v>381</v>
      </c>
      <c r="C208" s="720">
        <v>13707</v>
      </c>
      <c r="D208" s="720"/>
      <c r="E208" s="720"/>
      <c r="F208" s="720">
        <v>7750</v>
      </c>
      <c r="G208" s="720"/>
      <c r="H208" s="720"/>
      <c r="I208" s="720"/>
      <c r="J208" s="721">
        <f>SUM(C208+E208+F208+H208)</f>
        <v>21457</v>
      </c>
      <c r="K208" s="721">
        <f>SUM(D208+G208+I208)</f>
        <v>0</v>
      </c>
      <c r="L208" s="721">
        <f>SUM(J208:K208)</f>
        <v>21457</v>
      </c>
      <c r="M208" s="721">
        <v>184649</v>
      </c>
      <c r="N208" s="721">
        <v>4047</v>
      </c>
      <c r="O208" s="721">
        <f>SUM(L208:N208)</f>
        <v>210153</v>
      </c>
    </row>
    <row r="209" spans="1:15" s="722" customFormat="1" x14ac:dyDescent="0.25">
      <c r="A209" s="728"/>
      <c r="B209" s="720" t="s">
        <v>380</v>
      </c>
      <c r="C209" s="720"/>
      <c r="D209" s="720"/>
      <c r="E209" s="720"/>
      <c r="F209" s="720"/>
      <c r="G209" s="720"/>
      <c r="H209" s="720"/>
      <c r="I209" s="720"/>
      <c r="J209" s="721">
        <f>SUM(C209+E209+F209+H209)</f>
        <v>0</v>
      </c>
      <c r="K209" s="721">
        <f>SUM(D209+G209+I209)</f>
        <v>0</v>
      </c>
      <c r="L209" s="721">
        <f>SUM(J209:K209)</f>
        <v>0</v>
      </c>
      <c r="M209" s="721">
        <v>1581</v>
      </c>
      <c r="N209" s="721"/>
      <c r="O209" s="721">
        <f>SUM(L209:N209)</f>
        <v>1581</v>
      </c>
    </row>
    <row r="210" spans="1:15" x14ac:dyDescent="0.25">
      <c r="A210" s="727"/>
      <c r="B210" s="729" t="s">
        <v>131</v>
      </c>
      <c r="C210" s="729"/>
      <c r="D210" s="729"/>
      <c r="E210" s="729"/>
      <c r="F210" s="729"/>
      <c r="G210" s="729"/>
      <c r="H210" s="729"/>
      <c r="I210" s="729"/>
      <c r="J210" s="717"/>
      <c r="K210" s="717"/>
      <c r="L210" s="717"/>
      <c r="M210" s="717"/>
      <c r="N210" s="717"/>
      <c r="O210" s="717"/>
    </row>
    <row r="211" spans="1:15" ht="31.5" x14ac:dyDescent="0.25">
      <c r="A211" s="727"/>
      <c r="B211" s="723" t="s">
        <v>1425</v>
      </c>
      <c r="C211" s="729"/>
      <c r="D211" s="729"/>
      <c r="E211" s="729"/>
      <c r="F211" s="729"/>
      <c r="G211" s="729"/>
      <c r="H211" s="729"/>
      <c r="I211" s="729"/>
      <c r="J211" s="717">
        <f>SUM(C211+E211+F211+H211)</f>
        <v>0</v>
      </c>
      <c r="K211" s="717">
        <f>SUM(D211+G211+I211)</f>
        <v>0</v>
      </c>
      <c r="L211" s="717">
        <f>SUM(J211:K211)</f>
        <v>0</v>
      </c>
      <c r="M211" s="717">
        <v>312</v>
      </c>
      <c r="N211" s="717"/>
      <c r="O211" s="717">
        <f>SUM(L211:N211)</f>
        <v>312</v>
      </c>
    </row>
    <row r="212" spans="1:15" s="722" customFormat="1" ht="66" customHeight="1" x14ac:dyDescent="0.25">
      <c r="A212" s="728"/>
      <c r="B212" s="724" t="s">
        <v>1337</v>
      </c>
      <c r="C212" s="723"/>
      <c r="D212" s="723"/>
      <c r="E212" s="723"/>
      <c r="F212" s="723"/>
      <c r="G212" s="723"/>
      <c r="H212" s="723"/>
      <c r="I212" s="723"/>
      <c r="J212" s="723">
        <f t="shared" ref="J212:J228" si="84">SUM(C212+E212+F212+H212)</f>
        <v>0</v>
      </c>
      <c r="K212" s="723">
        <f t="shared" ref="K212:K228" si="85">SUM(D212+G212+I212)</f>
        <v>0</v>
      </c>
      <c r="L212" s="723">
        <f t="shared" ref="L212:L228" si="86">SUM(J212:K212)</f>
        <v>0</v>
      </c>
      <c r="M212" s="723">
        <v>4128</v>
      </c>
      <c r="N212" s="723"/>
      <c r="O212" s="723">
        <f t="shared" ref="O212:O228" si="87">SUM(L212:N212)</f>
        <v>4128</v>
      </c>
    </row>
    <row r="213" spans="1:15" ht="31.5" x14ac:dyDescent="0.25">
      <c r="A213" s="727"/>
      <c r="B213" s="724" t="s">
        <v>1338</v>
      </c>
      <c r="C213" s="729"/>
      <c r="D213" s="729"/>
      <c r="E213" s="729"/>
      <c r="F213" s="729"/>
      <c r="G213" s="729"/>
      <c r="H213" s="729"/>
      <c r="I213" s="729"/>
      <c r="J213" s="717">
        <f t="shared" si="84"/>
        <v>0</v>
      </c>
      <c r="K213" s="717">
        <f t="shared" si="85"/>
        <v>0</v>
      </c>
      <c r="L213" s="717">
        <f t="shared" si="86"/>
        <v>0</v>
      </c>
      <c r="M213" s="717">
        <v>634</v>
      </c>
      <c r="N213" s="717"/>
      <c r="O213" s="717">
        <f t="shared" si="87"/>
        <v>634</v>
      </c>
    </row>
    <row r="214" spans="1:15" ht="31.5" x14ac:dyDescent="0.25">
      <c r="A214" s="727"/>
      <c r="B214" s="731" t="s">
        <v>1426</v>
      </c>
      <c r="C214" s="729"/>
      <c r="D214" s="729"/>
      <c r="E214" s="729"/>
      <c r="F214" s="729"/>
      <c r="G214" s="729"/>
      <c r="H214" s="729"/>
      <c r="I214" s="729"/>
      <c r="J214" s="717">
        <f t="shared" si="84"/>
        <v>0</v>
      </c>
      <c r="K214" s="717">
        <f t="shared" si="85"/>
        <v>0</v>
      </c>
      <c r="L214" s="717">
        <f t="shared" si="86"/>
        <v>0</v>
      </c>
      <c r="M214" s="717">
        <v>-4925</v>
      </c>
      <c r="N214" s="717"/>
      <c r="O214" s="717">
        <f t="shared" si="87"/>
        <v>-4925</v>
      </c>
    </row>
    <row r="215" spans="1:15" ht="31.5" x14ac:dyDescent="0.25">
      <c r="A215" s="727"/>
      <c r="B215" s="723" t="s">
        <v>961</v>
      </c>
      <c r="C215" s="729"/>
      <c r="D215" s="729"/>
      <c r="E215" s="729"/>
      <c r="F215" s="729"/>
      <c r="G215" s="729"/>
      <c r="H215" s="729"/>
      <c r="I215" s="729"/>
      <c r="J215" s="717">
        <f t="shared" si="84"/>
        <v>0</v>
      </c>
      <c r="K215" s="717">
        <f t="shared" si="85"/>
        <v>0</v>
      </c>
      <c r="L215" s="717">
        <f t="shared" si="86"/>
        <v>0</v>
      </c>
      <c r="M215" s="717">
        <v>263</v>
      </c>
      <c r="N215" s="717"/>
      <c r="O215" s="717">
        <f t="shared" si="87"/>
        <v>263</v>
      </c>
    </row>
    <row r="216" spans="1:15" ht="31.5" x14ac:dyDescent="0.25">
      <c r="A216" s="727"/>
      <c r="B216" s="723" t="s">
        <v>1434</v>
      </c>
      <c r="C216" s="729"/>
      <c r="D216" s="729"/>
      <c r="E216" s="729"/>
      <c r="F216" s="731">
        <v>-285</v>
      </c>
      <c r="G216" s="729"/>
      <c r="H216" s="729"/>
      <c r="I216" s="729"/>
      <c r="J216" s="717">
        <f t="shared" si="84"/>
        <v>-285</v>
      </c>
      <c r="K216" s="717">
        <f t="shared" si="85"/>
        <v>0</v>
      </c>
      <c r="L216" s="717">
        <f t="shared" si="86"/>
        <v>-285</v>
      </c>
      <c r="M216" s="717">
        <v>31508</v>
      </c>
      <c r="N216" s="717"/>
      <c r="O216" s="717">
        <f t="shared" si="87"/>
        <v>31223</v>
      </c>
    </row>
    <row r="217" spans="1:15" ht="63" x14ac:dyDescent="0.25">
      <c r="A217" s="727"/>
      <c r="B217" s="724" t="s">
        <v>1343</v>
      </c>
      <c r="C217" s="729"/>
      <c r="D217" s="729"/>
      <c r="E217" s="729"/>
      <c r="F217" s="729"/>
      <c r="G217" s="729"/>
      <c r="H217" s="729"/>
      <c r="I217" s="729"/>
      <c r="J217" s="717">
        <f t="shared" si="84"/>
        <v>0</v>
      </c>
      <c r="K217" s="717">
        <f t="shared" si="85"/>
        <v>0</v>
      </c>
      <c r="L217" s="717">
        <f t="shared" si="86"/>
        <v>0</v>
      </c>
      <c r="M217" s="717">
        <v>1962</v>
      </c>
      <c r="N217" s="717"/>
      <c r="O217" s="717">
        <f t="shared" si="87"/>
        <v>1962</v>
      </c>
    </row>
    <row r="218" spans="1:15" ht="31.5" x14ac:dyDescent="0.25">
      <c r="A218" s="727"/>
      <c r="B218" s="724" t="s">
        <v>1344</v>
      </c>
      <c r="C218" s="729"/>
      <c r="D218" s="729"/>
      <c r="E218" s="729"/>
      <c r="F218" s="729"/>
      <c r="G218" s="729"/>
      <c r="H218" s="729"/>
      <c r="I218" s="729"/>
      <c r="J218" s="717">
        <f t="shared" si="84"/>
        <v>0</v>
      </c>
      <c r="K218" s="717">
        <f t="shared" si="85"/>
        <v>0</v>
      </c>
      <c r="L218" s="717">
        <f t="shared" si="86"/>
        <v>0</v>
      </c>
      <c r="M218" s="717">
        <v>379</v>
      </c>
      <c r="N218" s="717"/>
      <c r="O218" s="717">
        <f t="shared" si="87"/>
        <v>379</v>
      </c>
    </row>
    <row r="219" spans="1:15" ht="31.5" x14ac:dyDescent="0.25">
      <c r="A219" s="727"/>
      <c r="B219" s="731" t="s">
        <v>1435</v>
      </c>
      <c r="C219" s="729"/>
      <c r="D219" s="729"/>
      <c r="E219" s="729"/>
      <c r="F219" s="729"/>
      <c r="G219" s="729"/>
      <c r="H219" s="729"/>
      <c r="I219" s="729"/>
      <c r="J219" s="717">
        <f t="shared" si="84"/>
        <v>0</v>
      </c>
      <c r="K219" s="717">
        <f t="shared" si="85"/>
        <v>0</v>
      </c>
      <c r="L219" s="717">
        <f t="shared" si="86"/>
        <v>0</v>
      </c>
      <c r="M219" s="717">
        <v>-615</v>
      </c>
      <c r="N219" s="717"/>
      <c r="O219" s="717">
        <f t="shared" si="87"/>
        <v>-615</v>
      </c>
    </row>
    <row r="220" spans="1:15" ht="31.5" x14ac:dyDescent="0.25">
      <c r="A220" s="727"/>
      <c r="B220" s="723" t="s">
        <v>1346</v>
      </c>
      <c r="C220" s="729"/>
      <c r="D220" s="729"/>
      <c r="E220" s="729"/>
      <c r="F220" s="731">
        <v>285</v>
      </c>
      <c r="G220" s="729"/>
      <c r="H220" s="729"/>
      <c r="I220" s="729"/>
      <c r="J220" s="717">
        <f t="shared" si="84"/>
        <v>285</v>
      </c>
      <c r="K220" s="717">
        <f t="shared" si="85"/>
        <v>0</v>
      </c>
      <c r="L220" s="717">
        <f t="shared" si="86"/>
        <v>285</v>
      </c>
      <c r="M220" s="717"/>
      <c r="N220" s="717"/>
      <c r="O220" s="717">
        <f t="shared" si="87"/>
        <v>285</v>
      </c>
    </row>
    <row r="221" spans="1:15" ht="31.5" x14ac:dyDescent="0.25">
      <c r="A221" s="727"/>
      <c r="B221" s="723" t="s">
        <v>1436</v>
      </c>
      <c r="C221" s="729"/>
      <c r="D221" s="729"/>
      <c r="E221" s="729"/>
      <c r="F221" s="731"/>
      <c r="G221" s="729"/>
      <c r="H221" s="729"/>
      <c r="I221" s="729"/>
      <c r="J221" s="717">
        <f t="shared" si="84"/>
        <v>0</v>
      </c>
      <c r="K221" s="717">
        <f t="shared" si="85"/>
        <v>0</v>
      </c>
      <c r="L221" s="717">
        <f t="shared" si="86"/>
        <v>0</v>
      </c>
      <c r="M221" s="717">
        <v>-44542</v>
      </c>
      <c r="N221" s="717"/>
      <c r="O221" s="717">
        <f t="shared" si="87"/>
        <v>-44542</v>
      </c>
    </row>
    <row r="222" spans="1:15" x14ac:dyDescent="0.25">
      <c r="A222" s="727"/>
      <c r="B222" s="729" t="s">
        <v>132</v>
      </c>
      <c r="C222" s="729"/>
      <c r="D222" s="729"/>
      <c r="E222" s="729"/>
      <c r="F222" s="729"/>
      <c r="G222" s="729"/>
      <c r="H222" s="729"/>
      <c r="I222" s="729"/>
      <c r="J222" s="717"/>
      <c r="K222" s="717"/>
      <c r="L222" s="717"/>
      <c r="M222" s="717"/>
      <c r="N222" s="717"/>
      <c r="O222" s="717"/>
    </row>
    <row r="223" spans="1:15" x14ac:dyDescent="0.25">
      <c r="A223" s="727"/>
      <c r="B223" s="723" t="s">
        <v>1330</v>
      </c>
      <c r="C223" s="729"/>
      <c r="D223" s="729"/>
      <c r="E223" s="729"/>
      <c r="F223" s="729"/>
      <c r="G223" s="729"/>
      <c r="H223" s="729"/>
      <c r="I223" s="729"/>
      <c r="J223" s="717">
        <f t="shared" si="84"/>
        <v>0</v>
      </c>
      <c r="K223" s="717">
        <f t="shared" si="85"/>
        <v>0</v>
      </c>
      <c r="L223" s="717">
        <f t="shared" si="86"/>
        <v>0</v>
      </c>
      <c r="M223" s="717">
        <v>785</v>
      </c>
      <c r="N223" s="717"/>
      <c r="O223" s="717">
        <f t="shared" si="87"/>
        <v>785</v>
      </c>
    </row>
    <row r="224" spans="1:15" ht="78.75" x14ac:dyDescent="0.25">
      <c r="A224" s="727"/>
      <c r="B224" s="723" t="s">
        <v>1349</v>
      </c>
      <c r="C224" s="729"/>
      <c r="D224" s="729"/>
      <c r="E224" s="729"/>
      <c r="F224" s="729"/>
      <c r="G224" s="729"/>
      <c r="H224" s="729"/>
      <c r="I224" s="729"/>
      <c r="J224" s="717">
        <f t="shared" si="84"/>
        <v>0</v>
      </c>
      <c r="K224" s="717">
        <f t="shared" si="85"/>
        <v>0</v>
      </c>
      <c r="L224" s="717">
        <f t="shared" si="86"/>
        <v>0</v>
      </c>
      <c r="M224" s="717">
        <v>235</v>
      </c>
      <c r="N224" s="717"/>
      <c r="O224" s="717">
        <f t="shared" si="87"/>
        <v>235</v>
      </c>
    </row>
    <row r="225" spans="1:16" x14ac:dyDescent="0.25">
      <c r="A225" s="727"/>
      <c r="B225" s="723" t="s">
        <v>1437</v>
      </c>
      <c r="C225" s="729"/>
      <c r="D225" s="729"/>
      <c r="E225" s="729"/>
      <c r="F225" s="729"/>
      <c r="G225" s="729"/>
      <c r="H225" s="729"/>
      <c r="I225" s="729"/>
      <c r="J225" s="717">
        <f t="shared" si="84"/>
        <v>0</v>
      </c>
      <c r="K225" s="717">
        <f t="shared" si="85"/>
        <v>0</v>
      </c>
      <c r="L225" s="717">
        <f t="shared" si="86"/>
        <v>0</v>
      </c>
      <c r="M225" s="717">
        <v>328</v>
      </c>
      <c r="N225" s="717"/>
      <c r="O225" s="717">
        <f t="shared" si="87"/>
        <v>328</v>
      </c>
    </row>
    <row r="226" spans="1:16" ht="94.5" x14ac:dyDescent="0.25">
      <c r="A226" s="735"/>
      <c r="B226" s="723" t="s">
        <v>1350</v>
      </c>
      <c r="C226" s="736"/>
      <c r="D226" s="736"/>
      <c r="E226" s="736"/>
      <c r="F226" s="736"/>
      <c r="G226" s="736"/>
      <c r="H226" s="736"/>
      <c r="I226" s="736"/>
      <c r="J226" s="717">
        <f t="shared" si="84"/>
        <v>0</v>
      </c>
      <c r="K226" s="717">
        <f t="shared" si="85"/>
        <v>0</v>
      </c>
      <c r="L226" s="717">
        <f t="shared" si="86"/>
        <v>0</v>
      </c>
      <c r="M226" s="737">
        <v>30</v>
      </c>
      <c r="N226" s="737"/>
      <c r="O226" s="717">
        <f t="shared" si="87"/>
        <v>30</v>
      </c>
    </row>
    <row r="227" spans="1:16" ht="94.5" x14ac:dyDescent="0.25">
      <c r="A227" s="727"/>
      <c r="B227" s="723" t="s">
        <v>1431</v>
      </c>
      <c r="C227" s="729"/>
      <c r="D227" s="729"/>
      <c r="E227" s="729"/>
      <c r="F227" s="729"/>
      <c r="G227" s="729"/>
      <c r="H227" s="729"/>
      <c r="I227" s="729"/>
      <c r="J227" s="717">
        <f t="shared" si="84"/>
        <v>0</v>
      </c>
      <c r="K227" s="717">
        <f t="shared" si="85"/>
        <v>0</v>
      </c>
      <c r="L227" s="717">
        <f t="shared" si="86"/>
        <v>0</v>
      </c>
      <c r="M227" s="717">
        <v>1128</v>
      </c>
      <c r="N227" s="717"/>
      <c r="O227" s="717">
        <f t="shared" si="87"/>
        <v>1128</v>
      </c>
    </row>
    <row r="228" spans="1:16" ht="32.25" thickBot="1" x14ac:dyDescent="0.3">
      <c r="A228" s="727"/>
      <c r="B228" s="723" t="s">
        <v>1434</v>
      </c>
      <c r="C228" s="729"/>
      <c r="D228" s="729"/>
      <c r="E228" s="729"/>
      <c r="F228" s="729"/>
      <c r="G228" s="729"/>
      <c r="H228" s="729"/>
      <c r="I228" s="729"/>
      <c r="J228" s="717">
        <f t="shared" si="84"/>
        <v>0</v>
      </c>
      <c r="K228" s="717">
        <f t="shared" si="85"/>
        <v>0</v>
      </c>
      <c r="L228" s="717">
        <f t="shared" si="86"/>
        <v>0</v>
      </c>
      <c r="M228" s="717">
        <v>-328</v>
      </c>
      <c r="N228" s="717"/>
      <c r="O228" s="717">
        <f t="shared" si="87"/>
        <v>-328</v>
      </c>
    </row>
    <row r="229" spans="1:16" ht="17.25" thickTop="1" thickBot="1" x14ac:dyDescent="0.3">
      <c r="A229" s="712"/>
      <c r="B229" s="725" t="s">
        <v>379</v>
      </c>
      <c r="C229" s="725">
        <f>+C207+C211+C212+C223+C213+C214+C215+C216+C220+C224+C217+C218+C219+C225+C226+C227+C221+C228</f>
        <v>13707</v>
      </c>
      <c r="D229" s="725">
        <f t="shared" ref="D229:O229" si="88">+D207+D211+D212+D223+D213+D214+D215+D216+D220+D224+D217+D218+D219+D225+D226+D227+D221+D228</f>
        <v>0</v>
      </c>
      <c r="E229" s="725">
        <f t="shared" si="88"/>
        <v>0</v>
      </c>
      <c r="F229" s="725">
        <f t="shared" si="88"/>
        <v>7750</v>
      </c>
      <c r="G229" s="725">
        <f t="shared" si="88"/>
        <v>0</v>
      </c>
      <c r="H229" s="725">
        <f t="shared" si="88"/>
        <v>0</v>
      </c>
      <c r="I229" s="725">
        <f t="shared" si="88"/>
        <v>0</v>
      </c>
      <c r="J229" s="725">
        <f t="shared" si="88"/>
        <v>21457</v>
      </c>
      <c r="K229" s="725">
        <f t="shared" si="88"/>
        <v>0</v>
      </c>
      <c r="L229" s="725">
        <f t="shared" si="88"/>
        <v>21457</v>
      </c>
      <c r="M229" s="725">
        <f t="shared" si="88"/>
        <v>177512</v>
      </c>
      <c r="N229" s="725">
        <f t="shared" si="88"/>
        <v>4047</v>
      </c>
      <c r="O229" s="725">
        <f t="shared" si="88"/>
        <v>203016</v>
      </c>
      <c r="P229" s="703">
        <f>O230+O231</f>
        <v>203016</v>
      </c>
    </row>
    <row r="230" spans="1:16" ht="17.25" thickTop="1" thickBot="1" x14ac:dyDescent="0.3">
      <c r="A230" s="712"/>
      <c r="B230" s="725" t="s">
        <v>378</v>
      </c>
      <c r="C230" s="725">
        <f>+C208+C211+C212+C213+C214+C215+C216+C220+C217+C218+C219+C221</f>
        <v>13707</v>
      </c>
      <c r="D230" s="725">
        <f t="shared" ref="D230:O230" si="89">+D208+D211+D212+D213+D214+D215+D216+D220+D217+D218+D219+D221</f>
        <v>0</v>
      </c>
      <c r="E230" s="725">
        <f t="shared" si="89"/>
        <v>0</v>
      </c>
      <c r="F230" s="725">
        <f t="shared" si="89"/>
        <v>7750</v>
      </c>
      <c r="G230" s="725">
        <f t="shared" si="89"/>
        <v>0</v>
      </c>
      <c r="H230" s="725">
        <f t="shared" si="89"/>
        <v>0</v>
      </c>
      <c r="I230" s="725">
        <f t="shared" si="89"/>
        <v>0</v>
      </c>
      <c r="J230" s="725">
        <f t="shared" si="89"/>
        <v>21457</v>
      </c>
      <c r="K230" s="725">
        <f t="shared" si="89"/>
        <v>0</v>
      </c>
      <c r="L230" s="725">
        <f t="shared" si="89"/>
        <v>21457</v>
      </c>
      <c r="M230" s="725">
        <f t="shared" si="89"/>
        <v>173753</v>
      </c>
      <c r="N230" s="725">
        <f t="shared" si="89"/>
        <v>4047</v>
      </c>
      <c r="O230" s="725">
        <f t="shared" si="89"/>
        <v>199257</v>
      </c>
    </row>
    <row r="231" spans="1:16" ht="17.25" thickTop="1" thickBot="1" x14ac:dyDescent="0.3">
      <c r="A231" s="712"/>
      <c r="B231" s="725" t="s">
        <v>377</v>
      </c>
      <c r="C231" s="725">
        <f>+C209+C223+C224+C225+C226+C227+C228</f>
        <v>0</v>
      </c>
      <c r="D231" s="725">
        <f t="shared" ref="D231:O231" si="90">+D209+D223+D224+D225+D226+D227+D228</f>
        <v>0</v>
      </c>
      <c r="E231" s="725">
        <f t="shared" si="90"/>
        <v>0</v>
      </c>
      <c r="F231" s="725">
        <f t="shared" si="90"/>
        <v>0</v>
      </c>
      <c r="G231" s="725">
        <f t="shared" si="90"/>
        <v>0</v>
      </c>
      <c r="H231" s="725">
        <f t="shared" si="90"/>
        <v>0</v>
      </c>
      <c r="I231" s="725">
        <f t="shared" si="90"/>
        <v>0</v>
      </c>
      <c r="J231" s="725">
        <f t="shared" si="90"/>
        <v>0</v>
      </c>
      <c r="K231" s="725">
        <f t="shared" si="90"/>
        <v>0</v>
      </c>
      <c r="L231" s="725">
        <f t="shared" si="90"/>
        <v>0</v>
      </c>
      <c r="M231" s="725">
        <f t="shared" si="90"/>
        <v>3759</v>
      </c>
      <c r="N231" s="725">
        <f t="shared" si="90"/>
        <v>0</v>
      </c>
      <c r="O231" s="725">
        <f t="shared" si="90"/>
        <v>3759</v>
      </c>
    </row>
    <row r="232" spans="1:16" ht="16.5" thickTop="1" x14ac:dyDescent="0.25">
      <c r="A232" s="716" t="s">
        <v>3</v>
      </c>
      <c r="B232" s="717" t="s">
        <v>401</v>
      </c>
      <c r="C232" s="717"/>
      <c r="D232" s="717"/>
      <c r="E232" s="717"/>
      <c r="F232" s="717"/>
      <c r="G232" s="717"/>
      <c r="H232" s="717"/>
      <c r="I232" s="717"/>
      <c r="J232" s="717"/>
      <c r="K232" s="717"/>
      <c r="L232" s="717"/>
      <c r="M232" s="717"/>
      <c r="N232" s="717"/>
      <c r="O232" s="717"/>
    </row>
    <row r="233" spans="1:16" x14ac:dyDescent="0.25">
      <c r="A233" s="716"/>
      <c r="B233" s="718" t="s">
        <v>347</v>
      </c>
      <c r="C233" s="718">
        <f t="shared" ref="C233:E233" si="91">SUM(C234:C235)</f>
        <v>11793</v>
      </c>
      <c r="D233" s="718">
        <f t="shared" si="91"/>
        <v>0</v>
      </c>
      <c r="E233" s="718">
        <f t="shared" si="91"/>
        <v>0</v>
      </c>
      <c r="F233" s="718">
        <f>SUM(F234:F235)</f>
        <v>6061</v>
      </c>
      <c r="G233" s="718"/>
      <c r="H233" s="718"/>
      <c r="I233" s="718"/>
      <c r="J233" s="718">
        <f>SUM(C233+E233+F233+H233)</f>
        <v>17854</v>
      </c>
      <c r="K233" s="718">
        <f>SUM(D233+G233+I233)</f>
        <v>0</v>
      </c>
      <c r="L233" s="718">
        <f>SUM(J233:K233)</f>
        <v>17854</v>
      </c>
      <c r="M233" s="718">
        <f>SUM(M234:M235)</f>
        <v>224092</v>
      </c>
      <c r="N233" s="718">
        <f>SUM(N234:N235)</f>
        <v>3138</v>
      </c>
      <c r="O233" s="718">
        <f>SUM(L233:N233)</f>
        <v>245084</v>
      </c>
    </row>
    <row r="234" spans="1:16" s="722" customFormat="1" x14ac:dyDescent="0.25">
      <c r="A234" s="719"/>
      <c r="B234" s="720" t="s">
        <v>381</v>
      </c>
      <c r="C234" s="720">
        <v>11793</v>
      </c>
      <c r="D234" s="720"/>
      <c r="E234" s="720"/>
      <c r="F234" s="720">
        <v>6061</v>
      </c>
      <c r="G234" s="720"/>
      <c r="H234" s="720"/>
      <c r="I234" s="720"/>
      <c r="J234" s="721">
        <f>SUM(C234+E234+F234+H234)</f>
        <v>17854</v>
      </c>
      <c r="K234" s="721">
        <f>SUM(D234+G234+I234)</f>
        <v>0</v>
      </c>
      <c r="L234" s="721">
        <f>SUM(J234:K234)</f>
        <v>17854</v>
      </c>
      <c r="M234" s="721">
        <v>222045</v>
      </c>
      <c r="N234" s="721">
        <v>3138</v>
      </c>
      <c r="O234" s="721">
        <f>SUM(L234:N234)</f>
        <v>243037</v>
      </c>
    </row>
    <row r="235" spans="1:16" s="722" customFormat="1" x14ac:dyDescent="0.25">
      <c r="A235" s="719"/>
      <c r="B235" s="720" t="s">
        <v>380</v>
      </c>
      <c r="C235" s="720"/>
      <c r="D235" s="720"/>
      <c r="E235" s="720"/>
      <c r="F235" s="720"/>
      <c r="G235" s="720"/>
      <c r="H235" s="720"/>
      <c r="I235" s="720"/>
      <c r="J235" s="721">
        <f>SUM(C235+E235+F235+H235)</f>
        <v>0</v>
      </c>
      <c r="K235" s="721">
        <f>SUM(D235+G235+I235)</f>
        <v>0</v>
      </c>
      <c r="L235" s="721">
        <f>SUM(J235:K235)</f>
        <v>0</v>
      </c>
      <c r="M235" s="721">
        <v>2047</v>
      </c>
      <c r="N235" s="721"/>
      <c r="O235" s="721">
        <f>SUM(L235:N235)</f>
        <v>2047</v>
      </c>
    </row>
    <row r="236" spans="1:16" s="722" customFormat="1" x14ac:dyDescent="0.25">
      <c r="A236" s="719"/>
      <c r="B236" s="720" t="s">
        <v>131</v>
      </c>
      <c r="C236" s="723"/>
      <c r="D236" s="723"/>
      <c r="E236" s="723"/>
      <c r="F236" s="723"/>
      <c r="G236" s="723"/>
      <c r="H236" s="723"/>
      <c r="I236" s="723"/>
      <c r="J236" s="723"/>
      <c r="K236" s="723"/>
      <c r="L236" s="723"/>
      <c r="M236" s="723"/>
      <c r="N236" s="723"/>
      <c r="O236" s="723"/>
    </row>
    <row r="237" spans="1:16" s="722" customFormat="1" ht="63" x14ac:dyDescent="0.25">
      <c r="A237" s="728"/>
      <c r="B237" s="731" t="s">
        <v>1326</v>
      </c>
      <c r="C237" s="731"/>
      <c r="D237" s="731"/>
      <c r="E237" s="731"/>
      <c r="F237" s="731"/>
      <c r="G237" s="731"/>
      <c r="H237" s="731"/>
      <c r="I237" s="731"/>
      <c r="J237" s="731">
        <f t="shared" ref="J237:J248" si="92">SUM(C237+E237+F237+H237)</f>
        <v>0</v>
      </c>
      <c r="K237" s="731">
        <f t="shared" ref="K237:K248" si="93">SUM(D237+G237+I237)</f>
        <v>0</v>
      </c>
      <c r="L237" s="731">
        <f t="shared" ref="L237:L248" si="94">SUM(J237:K237)</f>
        <v>0</v>
      </c>
      <c r="M237" s="731">
        <v>1941</v>
      </c>
      <c r="N237" s="731"/>
      <c r="O237" s="731">
        <f t="shared" ref="O237:O248" si="95">SUM(L237:N237)</f>
        <v>1941</v>
      </c>
    </row>
    <row r="238" spans="1:16" s="722" customFormat="1" ht="66" customHeight="1" x14ac:dyDescent="0.25">
      <c r="A238" s="728"/>
      <c r="B238" s="772" t="s">
        <v>1337</v>
      </c>
      <c r="C238" s="731"/>
      <c r="D238" s="731"/>
      <c r="E238" s="731"/>
      <c r="F238" s="731"/>
      <c r="G238" s="731"/>
      <c r="H238" s="731"/>
      <c r="I238" s="731"/>
      <c r="J238" s="731">
        <f t="shared" si="92"/>
        <v>0</v>
      </c>
      <c r="K238" s="731">
        <f t="shared" si="93"/>
        <v>0</v>
      </c>
      <c r="L238" s="731">
        <f t="shared" si="94"/>
        <v>0</v>
      </c>
      <c r="M238" s="731">
        <v>4957</v>
      </c>
      <c r="N238" s="731"/>
      <c r="O238" s="731">
        <f t="shared" si="95"/>
        <v>4957</v>
      </c>
    </row>
    <row r="239" spans="1:16" s="722" customFormat="1" ht="31.5" x14ac:dyDescent="0.25">
      <c r="A239" s="719"/>
      <c r="B239" s="724" t="s">
        <v>1338</v>
      </c>
      <c r="C239" s="723"/>
      <c r="D239" s="723"/>
      <c r="E239" s="723"/>
      <c r="F239" s="723"/>
      <c r="G239" s="723"/>
      <c r="H239" s="723"/>
      <c r="I239" s="723"/>
      <c r="J239" s="723">
        <f>SUM(C239+E239+F239+H239)</f>
        <v>0</v>
      </c>
      <c r="K239" s="723">
        <f t="shared" si="93"/>
        <v>0</v>
      </c>
      <c r="L239" s="723">
        <f>SUM(J239:K239)</f>
        <v>0</v>
      </c>
      <c r="M239" s="723">
        <v>1899</v>
      </c>
      <c r="N239" s="723"/>
      <c r="O239" s="723">
        <f t="shared" si="95"/>
        <v>1899</v>
      </c>
    </row>
    <row r="240" spans="1:16" s="722" customFormat="1" ht="31.5" x14ac:dyDescent="0.25">
      <c r="A240" s="719"/>
      <c r="B240" s="731" t="s">
        <v>1426</v>
      </c>
      <c r="C240" s="723"/>
      <c r="D240" s="723"/>
      <c r="E240" s="723"/>
      <c r="F240" s="723"/>
      <c r="G240" s="723"/>
      <c r="H240" s="723"/>
      <c r="I240" s="723"/>
      <c r="J240" s="723">
        <f>SUM(C240+E240+F240+H240)</f>
        <v>0</v>
      </c>
      <c r="K240" s="723">
        <f t="shared" si="93"/>
        <v>0</v>
      </c>
      <c r="L240" s="723">
        <f>SUM(J240:K240)</f>
        <v>0</v>
      </c>
      <c r="M240" s="723">
        <v>-656</v>
      </c>
      <c r="N240" s="723"/>
      <c r="O240" s="723">
        <f t="shared" si="95"/>
        <v>-656</v>
      </c>
    </row>
    <row r="241" spans="1:16" s="722" customFormat="1" x14ac:dyDescent="0.25">
      <c r="A241" s="719"/>
      <c r="B241" s="724" t="s">
        <v>1432</v>
      </c>
      <c r="C241" s="723"/>
      <c r="D241" s="723"/>
      <c r="E241" s="723"/>
      <c r="F241" s="723">
        <v>-266</v>
      </c>
      <c r="G241" s="723"/>
      <c r="H241" s="723"/>
      <c r="I241" s="723"/>
      <c r="J241" s="723">
        <f>SUM(C241+E241+F241+H241)</f>
        <v>-266</v>
      </c>
      <c r="K241" s="723">
        <f t="shared" si="93"/>
        <v>0</v>
      </c>
      <c r="L241" s="723">
        <f>SUM(J241:K241)</f>
        <v>-266</v>
      </c>
      <c r="M241" s="723">
        <v>-5262</v>
      </c>
      <c r="N241" s="723"/>
      <c r="O241" s="723">
        <f t="shared" si="95"/>
        <v>-5528</v>
      </c>
    </row>
    <row r="242" spans="1:16" s="722" customFormat="1" ht="31.5" x14ac:dyDescent="0.25">
      <c r="A242" s="719"/>
      <c r="B242" s="723" t="s">
        <v>961</v>
      </c>
      <c r="C242" s="723"/>
      <c r="D242" s="723"/>
      <c r="E242" s="723"/>
      <c r="F242" s="723"/>
      <c r="G242" s="723"/>
      <c r="H242" s="723"/>
      <c r="I242" s="723"/>
      <c r="J242" s="723">
        <f>SUM(C242+E242+F242+H242)</f>
        <v>0</v>
      </c>
      <c r="K242" s="723">
        <f t="shared" si="93"/>
        <v>0</v>
      </c>
      <c r="L242" s="723">
        <f>SUM(J242:K242)</f>
        <v>0</v>
      </c>
      <c r="M242" s="723">
        <v>60</v>
      </c>
      <c r="N242" s="723"/>
      <c r="O242" s="723">
        <f t="shared" si="95"/>
        <v>60</v>
      </c>
    </row>
    <row r="243" spans="1:16" s="722" customFormat="1" x14ac:dyDescent="0.25">
      <c r="A243" s="719"/>
      <c r="B243" s="720" t="s">
        <v>132</v>
      </c>
      <c r="C243" s="723"/>
      <c r="D243" s="723"/>
      <c r="E243" s="723"/>
      <c r="F243" s="723"/>
      <c r="G243" s="723"/>
      <c r="H243" s="723"/>
      <c r="I243" s="723"/>
      <c r="J243" s="723"/>
      <c r="K243" s="723"/>
      <c r="L243" s="723"/>
      <c r="M243" s="723"/>
      <c r="N243" s="723"/>
      <c r="O243" s="723"/>
    </row>
    <row r="244" spans="1:16" s="722" customFormat="1" x14ac:dyDescent="0.25">
      <c r="A244" s="719"/>
      <c r="B244" s="723" t="s">
        <v>1330</v>
      </c>
      <c r="C244" s="723"/>
      <c r="D244" s="723"/>
      <c r="E244" s="723"/>
      <c r="F244" s="723"/>
      <c r="G244" s="723"/>
      <c r="H244" s="723"/>
      <c r="I244" s="723"/>
      <c r="J244" s="723">
        <f t="shared" si="92"/>
        <v>0</v>
      </c>
      <c r="K244" s="723">
        <f t="shared" si="93"/>
        <v>0</v>
      </c>
      <c r="L244" s="723">
        <f t="shared" si="94"/>
        <v>0</v>
      </c>
      <c r="M244" s="723">
        <v>1005</v>
      </c>
      <c r="N244" s="723"/>
      <c r="O244" s="723">
        <f t="shared" si="95"/>
        <v>1005</v>
      </c>
    </row>
    <row r="245" spans="1:16" s="722" customFormat="1" ht="66.75" customHeight="1" x14ac:dyDescent="0.25">
      <c r="A245" s="719"/>
      <c r="B245" s="723" t="s">
        <v>1438</v>
      </c>
      <c r="C245" s="723"/>
      <c r="D245" s="723"/>
      <c r="E245" s="723"/>
      <c r="F245" s="723"/>
      <c r="G245" s="723"/>
      <c r="H245" s="723"/>
      <c r="I245" s="723"/>
      <c r="J245" s="723">
        <f t="shared" si="92"/>
        <v>0</v>
      </c>
      <c r="K245" s="723">
        <f t="shared" si="93"/>
        <v>0</v>
      </c>
      <c r="L245" s="723">
        <f t="shared" si="94"/>
        <v>0</v>
      </c>
      <c r="M245" s="723">
        <v>35</v>
      </c>
      <c r="N245" s="723"/>
      <c r="O245" s="723">
        <f t="shared" si="95"/>
        <v>35</v>
      </c>
    </row>
    <row r="246" spans="1:16" s="722" customFormat="1" ht="63" x14ac:dyDescent="0.25">
      <c r="A246" s="719"/>
      <c r="B246" s="723" t="s">
        <v>1439</v>
      </c>
      <c r="C246" s="723"/>
      <c r="D246" s="723"/>
      <c r="E246" s="723"/>
      <c r="F246" s="723"/>
      <c r="G246" s="723"/>
      <c r="H246" s="723"/>
      <c r="I246" s="723"/>
      <c r="J246" s="723">
        <f t="shared" si="92"/>
        <v>0</v>
      </c>
      <c r="K246" s="723">
        <f t="shared" si="93"/>
        <v>0</v>
      </c>
      <c r="L246" s="723">
        <f t="shared" si="94"/>
        <v>0</v>
      </c>
      <c r="M246" s="723">
        <v>40</v>
      </c>
      <c r="N246" s="723"/>
      <c r="O246" s="723">
        <f t="shared" si="95"/>
        <v>40</v>
      </c>
    </row>
    <row r="247" spans="1:16" s="722" customFormat="1" ht="94.5" x14ac:dyDescent="0.25">
      <c r="A247" s="719"/>
      <c r="B247" s="723" t="s">
        <v>1440</v>
      </c>
      <c r="C247" s="723"/>
      <c r="D247" s="723"/>
      <c r="E247" s="723"/>
      <c r="F247" s="723"/>
      <c r="G247" s="723"/>
      <c r="H247" s="723"/>
      <c r="I247" s="723"/>
      <c r="J247" s="723">
        <f t="shared" si="92"/>
        <v>0</v>
      </c>
      <c r="K247" s="723">
        <f t="shared" si="93"/>
        <v>0</v>
      </c>
      <c r="L247" s="723">
        <f t="shared" si="94"/>
        <v>0</v>
      </c>
      <c r="M247" s="723">
        <v>130</v>
      </c>
      <c r="N247" s="723"/>
      <c r="O247" s="723">
        <f t="shared" si="95"/>
        <v>130</v>
      </c>
    </row>
    <row r="248" spans="1:16" s="722" customFormat="1" ht="95.25" thickBot="1" x14ac:dyDescent="0.3">
      <c r="A248" s="719"/>
      <c r="B248" s="723" t="s">
        <v>1431</v>
      </c>
      <c r="C248" s="723"/>
      <c r="D248" s="723"/>
      <c r="E248" s="723"/>
      <c r="F248" s="723"/>
      <c r="G248" s="723"/>
      <c r="H248" s="723"/>
      <c r="I248" s="723"/>
      <c r="J248" s="723">
        <f t="shared" si="92"/>
        <v>0</v>
      </c>
      <c r="K248" s="723">
        <f t="shared" si="93"/>
        <v>0</v>
      </c>
      <c r="L248" s="723">
        <f t="shared" si="94"/>
        <v>0</v>
      </c>
      <c r="M248" s="723">
        <v>1672</v>
      </c>
      <c r="N248" s="723"/>
      <c r="O248" s="723">
        <f t="shared" si="95"/>
        <v>1672</v>
      </c>
    </row>
    <row r="249" spans="1:16" ht="17.25" thickTop="1" thickBot="1" x14ac:dyDescent="0.3">
      <c r="A249" s="712"/>
      <c r="B249" s="725" t="s">
        <v>379</v>
      </c>
      <c r="C249" s="725">
        <f>+C233+C237+C244+C238+C239+C240+C241+C242+C245+C246+C247+C248</f>
        <v>11793</v>
      </c>
      <c r="D249" s="725">
        <f t="shared" ref="D249:O249" si="96">+D233+D237+D244+D238+D239+D240+D241+D242+D245+D246+D247+D248</f>
        <v>0</v>
      </c>
      <c r="E249" s="725">
        <f t="shared" si="96"/>
        <v>0</v>
      </c>
      <c r="F249" s="725">
        <f t="shared" si="96"/>
        <v>5795</v>
      </c>
      <c r="G249" s="725">
        <f t="shared" si="96"/>
        <v>0</v>
      </c>
      <c r="H249" s="725">
        <f t="shared" si="96"/>
        <v>0</v>
      </c>
      <c r="I249" s="725">
        <f t="shared" si="96"/>
        <v>0</v>
      </c>
      <c r="J249" s="725">
        <f t="shared" si="96"/>
        <v>17588</v>
      </c>
      <c r="K249" s="725">
        <f t="shared" si="96"/>
        <v>0</v>
      </c>
      <c r="L249" s="725">
        <f t="shared" si="96"/>
        <v>17588</v>
      </c>
      <c r="M249" s="725">
        <f t="shared" si="96"/>
        <v>229913</v>
      </c>
      <c r="N249" s="725">
        <f t="shared" si="96"/>
        <v>3138</v>
      </c>
      <c r="O249" s="725">
        <f t="shared" si="96"/>
        <v>250639</v>
      </c>
      <c r="P249" s="703">
        <f>O250+O251</f>
        <v>250639</v>
      </c>
    </row>
    <row r="250" spans="1:16" ht="17.25" thickTop="1" thickBot="1" x14ac:dyDescent="0.3">
      <c r="A250" s="712"/>
      <c r="B250" s="725" t="s">
        <v>378</v>
      </c>
      <c r="C250" s="725">
        <f>+C234+C237+C238+C239+C240+C241+C242</f>
        <v>11793</v>
      </c>
      <c r="D250" s="725">
        <f t="shared" ref="D250:O250" si="97">+D234+D237+D238+D239+D240+D241+D242</f>
        <v>0</v>
      </c>
      <c r="E250" s="725">
        <f t="shared" si="97"/>
        <v>0</v>
      </c>
      <c r="F250" s="725">
        <f t="shared" si="97"/>
        <v>5795</v>
      </c>
      <c r="G250" s="725">
        <f t="shared" si="97"/>
        <v>0</v>
      </c>
      <c r="H250" s="725">
        <f t="shared" si="97"/>
        <v>0</v>
      </c>
      <c r="I250" s="725">
        <f t="shared" si="97"/>
        <v>0</v>
      </c>
      <c r="J250" s="725">
        <f t="shared" si="97"/>
        <v>17588</v>
      </c>
      <c r="K250" s="725">
        <f t="shared" si="97"/>
        <v>0</v>
      </c>
      <c r="L250" s="725">
        <f t="shared" si="97"/>
        <v>17588</v>
      </c>
      <c r="M250" s="725">
        <f t="shared" si="97"/>
        <v>224984</v>
      </c>
      <c r="N250" s="725">
        <f t="shared" si="97"/>
        <v>3138</v>
      </c>
      <c r="O250" s="725">
        <f t="shared" si="97"/>
        <v>245710</v>
      </c>
    </row>
    <row r="251" spans="1:16" ht="17.25" thickTop="1" thickBot="1" x14ac:dyDescent="0.3">
      <c r="A251" s="712"/>
      <c r="B251" s="725" t="s">
        <v>377</v>
      </c>
      <c r="C251" s="725">
        <f t="shared" ref="C251:O251" si="98">+C235+C244+C245+C246+C247+C248</f>
        <v>0</v>
      </c>
      <c r="D251" s="725">
        <f t="shared" si="98"/>
        <v>0</v>
      </c>
      <c r="E251" s="725">
        <f t="shared" si="98"/>
        <v>0</v>
      </c>
      <c r="F251" s="725">
        <f t="shared" si="98"/>
        <v>0</v>
      </c>
      <c r="G251" s="725">
        <f t="shared" si="98"/>
        <v>0</v>
      </c>
      <c r="H251" s="725">
        <f t="shared" si="98"/>
        <v>0</v>
      </c>
      <c r="I251" s="725">
        <f t="shared" si="98"/>
        <v>0</v>
      </c>
      <c r="J251" s="725">
        <f t="shared" si="98"/>
        <v>0</v>
      </c>
      <c r="K251" s="725">
        <f t="shared" si="98"/>
        <v>0</v>
      </c>
      <c r="L251" s="725">
        <f t="shared" si="98"/>
        <v>0</v>
      </c>
      <c r="M251" s="725">
        <f t="shared" si="98"/>
        <v>4929</v>
      </c>
      <c r="N251" s="725">
        <f t="shared" si="98"/>
        <v>0</v>
      </c>
      <c r="O251" s="725">
        <f t="shared" si="98"/>
        <v>4929</v>
      </c>
    </row>
    <row r="252" spans="1:16" ht="16.5" thickTop="1" x14ac:dyDescent="0.25">
      <c r="A252" s="727" t="s">
        <v>4</v>
      </c>
      <c r="B252" s="717" t="s">
        <v>400</v>
      </c>
      <c r="C252" s="717"/>
      <c r="D252" s="717"/>
      <c r="E252" s="717"/>
      <c r="F252" s="717"/>
      <c r="G252" s="717"/>
      <c r="H252" s="717"/>
      <c r="I252" s="717"/>
      <c r="J252" s="717"/>
      <c r="K252" s="717"/>
      <c r="L252" s="717"/>
      <c r="M252" s="717"/>
      <c r="N252" s="717"/>
      <c r="O252" s="717"/>
    </row>
    <row r="253" spans="1:16" x14ac:dyDescent="0.25">
      <c r="A253" s="727"/>
      <c r="B253" s="717" t="s">
        <v>958</v>
      </c>
      <c r="C253" s="717">
        <f t="shared" ref="C253:E253" si="99">SUM(C254:C255)</f>
        <v>11989</v>
      </c>
      <c r="D253" s="717">
        <f t="shared" si="99"/>
        <v>0</v>
      </c>
      <c r="E253" s="717">
        <f t="shared" si="99"/>
        <v>0</v>
      </c>
      <c r="F253" s="717">
        <f>SUM(F254:F255)</f>
        <v>8144</v>
      </c>
      <c r="G253" s="717"/>
      <c r="H253" s="717"/>
      <c r="I253" s="717"/>
      <c r="J253" s="718">
        <f>SUM(C253+E253+F253+H253)</f>
        <v>20133</v>
      </c>
      <c r="K253" s="718">
        <f>SUM(D253+G253+I253)</f>
        <v>0</v>
      </c>
      <c r="L253" s="718">
        <f>SUM(J253:K253)</f>
        <v>20133</v>
      </c>
      <c r="M253" s="718">
        <f>SUM(M254:M255)</f>
        <v>189546</v>
      </c>
      <c r="N253" s="718">
        <f>SUM(N254:N255)</f>
        <v>471</v>
      </c>
      <c r="O253" s="718">
        <f>SUM(L253:N253)</f>
        <v>210150</v>
      </c>
    </row>
    <row r="254" spans="1:16" s="722" customFormat="1" x14ac:dyDescent="0.25">
      <c r="A254" s="728"/>
      <c r="B254" s="720" t="s">
        <v>381</v>
      </c>
      <c r="C254" s="720">
        <v>11989</v>
      </c>
      <c r="D254" s="720"/>
      <c r="E254" s="720"/>
      <c r="F254" s="720">
        <v>8144</v>
      </c>
      <c r="G254" s="720"/>
      <c r="H254" s="720"/>
      <c r="I254" s="720"/>
      <c r="J254" s="721">
        <f>SUM(C254+E254+F254+H254)</f>
        <v>20133</v>
      </c>
      <c r="K254" s="721">
        <f>SUM(D254+G254+I254)</f>
        <v>0</v>
      </c>
      <c r="L254" s="721">
        <f>SUM(J254:K254)</f>
        <v>20133</v>
      </c>
      <c r="M254" s="721">
        <v>187742</v>
      </c>
      <c r="N254" s="721">
        <v>471</v>
      </c>
      <c r="O254" s="721">
        <f>SUM(L254:N254)</f>
        <v>208346</v>
      </c>
    </row>
    <row r="255" spans="1:16" s="722" customFormat="1" x14ac:dyDescent="0.25">
      <c r="A255" s="728"/>
      <c r="B255" s="720" t="s">
        <v>380</v>
      </c>
      <c r="C255" s="720"/>
      <c r="D255" s="720"/>
      <c r="E255" s="720"/>
      <c r="F255" s="720"/>
      <c r="G255" s="720"/>
      <c r="H255" s="720"/>
      <c r="I255" s="720"/>
      <c r="J255" s="721">
        <f>SUM(C255+E255+F255+H255)</f>
        <v>0</v>
      </c>
      <c r="K255" s="721">
        <f>SUM(D255+G255+I255)</f>
        <v>0</v>
      </c>
      <c r="L255" s="721">
        <f>SUM(J255:K255)</f>
        <v>0</v>
      </c>
      <c r="M255" s="721">
        <v>1804</v>
      </c>
      <c r="N255" s="721"/>
      <c r="O255" s="721">
        <f>SUM(L255:N255)</f>
        <v>1804</v>
      </c>
    </row>
    <row r="256" spans="1:16" s="722" customFormat="1" x14ac:dyDescent="0.25">
      <c r="A256" s="728"/>
      <c r="B256" s="720" t="s">
        <v>131</v>
      </c>
      <c r="C256" s="723"/>
      <c r="D256" s="723"/>
      <c r="E256" s="723"/>
      <c r="F256" s="723"/>
      <c r="G256" s="723"/>
      <c r="H256" s="723"/>
      <c r="I256" s="723"/>
      <c r="J256" s="723"/>
      <c r="K256" s="723"/>
      <c r="L256" s="723"/>
      <c r="M256" s="723"/>
      <c r="N256" s="723"/>
      <c r="O256" s="723"/>
    </row>
    <row r="257" spans="1:16" s="722" customFormat="1" ht="63" x14ac:dyDescent="0.25">
      <c r="A257" s="728"/>
      <c r="B257" s="738" t="s">
        <v>1326</v>
      </c>
      <c r="C257" s="734"/>
      <c r="D257" s="734"/>
      <c r="E257" s="734"/>
      <c r="F257" s="734"/>
      <c r="G257" s="734"/>
      <c r="H257" s="734"/>
      <c r="I257" s="734"/>
      <c r="J257" s="734">
        <f t="shared" ref="J257:J266" si="100">SUM(C257+E257+F257+H257)</f>
        <v>0</v>
      </c>
      <c r="K257" s="734">
        <f t="shared" ref="K257:K266" si="101">SUM(D257+G257+I257)</f>
        <v>0</v>
      </c>
      <c r="L257" s="734">
        <f t="shared" ref="L257:L266" si="102">SUM(J257:K257)</f>
        <v>0</v>
      </c>
      <c r="M257" s="734">
        <v>4294</v>
      </c>
      <c r="N257" s="734"/>
      <c r="O257" s="734">
        <f t="shared" ref="O257:O266" si="103">SUM(L257:N257)</f>
        <v>4294</v>
      </c>
    </row>
    <row r="258" spans="1:16" s="722" customFormat="1" ht="66" customHeight="1" x14ac:dyDescent="0.25">
      <c r="A258" s="728"/>
      <c r="B258" s="724" t="s">
        <v>1337</v>
      </c>
      <c r="C258" s="723"/>
      <c r="D258" s="723"/>
      <c r="E258" s="723"/>
      <c r="F258" s="723"/>
      <c r="G258" s="723"/>
      <c r="H258" s="723"/>
      <c r="I258" s="723"/>
      <c r="J258" s="723">
        <f t="shared" si="100"/>
        <v>0</v>
      </c>
      <c r="K258" s="723">
        <f t="shared" si="101"/>
        <v>0</v>
      </c>
      <c r="L258" s="723">
        <f t="shared" si="102"/>
        <v>0</v>
      </c>
      <c r="M258" s="723">
        <v>4665</v>
      </c>
      <c r="N258" s="723"/>
      <c r="O258" s="723">
        <f t="shared" si="103"/>
        <v>4665</v>
      </c>
    </row>
    <row r="259" spans="1:16" s="722" customFormat="1" ht="31.5" x14ac:dyDescent="0.25">
      <c r="A259" s="728"/>
      <c r="B259" s="724" t="s">
        <v>1338</v>
      </c>
      <c r="C259" s="734"/>
      <c r="D259" s="734"/>
      <c r="E259" s="734"/>
      <c r="F259" s="734"/>
      <c r="G259" s="734"/>
      <c r="H259" s="734"/>
      <c r="I259" s="734"/>
      <c r="J259" s="734">
        <f t="shared" si="100"/>
        <v>0</v>
      </c>
      <c r="K259" s="734">
        <f t="shared" si="101"/>
        <v>0</v>
      </c>
      <c r="L259" s="734">
        <f t="shared" si="102"/>
        <v>0</v>
      </c>
      <c r="M259" s="734">
        <v>1773</v>
      </c>
      <c r="N259" s="734"/>
      <c r="O259" s="734">
        <f t="shared" si="103"/>
        <v>1773</v>
      </c>
    </row>
    <row r="260" spans="1:16" s="722" customFormat="1" ht="31.5" x14ac:dyDescent="0.25">
      <c r="A260" s="728"/>
      <c r="B260" s="731" t="s">
        <v>1426</v>
      </c>
      <c r="C260" s="723"/>
      <c r="D260" s="723"/>
      <c r="E260" s="723"/>
      <c r="F260" s="723"/>
      <c r="G260" s="723"/>
      <c r="H260" s="723"/>
      <c r="I260" s="723"/>
      <c r="J260" s="723">
        <f t="shared" si="100"/>
        <v>0</v>
      </c>
      <c r="K260" s="723">
        <f t="shared" si="101"/>
        <v>0</v>
      </c>
      <c r="L260" s="723">
        <f t="shared" si="102"/>
        <v>0</v>
      </c>
      <c r="M260" s="723">
        <v>-1610</v>
      </c>
      <c r="N260" s="723"/>
      <c r="O260" s="723">
        <f t="shared" si="103"/>
        <v>-1610</v>
      </c>
    </row>
    <row r="261" spans="1:16" s="722" customFormat="1" x14ac:dyDescent="0.25">
      <c r="A261" s="728"/>
      <c r="B261" s="724" t="s">
        <v>1432</v>
      </c>
      <c r="C261" s="723"/>
      <c r="D261" s="723"/>
      <c r="E261" s="723"/>
      <c r="F261" s="723">
        <v>-640</v>
      </c>
      <c r="G261" s="723"/>
      <c r="H261" s="723"/>
      <c r="I261" s="723"/>
      <c r="J261" s="723">
        <f t="shared" si="100"/>
        <v>-640</v>
      </c>
      <c r="K261" s="723">
        <f t="shared" si="101"/>
        <v>0</v>
      </c>
      <c r="L261" s="723">
        <f t="shared" si="102"/>
        <v>-640</v>
      </c>
      <c r="M261" s="723">
        <v>-5019</v>
      </c>
      <c r="N261" s="723"/>
      <c r="O261" s="723">
        <f t="shared" si="103"/>
        <v>-5659</v>
      </c>
    </row>
    <row r="262" spans="1:16" s="722" customFormat="1" ht="31.5" x14ac:dyDescent="0.25">
      <c r="A262" s="728"/>
      <c r="B262" s="724" t="s">
        <v>961</v>
      </c>
      <c r="C262" s="723"/>
      <c r="D262" s="723"/>
      <c r="E262" s="723"/>
      <c r="F262" s="723"/>
      <c r="G262" s="723"/>
      <c r="H262" s="723"/>
      <c r="I262" s="723"/>
      <c r="J262" s="723">
        <f t="shared" si="100"/>
        <v>0</v>
      </c>
      <c r="K262" s="723">
        <f t="shared" si="101"/>
        <v>0</v>
      </c>
      <c r="L262" s="723">
        <f t="shared" si="102"/>
        <v>0</v>
      </c>
      <c r="M262" s="723">
        <v>175</v>
      </c>
      <c r="N262" s="723"/>
      <c r="O262" s="723">
        <f t="shared" si="103"/>
        <v>175</v>
      </c>
    </row>
    <row r="263" spans="1:16" s="722" customFormat="1" x14ac:dyDescent="0.25">
      <c r="A263" s="728"/>
      <c r="B263" s="720" t="s">
        <v>132</v>
      </c>
      <c r="C263" s="723"/>
      <c r="D263" s="723"/>
      <c r="E263" s="723"/>
      <c r="F263" s="723"/>
      <c r="G263" s="723"/>
      <c r="H263" s="723"/>
      <c r="I263" s="723"/>
      <c r="J263" s="723"/>
      <c r="K263" s="723"/>
      <c r="L263" s="723"/>
      <c r="M263" s="723"/>
      <c r="N263" s="723"/>
      <c r="O263" s="723"/>
    </row>
    <row r="264" spans="1:16" s="722" customFormat="1" x14ac:dyDescent="0.25">
      <c r="A264" s="728"/>
      <c r="B264" s="723" t="s">
        <v>1330</v>
      </c>
      <c r="C264" s="723"/>
      <c r="D264" s="723"/>
      <c r="E264" s="723"/>
      <c r="F264" s="723"/>
      <c r="G264" s="723"/>
      <c r="H264" s="723"/>
      <c r="I264" s="723"/>
      <c r="J264" s="723">
        <f t="shared" si="100"/>
        <v>0</v>
      </c>
      <c r="K264" s="723">
        <f t="shared" si="101"/>
        <v>0</v>
      </c>
      <c r="L264" s="723">
        <f t="shared" si="102"/>
        <v>0</v>
      </c>
      <c r="M264" s="723">
        <v>886</v>
      </c>
      <c r="N264" s="723"/>
      <c r="O264" s="723">
        <f t="shared" si="103"/>
        <v>886</v>
      </c>
    </row>
    <row r="265" spans="1:16" s="722" customFormat="1" ht="78.75" x14ac:dyDescent="0.25">
      <c r="A265" s="728"/>
      <c r="B265" s="738" t="s">
        <v>1334</v>
      </c>
      <c r="C265" s="734"/>
      <c r="D265" s="734"/>
      <c r="E265" s="734"/>
      <c r="F265" s="734"/>
      <c r="G265" s="734"/>
      <c r="H265" s="734"/>
      <c r="I265" s="734"/>
      <c r="J265" s="734">
        <f t="shared" si="100"/>
        <v>0</v>
      </c>
      <c r="K265" s="734">
        <f t="shared" si="101"/>
        <v>0</v>
      </c>
      <c r="L265" s="734">
        <f t="shared" si="102"/>
        <v>0</v>
      </c>
      <c r="M265" s="734">
        <v>15</v>
      </c>
      <c r="N265" s="734"/>
      <c r="O265" s="734">
        <f t="shared" si="103"/>
        <v>15</v>
      </c>
    </row>
    <row r="266" spans="1:16" s="722" customFormat="1" ht="95.25" thickBot="1" x14ac:dyDescent="0.3">
      <c r="A266" s="728"/>
      <c r="B266" s="723" t="s">
        <v>1431</v>
      </c>
      <c r="C266" s="723"/>
      <c r="D266" s="723"/>
      <c r="E266" s="723"/>
      <c r="F266" s="723"/>
      <c r="G266" s="723"/>
      <c r="H266" s="723"/>
      <c r="I266" s="723"/>
      <c r="J266" s="723">
        <f t="shared" si="100"/>
        <v>0</v>
      </c>
      <c r="K266" s="723">
        <f t="shared" si="101"/>
        <v>0</v>
      </c>
      <c r="L266" s="723">
        <f t="shared" si="102"/>
        <v>0</v>
      </c>
      <c r="M266" s="723">
        <v>1390</v>
      </c>
      <c r="N266" s="723"/>
      <c r="O266" s="723">
        <f t="shared" si="103"/>
        <v>1390</v>
      </c>
    </row>
    <row r="267" spans="1:16" ht="17.25" thickTop="1" thickBot="1" x14ac:dyDescent="0.3">
      <c r="A267" s="712"/>
      <c r="B267" s="725" t="s">
        <v>379</v>
      </c>
      <c r="C267" s="725">
        <f>+C253+C257+C264+C258+C259+C260+C261+C265+C266+C262</f>
        <v>11989</v>
      </c>
      <c r="D267" s="725">
        <f t="shared" ref="D267:O267" si="104">+D253+D257+D264+D258+D259+D260+D261+D265+D266+D262</f>
        <v>0</v>
      </c>
      <c r="E267" s="725">
        <f t="shared" si="104"/>
        <v>0</v>
      </c>
      <c r="F267" s="725">
        <f t="shared" si="104"/>
        <v>7504</v>
      </c>
      <c r="G267" s="725">
        <f t="shared" si="104"/>
        <v>0</v>
      </c>
      <c r="H267" s="725">
        <f t="shared" si="104"/>
        <v>0</v>
      </c>
      <c r="I267" s="725">
        <f t="shared" si="104"/>
        <v>0</v>
      </c>
      <c r="J267" s="725">
        <f t="shared" si="104"/>
        <v>19493</v>
      </c>
      <c r="K267" s="725">
        <f t="shared" si="104"/>
        <v>0</v>
      </c>
      <c r="L267" s="725">
        <f t="shared" si="104"/>
        <v>19493</v>
      </c>
      <c r="M267" s="725">
        <f t="shared" si="104"/>
        <v>196115</v>
      </c>
      <c r="N267" s="725">
        <f t="shared" si="104"/>
        <v>471</v>
      </c>
      <c r="O267" s="725">
        <f t="shared" si="104"/>
        <v>216079</v>
      </c>
      <c r="P267" s="703">
        <f>O268+O269</f>
        <v>216079</v>
      </c>
    </row>
    <row r="268" spans="1:16" ht="17.25" thickTop="1" thickBot="1" x14ac:dyDescent="0.3">
      <c r="A268" s="712"/>
      <c r="B268" s="725" t="s">
        <v>378</v>
      </c>
      <c r="C268" s="725">
        <f>+C254+C257+C258+C259+C260+C261+C262</f>
        <v>11989</v>
      </c>
      <c r="D268" s="725">
        <f t="shared" ref="D268:O268" si="105">+D254+D257+D258+D259+D260+D261+D262</f>
        <v>0</v>
      </c>
      <c r="E268" s="725">
        <f t="shared" si="105"/>
        <v>0</v>
      </c>
      <c r="F268" s="725">
        <f t="shared" si="105"/>
        <v>7504</v>
      </c>
      <c r="G268" s="725">
        <f t="shared" si="105"/>
        <v>0</v>
      </c>
      <c r="H268" s="725">
        <f t="shared" si="105"/>
        <v>0</v>
      </c>
      <c r="I268" s="725">
        <f t="shared" si="105"/>
        <v>0</v>
      </c>
      <c r="J268" s="725">
        <f t="shared" si="105"/>
        <v>19493</v>
      </c>
      <c r="K268" s="725">
        <f t="shared" si="105"/>
        <v>0</v>
      </c>
      <c r="L268" s="725">
        <f t="shared" si="105"/>
        <v>19493</v>
      </c>
      <c r="M268" s="725">
        <f t="shared" si="105"/>
        <v>192020</v>
      </c>
      <c r="N268" s="725">
        <f t="shared" si="105"/>
        <v>471</v>
      </c>
      <c r="O268" s="725">
        <f t="shared" si="105"/>
        <v>211984</v>
      </c>
    </row>
    <row r="269" spans="1:16" ht="17.25" thickTop="1" thickBot="1" x14ac:dyDescent="0.3">
      <c r="A269" s="712"/>
      <c r="B269" s="725" t="s">
        <v>377</v>
      </c>
      <c r="C269" s="725">
        <f>+C255+C264+C265+C266</f>
        <v>0</v>
      </c>
      <c r="D269" s="725">
        <f t="shared" ref="D269:O269" si="106">+D255+D264+D265+D266</f>
        <v>0</v>
      </c>
      <c r="E269" s="725">
        <f t="shared" si="106"/>
        <v>0</v>
      </c>
      <c r="F269" s="725">
        <f t="shared" si="106"/>
        <v>0</v>
      </c>
      <c r="G269" s="725">
        <f t="shared" si="106"/>
        <v>0</v>
      </c>
      <c r="H269" s="725">
        <f t="shared" si="106"/>
        <v>0</v>
      </c>
      <c r="I269" s="725">
        <f t="shared" si="106"/>
        <v>0</v>
      </c>
      <c r="J269" s="725">
        <f t="shared" si="106"/>
        <v>0</v>
      </c>
      <c r="K269" s="725">
        <f t="shared" si="106"/>
        <v>0</v>
      </c>
      <c r="L269" s="725">
        <f t="shared" si="106"/>
        <v>0</v>
      </c>
      <c r="M269" s="725">
        <f t="shared" si="106"/>
        <v>4095</v>
      </c>
      <c r="N269" s="725">
        <f t="shared" si="106"/>
        <v>0</v>
      </c>
      <c r="O269" s="725">
        <f t="shared" si="106"/>
        <v>4095</v>
      </c>
    </row>
    <row r="270" spans="1:16" ht="16.5" thickTop="1" x14ac:dyDescent="0.25">
      <c r="A270" s="716" t="s">
        <v>5</v>
      </c>
      <c r="B270" s="717" t="s">
        <v>399</v>
      </c>
      <c r="C270" s="717"/>
      <c r="D270" s="717"/>
      <c r="E270" s="717"/>
      <c r="F270" s="717"/>
      <c r="G270" s="717"/>
      <c r="H270" s="717"/>
      <c r="I270" s="717"/>
      <c r="J270" s="717"/>
      <c r="K270" s="717"/>
      <c r="L270" s="717"/>
      <c r="M270" s="717"/>
      <c r="N270" s="717"/>
      <c r="O270" s="717"/>
    </row>
    <row r="271" spans="1:16" x14ac:dyDescent="0.25">
      <c r="A271" s="716"/>
      <c r="B271" s="718" t="s">
        <v>347</v>
      </c>
      <c r="C271" s="718">
        <f t="shared" ref="C271:E271" si="107">SUM(C272:C273)</f>
        <v>11788</v>
      </c>
      <c r="D271" s="718">
        <f t="shared" si="107"/>
        <v>0</v>
      </c>
      <c r="E271" s="718">
        <f t="shared" si="107"/>
        <v>0</v>
      </c>
      <c r="F271" s="718">
        <f>SUM(F272:F273)</f>
        <v>8452</v>
      </c>
      <c r="G271" s="718"/>
      <c r="H271" s="718"/>
      <c r="I271" s="718"/>
      <c r="J271" s="718">
        <f>SUM(C271+E271+F271+H271)</f>
        <v>20240</v>
      </c>
      <c r="K271" s="718">
        <f>SUM(D271+G271+I271)</f>
        <v>0</v>
      </c>
      <c r="L271" s="718">
        <f>SUM(J271:K271)</f>
        <v>20240</v>
      </c>
      <c r="M271" s="718">
        <f>SUM(M272:M273)</f>
        <v>239561</v>
      </c>
      <c r="N271" s="718">
        <f>SUM(N272:N273)</f>
        <v>2778</v>
      </c>
      <c r="O271" s="718">
        <f>SUM(L271:N271)</f>
        <v>262579</v>
      </c>
    </row>
    <row r="272" spans="1:16" s="722" customFormat="1" x14ac:dyDescent="0.25">
      <c r="A272" s="719"/>
      <c r="B272" s="720" t="s">
        <v>381</v>
      </c>
      <c r="C272" s="720">
        <v>11788</v>
      </c>
      <c r="D272" s="720"/>
      <c r="E272" s="720"/>
      <c r="F272" s="720">
        <v>8452</v>
      </c>
      <c r="G272" s="720"/>
      <c r="H272" s="720"/>
      <c r="I272" s="720"/>
      <c r="J272" s="721">
        <f>SUM(C272+E272+F272+H272)</f>
        <v>20240</v>
      </c>
      <c r="K272" s="721">
        <f>SUM(D272+G272+I272)</f>
        <v>0</v>
      </c>
      <c r="L272" s="721">
        <f>SUM(J272:K272)</f>
        <v>20240</v>
      </c>
      <c r="M272" s="721">
        <v>237507</v>
      </c>
      <c r="N272" s="721">
        <v>2778</v>
      </c>
      <c r="O272" s="721">
        <f>SUM(L272:N272)</f>
        <v>260525</v>
      </c>
    </row>
    <row r="273" spans="1:16" s="722" customFormat="1" x14ac:dyDescent="0.25">
      <c r="A273" s="719"/>
      <c r="B273" s="720" t="s">
        <v>380</v>
      </c>
      <c r="C273" s="720"/>
      <c r="D273" s="720"/>
      <c r="E273" s="720"/>
      <c r="F273" s="720"/>
      <c r="G273" s="720"/>
      <c r="H273" s="720"/>
      <c r="I273" s="720"/>
      <c r="J273" s="721">
        <f>SUM(C273+E273+F273+H273)</f>
        <v>0</v>
      </c>
      <c r="K273" s="721">
        <f>SUM(D273+G273+I273)</f>
        <v>0</v>
      </c>
      <c r="L273" s="721">
        <f>SUM(J273:K273)</f>
        <v>0</v>
      </c>
      <c r="M273" s="721">
        <v>2054</v>
      </c>
      <c r="N273" s="721"/>
      <c r="O273" s="721">
        <f>SUM(L273:N273)</f>
        <v>2054</v>
      </c>
    </row>
    <row r="274" spans="1:16" s="722" customFormat="1" x14ac:dyDescent="0.25">
      <c r="A274" s="719"/>
      <c r="B274" s="720" t="s">
        <v>131</v>
      </c>
      <c r="C274" s="723"/>
      <c r="D274" s="723"/>
      <c r="E274" s="723"/>
      <c r="F274" s="723"/>
      <c r="G274" s="723"/>
      <c r="H274" s="723"/>
      <c r="I274" s="723"/>
      <c r="J274" s="723"/>
      <c r="K274" s="723"/>
      <c r="L274" s="723"/>
      <c r="M274" s="723"/>
      <c r="N274" s="723"/>
      <c r="O274" s="723"/>
    </row>
    <row r="275" spans="1:16" s="722" customFormat="1" ht="31.5" x14ac:dyDescent="0.25">
      <c r="A275" s="719"/>
      <c r="B275" s="723" t="s">
        <v>1425</v>
      </c>
      <c r="C275" s="723"/>
      <c r="D275" s="723"/>
      <c r="E275" s="723"/>
      <c r="F275" s="723"/>
      <c r="G275" s="723"/>
      <c r="H275" s="723"/>
      <c r="I275" s="723"/>
      <c r="J275" s="723">
        <f t="shared" ref="J275:J286" si="108">SUM(C275+E275+F275+H275)</f>
        <v>0</v>
      </c>
      <c r="K275" s="723">
        <f t="shared" ref="K275:K286" si="109">SUM(D275+G275+I275)</f>
        <v>0</v>
      </c>
      <c r="L275" s="723">
        <f t="shared" ref="L275:L281" si="110">SUM(J275:K275)</f>
        <v>0</v>
      </c>
      <c r="M275" s="723">
        <v>3</v>
      </c>
      <c r="N275" s="723"/>
      <c r="O275" s="723">
        <f t="shared" ref="O275:O286" si="111">SUM(L275:N275)</f>
        <v>3</v>
      </c>
    </row>
    <row r="276" spans="1:16" s="722" customFormat="1" ht="63" x14ac:dyDescent="0.25">
      <c r="A276" s="719"/>
      <c r="B276" s="738" t="s">
        <v>1326</v>
      </c>
      <c r="C276" s="723"/>
      <c r="D276" s="723"/>
      <c r="E276" s="723"/>
      <c r="F276" s="723"/>
      <c r="G276" s="723"/>
      <c r="H276" s="723"/>
      <c r="I276" s="723"/>
      <c r="J276" s="723">
        <f t="shared" si="108"/>
        <v>0</v>
      </c>
      <c r="K276" s="723">
        <f t="shared" si="109"/>
        <v>0</v>
      </c>
      <c r="L276" s="723">
        <f t="shared" si="110"/>
        <v>0</v>
      </c>
      <c r="M276" s="723">
        <v>773</v>
      </c>
      <c r="N276" s="723"/>
      <c r="O276" s="723">
        <f t="shared" si="111"/>
        <v>773</v>
      </c>
    </row>
    <row r="277" spans="1:16" s="722" customFormat="1" ht="66" customHeight="1" x14ac:dyDescent="0.25">
      <c r="A277" s="728"/>
      <c r="B277" s="724" t="s">
        <v>1337</v>
      </c>
      <c r="C277" s="723"/>
      <c r="D277" s="723"/>
      <c r="E277" s="723"/>
      <c r="F277" s="723"/>
      <c r="G277" s="723"/>
      <c r="H277" s="723"/>
      <c r="I277" s="723"/>
      <c r="J277" s="723">
        <f t="shared" si="108"/>
        <v>0</v>
      </c>
      <c r="K277" s="723">
        <f t="shared" si="109"/>
        <v>0</v>
      </c>
      <c r="L277" s="723">
        <f t="shared" si="110"/>
        <v>0</v>
      </c>
      <c r="M277" s="723">
        <v>5446</v>
      </c>
      <c r="N277" s="723"/>
      <c r="O277" s="723">
        <f t="shared" si="111"/>
        <v>5446</v>
      </c>
    </row>
    <row r="278" spans="1:16" s="722" customFormat="1" ht="31.5" x14ac:dyDescent="0.25">
      <c r="A278" s="719"/>
      <c r="B278" s="724" t="s">
        <v>1338</v>
      </c>
      <c r="C278" s="723"/>
      <c r="D278" s="723"/>
      <c r="E278" s="723"/>
      <c r="F278" s="723"/>
      <c r="G278" s="723"/>
      <c r="H278" s="723"/>
      <c r="I278" s="723"/>
      <c r="J278" s="723">
        <f t="shared" si="108"/>
        <v>0</v>
      </c>
      <c r="K278" s="723">
        <f t="shared" si="109"/>
        <v>0</v>
      </c>
      <c r="L278" s="723">
        <f t="shared" si="110"/>
        <v>0</v>
      </c>
      <c r="M278" s="723">
        <v>1899</v>
      </c>
      <c r="N278" s="723"/>
      <c r="O278" s="723">
        <f t="shared" si="111"/>
        <v>1899</v>
      </c>
    </row>
    <row r="279" spans="1:16" s="722" customFormat="1" ht="31.5" x14ac:dyDescent="0.25">
      <c r="A279" s="719"/>
      <c r="B279" s="731" t="s">
        <v>1426</v>
      </c>
      <c r="C279" s="723"/>
      <c r="D279" s="723"/>
      <c r="E279" s="723"/>
      <c r="F279" s="723"/>
      <c r="G279" s="723"/>
      <c r="H279" s="723"/>
      <c r="I279" s="723"/>
      <c r="J279" s="723">
        <f t="shared" si="108"/>
        <v>0</v>
      </c>
      <c r="K279" s="723">
        <f t="shared" si="109"/>
        <v>0</v>
      </c>
      <c r="L279" s="723">
        <f t="shared" si="110"/>
        <v>0</v>
      </c>
      <c r="M279" s="723">
        <v>-4987</v>
      </c>
      <c r="N279" s="723"/>
      <c r="O279" s="723">
        <f t="shared" si="111"/>
        <v>-4987</v>
      </c>
    </row>
    <row r="280" spans="1:16" s="722" customFormat="1" x14ac:dyDescent="0.25">
      <c r="A280" s="719"/>
      <c r="B280" s="724" t="s">
        <v>1432</v>
      </c>
      <c r="C280" s="723"/>
      <c r="D280" s="723"/>
      <c r="E280" s="723"/>
      <c r="F280" s="723">
        <v>-810</v>
      </c>
      <c r="G280" s="723"/>
      <c r="H280" s="723"/>
      <c r="I280" s="723"/>
      <c r="J280" s="723">
        <f t="shared" si="108"/>
        <v>-810</v>
      </c>
      <c r="K280" s="723">
        <f t="shared" si="109"/>
        <v>0</v>
      </c>
      <c r="L280" s="723">
        <f t="shared" si="110"/>
        <v>-810</v>
      </c>
      <c r="M280" s="723">
        <v>-13005</v>
      </c>
      <c r="N280" s="723"/>
      <c r="O280" s="723">
        <f t="shared" si="111"/>
        <v>-13815</v>
      </c>
    </row>
    <row r="281" spans="1:16" s="722" customFormat="1" ht="31.5" x14ac:dyDescent="0.25">
      <c r="A281" s="719"/>
      <c r="B281" s="723" t="s">
        <v>961</v>
      </c>
      <c r="C281" s="723"/>
      <c r="D281" s="723"/>
      <c r="E281" s="723"/>
      <c r="F281" s="723"/>
      <c r="G281" s="723"/>
      <c r="H281" s="723"/>
      <c r="I281" s="723"/>
      <c r="J281" s="723">
        <f t="shared" si="108"/>
        <v>0</v>
      </c>
      <c r="K281" s="723">
        <f t="shared" si="109"/>
        <v>0</v>
      </c>
      <c r="L281" s="723">
        <f t="shared" si="110"/>
        <v>0</v>
      </c>
      <c r="M281" s="723">
        <v>70</v>
      </c>
      <c r="N281" s="723"/>
      <c r="O281" s="723">
        <f t="shared" si="111"/>
        <v>70</v>
      </c>
    </row>
    <row r="282" spans="1:16" s="722" customFormat="1" x14ac:dyDescent="0.25">
      <c r="A282" s="719"/>
      <c r="B282" s="720" t="s">
        <v>132</v>
      </c>
      <c r="C282" s="723"/>
      <c r="D282" s="723"/>
      <c r="E282" s="723"/>
      <c r="F282" s="723"/>
      <c r="G282" s="723"/>
      <c r="H282" s="723"/>
      <c r="I282" s="723"/>
      <c r="J282" s="723"/>
      <c r="K282" s="723"/>
      <c r="L282" s="723"/>
      <c r="M282" s="723"/>
      <c r="N282" s="723"/>
      <c r="O282" s="723"/>
    </row>
    <row r="283" spans="1:16" s="722" customFormat="1" x14ac:dyDescent="0.25">
      <c r="A283" s="719"/>
      <c r="B283" s="723" t="s">
        <v>1330</v>
      </c>
      <c r="C283" s="723"/>
      <c r="D283" s="723"/>
      <c r="E283" s="723"/>
      <c r="F283" s="723"/>
      <c r="G283" s="723"/>
      <c r="H283" s="723"/>
      <c r="I283" s="723"/>
      <c r="J283" s="723">
        <f t="shared" si="108"/>
        <v>0</v>
      </c>
      <c r="K283" s="723">
        <f t="shared" si="109"/>
        <v>0</v>
      </c>
      <c r="L283" s="723">
        <f>SUM(J283:K283)</f>
        <v>0</v>
      </c>
      <c r="M283" s="723">
        <v>1009</v>
      </c>
      <c r="N283" s="723"/>
      <c r="O283" s="723">
        <f t="shared" si="111"/>
        <v>1009</v>
      </c>
    </row>
    <row r="284" spans="1:16" s="722" customFormat="1" ht="78.75" x14ac:dyDescent="0.25">
      <c r="A284" s="719"/>
      <c r="B284" s="731" t="s">
        <v>1332</v>
      </c>
      <c r="C284" s="723"/>
      <c r="D284" s="723"/>
      <c r="E284" s="723"/>
      <c r="F284" s="723"/>
      <c r="G284" s="723"/>
      <c r="H284" s="723"/>
      <c r="I284" s="723"/>
      <c r="J284" s="723">
        <f t="shared" si="108"/>
        <v>0</v>
      </c>
      <c r="K284" s="723">
        <f t="shared" si="109"/>
        <v>0</v>
      </c>
      <c r="L284" s="723">
        <f>SUM(J284:K284)</f>
        <v>0</v>
      </c>
      <c r="M284" s="723">
        <v>100</v>
      </c>
      <c r="N284" s="723"/>
      <c r="O284" s="723">
        <f t="shared" si="111"/>
        <v>100</v>
      </c>
    </row>
    <row r="285" spans="1:16" s="722" customFormat="1" ht="114.75" customHeight="1" x14ac:dyDescent="0.25">
      <c r="A285" s="728"/>
      <c r="B285" s="724" t="s">
        <v>1441</v>
      </c>
      <c r="C285" s="723"/>
      <c r="D285" s="723"/>
      <c r="E285" s="723"/>
      <c r="F285" s="723"/>
      <c r="G285" s="723"/>
      <c r="H285" s="723"/>
      <c r="I285" s="723"/>
      <c r="J285" s="723">
        <f t="shared" si="108"/>
        <v>0</v>
      </c>
      <c r="K285" s="723">
        <f t="shared" si="109"/>
        <v>0</v>
      </c>
      <c r="L285" s="723">
        <f>SUM(J285:K285)</f>
        <v>0</v>
      </c>
      <c r="M285" s="723">
        <v>30</v>
      </c>
      <c r="N285" s="723"/>
      <c r="O285" s="723">
        <f t="shared" si="111"/>
        <v>30</v>
      </c>
    </row>
    <row r="286" spans="1:16" s="722" customFormat="1" ht="95.25" thickBot="1" x14ac:dyDescent="0.3">
      <c r="A286" s="728"/>
      <c r="B286" s="723" t="s">
        <v>1431</v>
      </c>
      <c r="C286" s="723"/>
      <c r="D286" s="723"/>
      <c r="E286" s="723"/>
      <c r="F286" s="723"/>
      <c r="G286" s="723"/>
      <c r="H286" s="723"/>
      <c r="I286" s="723"/>
      <c r="J286" s="723">
        <f t="shared" si="108"/>
        <v>0</v>
      </c>
      <c r="K286" s="723">
        <f t="shared" si="109"/>
        <v>0</v>
      </c>
      <c r="L286" s="723">
        <f>SUM(J286:K286)</f>
        <v>0</v>
      </c>
      <c r="M286" s="723">
        <v>1653</v>
      </c>
      <c r="N286" s="723"/>
      <c r="O286" s="723">
        <f t="shared" si="111"/>
        <v>1653</v>
      </c>
    </row>
    <row r="287" spans="1:16" ht="17.25" thickTop="1" thickBot="1" x14ac:dyDescent="0.3">
      <c r="A287" s="712"/>
      <c r="B287" s="725" t="s">
        <v>379</v>
      </c>
      <c r="C287" s="725">
        <f>+C271+C275+C283+C276+C277+C278+C279+C280+C281+C284+C285+C286</f>
        <v>11788</v>
      </c>
      <c r="D287" s="725">
        <f t="shared" ref="D287:O287" si="112">+D271+D275+D283+D276+D277+D278+D279+D280+D281+D284+D285+D286</f>
        <v>0</v>
      </c>
      <c r="E287" s="725">
        <f t="shared" si="112"/>
        <v>0</v>
      </c>
      <c r="F287" s="725">
        <f t="shared" si="112"/>
        <v>7642</v>
      </c>
      <c r="G287" s="725">
        <f t="shared" si="112"/>
        <v>0</v>
      </c>
      <c r="H287" s="725">
        <f t="shared" si="112"/>
        <v>0</v>
      </c>
      <c r="I287" s="725">
        <f t="shared" si="112"/>
        <v>0</v>
      </c>
      <c r="J287" s="725">
        <f t="shared" si="112"/>
        <v>19430</v>
      </c>
      <c r="K287" s="725">
        <f t="shared" si="112"/>
        <v>0</v>
      </c>
      <c r="L287" s="725">
        <f t="shared" si="112"/>
        <v>19430</v>
      </c>
      <c r="M287" s="725">
        <f t="shared" si="112"/>
        <v>232552</v>
      </c>
      <c r="N287" s="725">
        <f t="shared" si="112"/>
        <v>2778</v>
      </c>
      <c r="O287" s="725">
        <f t="shared" si="112"/>
        <v>254760</v>
      </c>
      <c r="P287" s="703">
        <f>O288+O289</f>
        <v>254760</v>
      </c>
    </row>
    <row r="288" spans="1:16" ht="17.25" thickTop="1" thickBot="1" x14ac:dyDescent="0.3">
      <c r="A288" s="712"/>
      <c r="B288" s="725" t="s">
        <v>378</v>
      </c>
      <c r="C288" s="725">
        <f>+C272+C275+C276+C277+C278+C279+C280+C281</f>
        <v>11788</v>
      </c>
      <c r="D288" s="725">
        <f t="shared" ref="D288:O288" si="113">+D272+D275+D276+D277+D278+D279+D280+D281</f>
        <v>0</v>
      </c>
      <c r="E288" s="725">
        <f t="shared" si="113"/>
        <v>0</v>
      </c>
      <c r="F288" s="725">
        <f t="shared" si="113"/>
        <v>7642</v>
      </c>
      <c r="G288" s="725">
        <f t="shared" si="113"/>
        <v>0</v>
      </c>
      <c r="H288" s="725">
        <f t="shared" si="113"/>
        <v>0</v>
      </c>
      <c r="I288" s="725">
        <f t="shared" si="113"/>
        <v>0</v>
      </c>
      <c r="J288" s="725">
        <f t="shared" si="113"/>
        <v>19430</v>
      </c>
      <c r="K288" s="725">
        <f t="shared" si="113"/>
        <v>0</v>
      </c>
      <c r="L288" s="725">
        <f t="shared" si="113"/>
        <v>19430</v>
      </c>
      <c r="M288" s="725">
        <f t="shared" si="113"/>
        <v>227706</v>
      </c>
      <c r="N288" s="725">
        <f t="shared" si="113"/>
        <v>2778</v>
      </c>
      <c r="O288" s="725">
        <f t="shared" si="113"/>
        <v>249914</v>
      </c>
    </row>
    <row r="289" spans="1:15" ht="17.25" thickTop="1" thickBot="1" x14ac:dyDescent="0.3">
      <c r="A289" s="712"/>
      <c r="B289" s="725" t="s">
        <v>377</v>
      </c>
      <c r="C289" s="725">
        <f t="shared" ref="C289:O289" si="114">+C273+C283+C284+C285+C286</f>
        <v>0</v>
      </c>
      <c r="D289" s="725">
        <f t="shared" si="114"/>
        <v>0</v>
      </c>
      <c r="E289" s="725">
        <f t="shared" si="114"/>
        <v>0</v>
      </c>
      <c r="F289" s="725">
        <f t="shared" si="114"/>
        <v>0</v>
      </c>
      <c r="G289" s="725">
        <f t="shared" si="114"/>
        <v>0</v>
      </c>
      <c r="H289" s="725">
        <f t="shared" si="114"/>
        <v>0</v>
      </c>
      <c r="I289" s="725">
        <f t="shared" si="114"/>
        <v>0</v>
      </c>
      <c r="J289" s="725">
        <f t="shared" si="114"/>
        <v>0</v>
      </c>
      <c r="K289" s="725">
        <f t="shared" si="114"/>
        <v>0</v>
      </c>
      <c r="L289" s="725">
        <f t="shared" si="114"/>
        <v>0</v>
      </c>
      <c r="M289" s="725">
        <f t="shared" si="114"/>
        <v>4846</v>
      </c>
      <c r="N289" s="725">
        <f t="shared" si="114"/>
        <v>0</v>
      </c>
      <c r="O289" s="725">
        <f t="shared" si="114"/>
        <v>4846</v>
      </c>
    </row>
    <row r="290" spans="1:15" ht="16.5" thickTop="1" x14ac:dyDescent="0.25">
      <c r="A290" s="727" t="s">
        <v>6</v>
      </c>
      <c r="B290" s="717" t="s">
        <v>444</v>
      </c>
      <c r="C290" s="717"/>
      <c r="D290" s="717"/>
      <c r="E290" s="717"/>
      <c r="F290" s="717"/>
      <c r="G290" s="717"/>
      <c r="H290" s="717"/>
      <c r="I290" s="717"/>
      <c r="J290" s="739"/>
      <c r="K290" s="717"/>
      <c r="L290" s="717"/>
      <c r="M290" s="717"/>
      <c r="N290" s="717"/>
      <c r="O290" s="717"/>
    </row>
    <row r="291" spans="1:15" x14ac:dyDescent="0.25">
      <c r="A291" s="727"/>
      <c r="B291" s="717" t="s">
        <v>347</v>
      </c>
      <c r="C291" s="717">
        <f t="shared" ref="C291:E291" si="115">SUM(C292:C293)</f>
        <v>10094</v>
      </c>
      <c r="D291" s="717">
        <f t="shared" si="115"/>
        <v>0</v>
      </c>
      <c r="E291" s="717">
        <f t="shared" si="115"/>
        <v>0</v>
      </c>
      <c r="F291" s="717">
        <f>SUM(F292:F293)</f>
        <v>5536</v>
      </c>
      <c r="G291" s="717"/>
      <c r="H291" s="717"/>
      <c r="I291" s="717"/>
      <c r="J291" s="740">
        <f>SUM(C291+E291+F291+H291)</f>
        <v>15630</v>
      </c>
      <c r="K291" s="718">
        <f>SUM(D291+G291+I291)</f>
        <v>0</v>
      </c>
      <c r="L291" s="718">
        <f>SUM(J291:K291)</f>
        <v>15630</v>
      </c>
      <c r="M291" s="718">
        <f>SUM(M292:M293)</f>
        <v>228552</v>
      </c>
      <c r="N291" s="718">
        <f>SUM(N292:N293)</f>
        <v>2294</v>
      </c>
      <c r="O291" s="718">
        <f>SUM(L291:N291)</f>
        <v>246476</v>
      </c>
    </row>
    <row r="292" spans="1:15" s="722" customFormat="1" x14ac:dyDescent="0.25">
      <c r="A292" s="728"/>
      <c r="B292" s="720" t="s">
        <v>381</v>
      </c>
      <c r="C292" s="720">
        <v>10094</v>
      </c>
      <c r="D292" s="720"/>
      <c r="E292" s="720"/>
      <c r="F292" s="720">
        <v>5536</v>
      </c>
      <c r="G292" s="720"/>
      <c r="H292" s="720"/>
      <c r="I292" s="720"/>
      <c r="J292" s="741">
        <f>SUM(C292+E292+F292+H292)</f>
        <v>15630</v>
      </c>
      <c r="K292" s="721">
        <f>SUM(D292+G292+I292)</f>
        <v>0</v>
      </c>
      <c r="L292" s="721">
        <f>SUM(J292:K292)</f>
        <v>15630</v>
      </c>
      <c r="M292" s="721">
        <v>226942</v>
      </c>
      <c r="N292" s="721">
        <v>2294</v>
      </c>
      <c r="O292" s="721">
        <f>SUM(L292:N292)</f>
        <v>244866</v>
      </c>
    </row>
    <row r="293" spans="1:15" s="722" customFormat="1" x14ac:dyDescent="0.25">
      <c r="A293" s="728"/>
      <c r="B293" s="720" t="s">
        <v>380</v>
      </c>
      <c r="C293" s="720"/>
      <c r="D293" s="720"/>
      <c r="E293" s="720"/>
      <c r="F293" s="720"/>
      <c r="G293" s="720"/>
      <c r="H293" s="720"/>
      <c r="I293" s="720"/>
      <c r="J293" s="741">
        <f>SUM(C293+E293+F293+H293)</f>
        <v>0</v>
      </c>
      <c r="K293" s="721">
        <f>SUM(D293+G293+I293)</f>
        <v>0</v>
      </c>
      <c r="L293" s="721">
        <f>SUM(J293:K293)</f>
        <v>0</v>
      </c>
      <c r="M293" s="721">
        <v>1610</v>
      </c>
      <c r="N293" s="721"/>
      <c r="O293" s="721">
        <f>SUM(L293:N293)</f>
        <v>1610</v>
      </c>
    </row>
    <row r="294" spans="1:15" s="722" customFormat="1" x14ac:dyDescent="0.25">
      <c r="A294" s="728"/>
      <c r="B294" s="720" t="s">
        <v>131</v>
      </c>
      <c r="C294" s="723"/>
      <c r="D294" s="723"/>
      <c r="E294" s="723"/>
      <c r="F294" s="723"/>
      <c r="G294" s="723"/>
      <c r="H294" s="723"/>
      <c r="I294" s="723"/>
      <c r="J294" s="742"/>
      <c r="K294" s="723"/>
      <c r="L294" s="723"/>
      <c r="M294" s="723"/>
      <c r="N294" s="723"/>
      <c r="O294" s="723"/>
    </row>
    <row r="295" spans="1:15" s="722" customFormat="1" ht="31.5" x14ac:dyDescent="0.25">
      <c r="A295" s="728"/>
      <c r="B295" s="723" t="s">
        <v>1425</v>
      </c>
      <c r="C295" s="723"/>
      <c r="D295" s="723"/>
      <c r="E295" s="723"/>
      <c r="F295" s="723"/>
      <c r="G295" s="723"/>
      <c r="H295" s="723"/>
      <c r="I295" s="723"/>
      <c r="J295" s="742">
        <f t="shared" ref="J295:J308" si="116">SUM(C295+E295+F295+H295)</f>
        <v>0</v>
      </c>
      <c r="K295" s="723">
        <f t="shared" ref="K295:K308" si="117">SUM(D295+G295+I295)</f>
        <v>0</v>
      </c>
      <c r="L295" s="723">
        <f t="shared" ref="L295:L308" si="118">SUM(J295:K295)</f>
        <v>0</v>
      </c>
      <c r="M295" s="723">
        <v>10</v>
      </c>
      <c r="N295" s="723"/>
      <c r="O295" s="723">
        <f t="shared" ref="O295:O308" si="119">SUM(L295:N295)</f>
        <v>10</v>
      </c>
    </row>
    <row r="296" spans="1:15" s="722" customFormat="1" ht="63" x14ac:dyDescent="0.25">
      <c r="A296" s="728"/>
      <c r="B296" s="738" t="s">
        <v>1326</v>
      </c>
      <c r="C296" s="723"/>
      <c r="D296" s="723"/>
      <c r="E296" s="723"/>
      <c r="F296" s="723"/>
      <c r="G296" s="723"/>
      <c r="H296" s="723"/>
      <c r="I296" s="723"/>
      <c r="J296" s="742">
        <f t="shared" si="116"/>
        <v>0</v>
      </c>
      <c r="K296" s="723">
        <f t="shared" si="117"/>
        <v>0</v>
      </c>
      <c r="L296" s="723">
        <f t="shared" si="118"/>
        <v>0</v>
      </c>
      <c r="M296" s="723">
        <v>2466</v>
      </c>
      <c r="N296" s="723"/>
      <c r="O296" s="723">
        <f t="shared" si="119"/>
        <v>2466</v>
      </c>
    </row>
    <row r="297" spans="1:15" s="722" customFormat="1" ht="66" customHeight="1" x14ac:dyDescent="0.25">
      <c r="A297" s="728"/>
      <c r="B297" s="724" t="s">
        <v>1337</v>
      </c>
      <c r="C297" s="723"/>
      <c r="D297" s="723"/>
      <c r="E297" s="723"/>
      <c r="F297" s="723"/>
      <c r="G297" s="723"/>
      <c r="H297" s="723"/>
      <c r="I297" s="723"/>
      <c r="J297" s="723">
        <f t="shared" si="116"/>
        <v>0</v>
      </c>
      <c r="K297" s="723">
        <f t="shared" si="117"/>
        <v>0</v>
      </c>
      <c r="L297" s="723">
        <f t="shared" si="118"/>
        <v>0</v>
      </c>
      <c r="M297" s="723">
        <v>5552</v>
      </c>
      <c r="N297" s="723"/>
      <c r="O297" s="723">
        <f t="shared" si="119"/>
        <v>5552</v>
      </c>
    </row>
    <row r="298" spans="1:15" s="722" customFormat="1" ht="31.5" x14ac:dyDescent="0.25">
      <c r="A298" s="728"/>
      <c r="B298" s="724" t="s">
        <v>1338</v>
      </c>
      <c r="C298" s="723"/>
      <c r="D298" s="723"/>
      <c r="E298" s="723"/>
      <c r="F298" s="723"/>
      <c r="G298" s="723"/>
      <c r="H298" s="723"/>
      <c r="I298" s="723"/>
      <c r="J298" s="742">
        <f t="shared" si="116"/>
        <v>0</v>
      </c>
      <c r="K298" s="723">
        <f t="shared" si="117"/>
        <v>0</v>
      </c>
      <c r="L298" s="723">
        <f t="shared" si="118"/>
        <v>0</v>
      </c>
      <c r="M298" s="723">
        <v>1013</v>
      </c>
      <c r="N298" s="723"/>
      <c r="O298" s="723">
        <f t="shared" si="119"/>
        <v>1013</v>
      </c>
    </row>
    <row r="299" spans="1:15" s="722" customFormat="1" ht="31.5" x14ac:dyDescent="0.25">
      <c r="A299" s="728"/>
      <c r="B299" s="731" t="s">
        <v>1426</v>
      </c>
      <c r="C299" s="723"/>
      <c r="D299" s="723"/>
      <c r="E299" s="723"/>
      <c r="F299" s="723"/>
      <c r="G299" s="723"/>
      <c r="H299" s="723"/>
      <c r="I299" s="723"/>
      <c r="J299" s="742">
        <f t="shared" si="116"/>
        <v>0</v>
      </c>
      <c r="K299" s="723">
        <f t="shared" si="117"/>
        <v>0</v>
      </c>
      <c r="L299" s="723">
        <f t="shared" si="118"/>
        <v>0</v>
      </c>
      <c r="M299" s="723">
        <v>-51189</v>
      </c>
      <c r="N299" s="723"/>
      <c r="O299" s="723">
        <f t="shared" si="119"/>
        <v>-51189</v>
      </c>
    </row>
    <row r="300" spans="1:15" s="722" customFormat="1" ht="31.5" x14ac:dyDescent="0.25">
      <c r="A300" s="728"/>
      <c r="B300" s="723" t="s">
        <v>961</v>
      </c>
      <c r="C300" s="723"/>
      <c r="D300" s="723"/>
      <c r="E300" s="723"/>
      <c r="F300" s="723"/>
      <c r="G300" s="723"/>
      <c r="H300" s="723"/>
      <c r="I300" s="723"/>
      <c r="J300" s="742">
        <f t="shared" si="116"/>
        <v>0</v>
      </c>
      <c r="K300" s="723">
        <f t="shared" si="117"/>
        <v>0</v>
      </c>
      <c r="L300" s="723">
        <f t="shared" si="118"/>
        <v>0</v>
      </c>
      <c r="M300" s="723">
        <v>156</v>
      </c>
      <c r="N300" s="723"/>
      <c r="O300" s="723">
        <f t="shared" si="119"/>
        <v>156</v>
      </c>
    </row>
    <row r="301" spans="1:15" s="722" customFormat="1" ht="31.5" x14ac:dyDescent="0.25">
      <c r="A301" s="728"/>
      <c r="B301" s="731" t="s">
        <v>1436</v>
      </c>
      <c r="C301" s="731"/>
      <c r="D301" s="731"/>
      <c r="E301" s="731"/>
      <c r="F301" s="731"/>
      <c r="G301" s="731"/>
      <c r="H301" s="731"/>
      <c r="I301" s="731"/>
      <c r="J301" s="734">
        <f>SUM(C301+E301+F301+H301)</f>
        <v>0</v>
      </c>
      <c r="K301" s="731">
        <f t="shared" si="117"/>
        <v>0</v>
      </c>
      <c r="L301" s="731">
        <f t="shared" si="118"/>
        <v>0</v>
      </c>
      <c r="M301" s="731">
        <v>44542</v>
      </c>
      <c r="N301" s="731"/>
      <c r="O301" s="731">
        <f t="shared" si="119"/>
        <v>44542</v>
      </c>
    </row>
    <row r="302" spans="1:15" s="722" customFormat="1" x14ac:dyDescent="0.25">
      <c r="A302" s="728"/>
      <c r="B302" s="729" t="s">
        <v>132</v>
      </c>
      <c r="C302" s="731"/>
      <c r="D302" s="731"/>
      <c r="E302" s="731"/>
      <c r="F302" s="731"/>
      <c r="G302" s="731"/>
      <c r="H302" s="731"/>
      <c r="I302" s="731"/>
      <c r="J302" s="734"/>
      <c r="K302" s="731"/>
      <c r="L302" s="731"/>
      <c r="M302" s="731"/>
      <c r="N302" s="731"/>
      <c r="O302" s="731"/>
    </row>
    <row r="303" spans="1:15" s="722" customFormat="1" x14ac:dyDescent="0.25">
      <c r="A303" s="728"/>
      <c r="B303" s="723" t="s">
        <v>1330</v>
      </c>
      <c r="C303" s="723"/>
      <c r="D303" s="723"/>
      <c r="E303" s="723"/>
      <c r="F303" s="723"/>
      <c r="G303" s="723"/>
      <c r="H303" s="723"/>
      <c r="I303" s="723"/>
      <c r="J303" s="742">
        <f t="shared" si="116"/>
        <v>0</v>
      </c>
      <c r="K303" s="723">
        <f t="shared" si="117"/>
        <v>0</v>
      </c>
      <c r="L303" s="723">
        <f t="shared" si="118"/>
        <v>0</v>
      </c>
      <c r="M303" s="723">
        <v>776</v>
      </c>
      <c r="N303" s="723"/>
      <c r="O303" s="723">
        <f t="shared" si="119"/>
        <v>776</v>
      </c>
    </row>
    <row r="304" spans="1:15" s="722" customFormat="1" ht="78.75" x14ac:dyDescent="0.25">
      <c r="A304" s="728"/>
      <c r="B304" s="723" t="s">
        <v>1332</v>
      </c>
      <c r="C304" s="723"/>
      <c r="D304" s="723"/>
      <c r="E304" s="723"/>
      <c r="F304" s="723"/>
      <c r="G304" s="723"/>
      <c r="H304" s="723"/>
      <c r="I304" s="723"/>
      <c r="J304" s="742">
        <f t="shared" si="116"/>
        <v>0</v>
      </c>
      <c r="K304" s="723">
        <f t="shared" si="117"/>
        <v>0</v>
      </c>
      <c r="L304" s="723">
        <f t="shared" si="118"/>
        <v>0</v>
      </c>
      <c r="M304" s="723">
        <v>100</v>
      </c>
      <c r="N304" s="723"/>
      <c r="O304" s="723">
        <f t="shared" si="119"/>
        <v>100</v>
      </c>
    </row>
    <row r="305" spans="1:16" s="722" customFormat="1" ht="78.75" x14ac:dyDescent="0.25">
      <c r="A305" s="728"/>
      <c r="B305" s="723" t="s">
        <v>1332</v>
      </c>
      <c r="C305" s="723"/>
      <c r="D305" s="723"/>
      <c r="E305" s="723"/>
      <c r="F305" s="723"/>
      <c r="G305" s="723"/>
      <c r="H305" s="723"/>
      <c r="I305" s="723"/>
      <c r="J305" s="742">
        <f t="shared" si="116"/>
        <v>0</v>
      </c>
      <c r="K305" s="723">
        <f t="shared" si="117"/>
        <v>0</v>
      </c>
      <c r="L305" s="723">
        <f t="shared" si="118"/>
        <v>0</v>
      </c>
      <c r="M305" s="723">
        <v>100</v>
      </c>
      <c r="N305" s="723"/>
      <c r="O305" s="723">
        <f t="shared" si="119"/>
        <v>100</v>
      </c>
    </row>
    <row r="306" spans="1:16" s="722" customFormat="1" ht="78.75" x14ac:dyDescent="0.25">
      <c r="A306" s="728"/>
      <c r="B306" s="723" t="s">
        <v>1442</v>
      </c>
      <c r="C306" s="723"/>
      <c r="D306" s="723"/>
      <c r="E306" s="723"/>
      <c r="F306" s="723"/>
      <c r="G306" s="723"/>
      <c r="H306" s="723"/>
      <c r="I306" s="723"/>
      <c r="J306" s="742">
        <f t="shared" si="116"/>
        <v>0</v>
      </c>
      <c r="K306" s="723">
        <f t="shared" si="117"/>
        <v>0</v>
      </c>
      <c r="L306" s="723">
        <f t="shared" si="118"/>
        <v>0</v>
      </c>
      <c r="M306" s="723">
        <v>40</v>
      </c>
      <c r="N306" s="723"/>
      <c r="O306" s="723">
        <f t="shared" si="119"/>
        <v>40</v>
      </c>
    </row>
    <row r="307" spans="1:16" s="722" customFormat="1" ht="94.5" x14ac:dyDescent="0.25">
      <c r="A307" s="728"/>
      <c r="B307" s="723" t="s">
        <v>1443</v>
      </c>
      <c r="C307" s="723"/>
      <c r="D307" s="723"/>
      <c r="E307" s="723"/>
      <c r="F307" s="723"/>
      <c r="G307" s="723"/>
      <c r="H307" s="723"/>
      <c r="I307" s="723"/>
      <c r="J307" s="742">
        <f t="shared" si="116"/>
        <v>0</v>
      </c>
      <c r="K307" s="723">
        <f t="shared" si="117"/>
        <v>0</v>
      </c>
      <c r="L307" s="723">
        <f t="shared" si="118"/>
        <v>0</v>
      </c>
      <c r="M307" s="723">
        <v>40</v>
      </c>
      <c r="N307" s="723"/>
      <c r="O307" s="723">
        <f t="shared" si="119"/>
        <v>40</v>
      </c>
    </row>
    <row r="308" spans="1:16" s="722" customFormat="1" ht="95.25" thickBot="1" x14ac:dyDescent="0.3">
      <c r="A308" s="728"/>
      <c r="B308" s="723" t="s">
        <v>1431</v>
      </c>
      <c r="C308" s="723"/>
      <c r="D308" s="723"/>
      <c r="E308" s="723"/>
      <c r="F308" s="723"/>
      <c r="G308" s="723"/>
      <c r="H308" s="723"/>
      <c r="I308" s="723"/>
      <c r="J308" s="742">
        <f t="shared" si="116"/>
        <v>0</v>
      </c>
      <c r="K308" s="723">
        <f t="shared" si="117"/>
        <v>0</v>
      </c>
      <c r="L308" s="723">
        <f t="shared" si="118"/>
        <v>0</v>
      </c>
      <c r="M308" s="723">
        <v>1917</v>
      </c>
      <c r="N308" s="723"/>
      <c r="O308" s="723">
        <f t="shared" si="119"/>
        <v>1917</v>
      </c>
    </row>
    <row r="309" spans="1:16" ht="17.25" thickTop="1" thickBot="1" x14ac:dyDescent="0.3">
      <c r="A309" s="712"/>
      <c r="B309" s="725" t="s">
        <v>379</v>
      </c>
      <c r="C309" s="725">
        <f>+C291+C295+C303+C296+C297+C298+C299+C300+C301+C304+C305+C306+C307+C308</f>
        <v>10094</v>
      </c>
      <c r="D309" s="725">
        <f t="shared" ref="D309:O309" si="120">+D291+D295+D303+D296+D297+D298+D299+D300+D301+D304+D305+D306+D307+D308</f>
        <v>0</v>
      </c>
      <c r="E309" s="725">
        <f t="shared" si="120"/>
        <v>0</v>
      </c>
      <c r="F309" s="725">
        <f t="shared" si="120"/>
        <v>5536</v>
      </c>
      <c r="G309" s="725">
        <f t="shared" si="120"/>
        <v>0</v>
      </c>
      <c r="H309" s="725">
        <f t="shared" si="120"/>
        <v>0</v>
      </c>
      <c r="I309" s="725">
        <f t="shared" si="120"/>
        <v>0</v>
      </c>
      <c r="J309" s="725">
        <f t="shared" si="120"/>
        <v>15630</v>
      </c>
      <c r="K309" s="725">
        <f t="shared" si="120"/>
        <v>0</v>
      </c>
      <c r="L309" s="725">
        <f t="shared" si="120"/>
        <v>15630</v>
      </c>
      <c r="M309" s="725">
        <f t="shared" si="120"/>
        <v>234075</v>
      </c>
      <c r="N309" s="725">
        <f t="shared" si="120"/>
        <v>2294</v>
      </c>
      <c r="O309" s="725">
        <f t="shared" si="120"/>
        <v>251999</v>
      </c>
      <c r="P309" s="703">
        <f>O310+O311</f>
        <v>251999</v>
      </c>
    </row>
    <row r="310" spans="1:16" ht="17.25" thickTop="1" thickBot="1" x14ac:dyDescent="0.3">
      <c r="A310" s="712"/>
      <c r="B310" s="725" t="s">
        <v>378</v>
      </c>
      <c r="C310" s="725">
        <f>+C292+C295+C296+C297+C298+C299+C300+C301</f>
        <v>10094</v>
      </c>
      <c r="D310" s="725">
        <f t="shared" ref="D310:O310" si="121">+D292+D295+D296+D297+D298+D299+D300+D301</f>
        <v>0</v>
      </c>
      <c r="E310" s="725">
        <f t="shared" si="121"/>
        <v>0</v>
      </c>
      <c r="F310" s="725">
        <f t="shared" si="121"/>
        <v>5536</v>
      </c>
      <c r="G310" s="725">
        <f t="shared" si="121"/>
        <v>0</v>
      </c>
      <c r="H310" s="725">
        <f t="shared" si="121"/>
        <v>0</v>
      </c>
      <c r="I310" s="725">
        <f t="shared" si="121"/>
        <v>0</v>
      </c>
      <c r="J310" s="725">
        <f t="shared" si="121"/>
        <v>15630</v>
      </c>
      <c r="K310" s="725">
        <f t="shared" si="121"/>
        <v>0</v>
      </c>
      <c r="L310" s="725">
        <f t="shared" si="121"/>
        <v>15630</v>
      </c>
      <c r="M310" s="725">
        <f t="shared" si="121"/>
        <v>229492</v>
      </c>
      <c r="N310" s="725">
        <f t="shared" si="121"/>
        <v>2294</v>
      </c>
      <c r="O310" s="725">
        <f t="shared" si="121"/>
        <v>247416</v>
      </c>
    </row>
    <row r="311" spans="1:16" ht="17.25" thickTop="1" thickBot="1" x14ac:dyDescent="0.3">
      <c r="A311" s="712"/>
      <c r="B311" s="725" t="s">
        <v>377</v>
      </c>
      <c r="C311" s="725">
        <f t="shared" ref="C311:O311" si="122">+C293+C303+C304+C305+C306+C307+C308</f>
        <v>0</v>
      </c>
      <c r="D311" s="725">
        <f t="shared" si="122"/>
        <v>0</v>
      </c>
      <c r="E311" s="725">
        <f t="shared" si="122"/>
        <v>0</v>
      </c>
      <c r="F311" s="725">
        <f t="shared" si="122"/>
        <v>0</v>
      </c>
      <c r="G311" s="725">
        <f t="shared" si="122"/>
        <v>0</v>
      </c>
      <c r="H311" s="725">
        <f t="shared" si="122"/>
        <v>0</v>
      </c>
      <c r="I311" s="725">
        <f t="shared" si="122"/>
        <v>0</v>
      </c>
      <c r="J311" s="725">
        <f t="shared" si="122"/>
        <v>0</v>
      </c>
      <c r="K311" s="725">
        <f t="shared" si="122"/>
        <v>0</v>
      </c>
      <c r="L311" s="725">
        <f t="shared" si="122"/>
        <v>0</v>
      </c>
      <c r="M311" s="725">
        <f t="shared" si="122"/>
        <v>4583</v>
      </c>
      <c r="N311" s="725">
        <f t="shared" si="122"/>
        <v>0</v>
      </c>
      <c r="O311" s="725">
        <f t="shared" si="122"/>
        <v>4583</v>
      </c>
    </row>
    <row r="312" spans="1:16" ht="16.5" thickTop="1" x14ac:dyDescent="0.25">
      <c r="A312" s="716" t="s">
        <v>7</v>
      </c>
      <c r="B312" s="717" t="s">
        <v>398</v>
      </c>
      <c r="C312" s="717"/>
      <c r="D312" s="717"/>
      <c r="E312" s="717"/>
      <c r="F312" s="717"/>
      <c r="G312" s="717"/>
      <c r="H312" s="717"/>
      <c r="I312" s="717"/>
      <c r="J312" s="717"/>
      <c r="K312" s="717"/>
      <c r="L312" s="717"/>
      <c r="M312" s="717"/>
      <c r="N312" s="717"/>
      <c r="O312" s="717"/>
    </row>
    <row r="313" spans="1:16" x14ac:dyDescent="0.25">
      <c r="A313" s="716"/>
      <c r="B313" s="718" t="s">
        <v>347</v>
      </c>
      <c r="C313" s="718">
        <f t="shared" ref="C313:E313" si="123">SUM(C314:C315)</f>
        <v>4492</v>
      </c>
      <c r="D313" s="718">
        <f t="shared" si="123"/>
        <v>0</v>
      </c>
      <c r="E313" s="718">
        <f t="shared" si="123"/>
        <v>0</v>
      </c>
      <c r="F313" s="718">
        <f>SUM(F314:F315)</f>
        <v>1894</v>
      </c>
      <c r="G313" s="718"/>
      <c r="H313" s="718"/>
      <c r="I313" s="718"/>
      <c r="J313" s="718">
        <f>SUM(C313+E313+F313+H313)</f>
        <v>6386</v>
      </c>
      <c r="K313" s="718">
        <f>SUM(D313+G313+I313)</f>
        <v>0</v>
      </c>
      <c r="L313" s="718">
        <f>SUM(J313:K313)</f>
        <v>6386</v>
      </c>
      <c r="M313" s="718">
        <f>SUM(M314:M315)</f>
        <v>78129</v>
      </c>
      <c r="N313" s="718">
        <f>SUM(N314:N315)</f>
        <v>1595</v>
      </c>
      <c r="O313" s="718">
        <f>SUM(L313:N313)</f>
        <v>86110</v>
      </c>
    </row>
    <row r="314" spans="1:16" s="722" customFormat="1" x14ac:dyDescent="0.25">
      <c r="A314" s="719"/>
      <c r="B314" s="720" t="s">
        <v>381</v>
      </c>
      <c r="C314" s="720">
        <v>4492</v>
      </c>
      <c r="D314" s="720"/>
      <c r="E314" s="720"/>
      <c r="F314" s="720">
        <v>1894</v>
      </c>
      <c r="G314" s="720"/>
      <c r="H314" s="720"/>
      <c r="I314" s="720"/>
      <c r="J314" s="721">
        <f>SUM(C314+E314+F314+H314)</f>
        <v>6386</v>
      </c>
      <c r="K314" s="721">
        <f>SUM(D314+G314+I314)</f>
        <v>0</v>
      </c>
      <c r="L314" s="721">
        <f>SUM(J314:K314)</f>
        <v>6386</v>
      </c>
      <c r="M314" s="721">
        <v>77428</v>
      </c>
      <c r="N314" s="721">
        <v>1595</v>
      </c>
      <c r="O314" s="721">
        <f>SUM(L314:N314)</f>
        <v>85409</v>
      </c>
    </row>
    <row r="315" spans="1:16" s="722" customFormat="1" x14ac:dyDescent="0.25">
      <c r="A315" s="719"/>
      <c r="B315" s="720" t="s">
        <v>380</v>
      </c>
      <c r="C315" s="720"/>
      <c r="D315" s="720"/>
      <c r="E315" s="720"/>
      <c r="F315" s="720"/>
      <c r="G315" s="720"/>
      <c r="H315" s="720"/>
      <c r="I315" s="720"/>
      <c r="J315" s="721">
        <f>SUM(C315+E315+F315+H315)</f>
        <v>0</v>
      </c>
      <c r="K315" s="721">
        <f>SUM(D315+G315+I315)</f>
        <v>0</v>
      </c>
      <c r="L315" s="721">
        <f>SUM(J315:K315)</f>
        <v>0</v>
      </c>
      <c r="M315" s="721">
        <v>701</v>
      </c>
      <c r="N315" s="721"/>
      <c r="O315" s="721">
        <f>SUM(L315:N315)</f>
        <v>701</v>
      </c>
    </row>
    <row r="316" spans="1:16" s="722" customFormat="1" x14ac:dyDescent="0.25">
      <c r="A316" s="719"/>
      <c r="B316" s="720" t="s">
        <v>131</v>
      </c>
      <c r="C316" s="723"/>
      <c r="D316" s="723"/>
      <c r="E316" s="723"/>
      <c r="F316" s="723"/>
      <c r="G316" s="723"/>
      <c r="H316" s="723"/>
      <c r="I316" s="723"/>
      <c r="J316" s="723"/>
      <c r="K316" s="723"/>
      <c r="L316" s="723"/>
      <c r="M316" s="723"/>
      <c r="N316" s="723"/>
      <c r="O316" s="723"/>
    </row>
    <row r="317" spans="1:16" s="722" customFormat="1" ht="31.5" x14ac:dyDescent="0.25">
      <c r="A317" s="719"/>
      <c r="B317" s="723" t="s">
        <v>1434</v>
      </c>
      <c r="C317" s="723"/>
      <c r="D317" s="723"/>
      <c r="E317" s="723"/>
      <c r="F317" s="723">
        <v>285</v>
      </c>
      <c r="G317" s="723"/>
      <c r="H317" s="723"/>
      <c r="I317" s="723"/>
      <c r="J317" s="723">
        <f t="shared" ref="J317:J319" si="124">SUM(C317+E317+F317+H317)</f>
        <v>285</v>
      </c>
      <c r="K317" s="723">
        <f t="shared" ref="K317" si="125">SUM(D317+G317+I317)</f>
        <v>0</v>
      </c>
      <c r="L317" s="723">
        <f t="shared" ref="L317:L319" si="126">SUM(J317:K317)</f>
        <v>285</v>
      </c>
      <c r="M317" s="723">
        <v>-31508</v>
      </c>
      <c r="N317" s="723"/>
      <c r="O317" s="723">
        <f t="shared" ref="O317:O319" si="127">SUM(L317:N317)</f>
        <v>-31223</v>
      </c>
    </row>
    <row r="318" spans="1:16" s="722" customFormat="1" x14ac:dyDescent="0.25">
      <c r="A318" s="719"/>
      <c r="B318" s="720" t="s">
        <v>132</v>
      </c>
      <c r="C318" s="723"/>
      <c r="D318" s="723"/>
      <c r="E318" s="723"/>
      <c r="F318" s="723"/>
      <c r="G318" s="723"/>
      <c r="H318" s="723"/>
      <c r="I318" s="723"/>
      <c r="J318" s="723"/>
      <c r="K318" s="723"/>
      <c r="L318" s="723"/>
      <c r="M318" s="723"/>
      <c r="N318" s="723"/>
      <c r="O318" s="723"/>
    </row>
    <row r="319" spans="1:16" s="722" customFormat="1" ht="32.25" thickBot="1" x14ac:dyDescent="0.3">
      <c r="A319" s="719"/>
      <c r="B319" s="723" t="s">
        <v>1434</v>
      </c>
      <c r="C319" s="723"/>
      <c r="D319" s="723"/>
      <c r="E319" s="723"/>
      <c r="F319" s="723"/>
      <c r="G319" s="723"/>
      <c r="H319" s="723"/>
      <c r="I319" s="723"/>
      <c r="J319" s="723">
        <f t="shared" si="124"/>
        <v>0</v>
      </c>
      <c r="K319" s="723"/>
      <c r="L319" s="723">
        <f t="shared" si="126"/>
        <v>0</v>
      </c>
      <c r="M319" s="723">
        <v>328</v>
      </c>
      <c r="N319" s="723"/>
      <c r="O319" s="723">
        <f t="shared" si="127"/>
        <v>328</v>
      </c>
    </row>
    <row r="320" spans="1:16" ht="17.25" thickTop="1" thickBot="1" x14ac:dyDescent="0.3">
      <c r="A320" s="712"/>
      <c r="B320" s="725" t="s">
        <v>379</v>
      </c>
      <c r="C320" s="725">
        <f>+C313+C317+C319</f>
        <v>4492</v>
      </c>
      <c r="D320" s="725">
        <f t="shared" ref="D320:O320" si="128">+D313+D317+D319</f>
        <v>0</v>
      </c>
      <c r="E320" s="725">
        <f t="shared" si="128"/>
        <v>0</v>
      </c>
      <c r="F320" s="725">
        <f t="shared" si="128"/>
        <v>2179</v>
      </c>
      <c r="G320" s="725">
        <f t="shared" si="128"/>
        <v>0</v>
      </c>
      <c r="H320" s="725">
        <f t="shared" si="128"/>
        <v>0</v>
      </c>
      <c r="I320" s="725">
        <f t="shared" si="128"/>
        <v>0</v>
      </c>
      <c r="J320" s="725">
        <f t="shared" si="128"/>
        <v>6671</v>
      </c>
      <c r="K320" s="725">
        <f t="shared" si="128"/>
        <v>0</v>
      </c>
      <c r="L320" s="725">
        <f t="shared" si="128"/>
        <v>6671</v>
      </c>
      <c r="M320" s="725">
        <f t="shared" si="128"/>
        <v>46949</v>
      </c>
      <c r="N320" s="725">
        <f t="shared" si="128"/>
        <v>1595</v>
      </c>
      <c r="O320" s="725">
        <f t="shared" si="128"/>
        <v>55215</v>
      </c>
      <c r="P320" s="703">
        <f>O321+O322</f>
        <v>55215</v>
      </c>
    </row>
    <row r="321" spans="1:15" ht="17.25" thickTop="1" thickBot="1" x14ac:dyDescent="0.3">
      <c r="A321" s="712"/>
      <c r="B321" s="725" t="s">
        <v>378</v>
      </c>
      <c r="C321" s="725">
        <f>+C314+C317</f>
        <v>4492</v>
      </c>
      <c r="D321" s="725">
        <f t="shared" ref="D321:O321" si="129">+D314+D317</f>
        <v>0</v>
      </c>
      <c r="E321" s="725">
        <f t="shared" si="129"/>
        <v>0</v>
      </c>
      <c r="F321" s="725">
        <f t="shared" si="129"/>
        <v>2179</v>
      </c>
      <c r="G321" s="725">
        <f t="shared" si="129"/>
        <v>0</v>
      </c>
      <c r="H321" s="725">
        <f t="shared" si="129"/>
        <v>0</v>
      </c>
      <c r="I321" s="725">
        <f t="shared" si="129"/>
        <v>0</v>
      </c>
      <c r="J321" s="725">
        <f t="shared" si="129"/>
        <v>6671</v>
      </c>
      <c r="K321" s="725">
        <f t="shared" si="129"/>
        <v>0</v>
      </c>
      <c r="L321" s="725">
        <f t="shared" si="129"/>
        <v>6671</v>
      </c>
      <c r="M321" s="725">
        <f t="shared" si="129"/>
        <v>45920</v>
      </c>
      <c r="N321" s="725">
        <f t="shared" si="129"/>
        <v>1595</v>
      </c>
      <c r="O321" s="725">
        <f t="shared" si="129"/>
        <v>54186</v>
      </c>
    </row>
    <row r="322" spans="1:15" ht="17.25" thickTop="1" thickBot="1" x14ac:dyDescent="0.3">
      <c r="A322" s="712"/>
      <c r="B322" s="725" t="s">
        <v>377</v>
      </c>
      <c r="C322" s="725">
        <f>+C315+C319</f>
        <v>0</v>
      </c>
      <c r="D322" s="725">
        <f t="shared" ref="D322:O322" si="130">+D315+D319</f>
        <v>0</v>
      </c>
      <c r="E322" s="725">
        <f t="shared" si="130"/>
        <v>0</v>
      </c>
      <c r="F322" s="725">
        <f t="shared" si="130"/>
        <v>0</v>
      </c>
      <c r="G322" s="725">
        <f t="shared" si="130"/>
        <v>0</v>
      </c>
      <c r="H322" s="725">
        <f t="shared" si="130"/>
        <v>0</v>
      </c>
      <c r="I322" s="725">
        <f t="shared" si="130"/>
        <v>0</v>
      </c>
      <c r="J322" s="725">
        <f t="shared" si="130"/>
        <v>0</v>
      </c>
      <c r="K322" s="725">
        <f t="shared" si="130"/>
        <v>0</v>
      </c>
      <c r="L322" s="725">
        <f t="shared" si="130"/>
        <v>0</v>
      </c>
      <c r="M322" s="725">
        <f t="shared" si="130"/>
        <v>1029</v>
      </c>
      <c r="N322" s="725">
        <f t="shared" si="130"/>
        <v>0</v>
      </c>
      <c r="O322" s="725">
        <f t="shared" si="130"/>
        <v>1029</v>
      </c>
    </row>
    <row r="323" spans="1:15" ht="16.5" thickTop="1" x14ac:dyDescent="0.25">
      <c r="A323" s="727" t="s">
        <v>8</v>
      </c>
      <c r="B323" s="717" t="s">
        <v>445</v>
      </c>
      <c r="C323" s="717"/>
      <c r="D323" s="717"/>
      <c r="E323" s="717"/>
      <c r="F323" s="717"/>
      <c r="G323" s="717"/>
      <c r="H323" s="717"/>
      <c r="I323" s="717"/>
      <c r="J323" s="717"/>
      <c r="K323" s="717"/>
      <c r="L323" s="717"/>
      <c r="M323" s="717"/>
      <c r="N323" s="717"/>
      <c r="O323" s="717"/>
    </row>
    <row r="324" spans="1:15" x14ac:dyDescent="0.25">
      <c r="A324" s="727"/>
      <c r="B324" s="717" t="s">
        <v>347</v>
      </c>
      <c r="C324" s="717">
        <f t="shared" ref="C324:E324" si="131">SUM(C325:C326)</f>
        <v>16828</v>
      </c>
      <c r="D324" s="717">
        <f t="shared" si="131"/>
        <v>0</v>
      </c>
      <c r="E324" s="717">
        <f t="shared" si="131"/>
        <v>0</v>
      </c>
      <c r="F324" s="717">
        <f>SUM(F325:F326)</f>
        <v>7688</v>
      </c>
      <c r="G324" s="717"/>
      <c r="H324" s="717"/>
      <c r="I324" s="717"/>
      <c r="J324" s="718">
        <f>SUM(C324+E324+F324+H324)</f>
        <v>24516</v>
      </c>
      <c r="K324" s="718">
        <f>SUM(D324+G324+I324)</f>
        <v>0</v>
      </c>
      <c r="L324" s="718">
        <f>SUM(J324:K324)</f>
        <v>24516</v>
      </c>
      <c r="M324" s="718">
        <f>SUM(M325:M326)</f>
        <v>286321</v>
      </c>
      <c r="N324" s="718">
        <f>SUM(N325:N326)</f>
        <v>1226</v>
      </c>
      <c r="O324" s="718">
        <f>SUM(L324:N324)</f>
        <v>312063</v>
      </c>
    </row>
    <row r="325" spans="1:15" s="722" customFormat="1" x14ac:dyDescent="0.25">
      <c r="A325" s="728"/>
      <c r="B325" s="729" t="s">
        <v>381</v>
      </c>
      <c r="C325" s="729">
        <v>16828</v>
      </c>
      <c r="D325" s="729"/>
      <c r="E325" s="729"/>
      <c r="F325" s="729">
        <v>7688</v>
      </c>
      <c r="G325" s="729"/>
      <c r="H325" s="729"/>
      <c r="I325" s="729"/>
      <c r="J325" s="730">
        <f>SUM(C325+E325+F325+H325)</f>
        <v>24516</v>
      </c>
      <c r="K325" s="730">
        <f>SUM(D325+G325+I325)</f>
        <v>0</v>
      </c>
      <c r="L325" s="730">
        <f>SUM(J325:K325)</f>
        <v>24516</v>
      </c>
      <c r="M325" s="730">
        <v>283906</v>
      </c>
      <c r="N325" s="730">
        <v>1226</v>
      </c>
      <c r="O325" s="730">
        <f>SUM(L325:N325)</f>
        <v>309648</v>
      </c>
    </row>
    <row r="326" spans="1:15" s="722" customFormat="1" x14ac:dyDescent="0.25">
      <c r="A326" s="719"/>
      <c r="B326" s="720" t="s">
        <v>380</v>
      </c>
      <c r="C326" s="720"/>
      <c r="D326" s="720"/>
      <c r="E326" s="720"/>
      <c r="F326" s="720"/>
      <c r="G326" s="720"/>
      <c r="H326" s="720"/>
      <c r="I326" s="720"/>
      <c r="J326" s="721">
        <f>SUM(C326+E326+F326+H326)</f>
        <v>0</v>
      </c>
      <c r="K326" s="721">
        <f>SUM(D326+G326+I326)</f>
        <v>0</v>
      </c>
      <c r="L326" s="721">
        <f>SUM(J326:K326)</f>
        <v>0</v>
      </c>
      <c r="M326" s="721">
        <v>2415</v>
      </c>
      <c r="N326" s="721"/>
      <c r="O326" s="721">
        <f>SUM(L326:N326)</f>
        <v>2415</v>
      </c>
    </row>
    <row r="327" spans="1:15" s="722" customFormat="1" x14ac:dyDescent="0.25">
      <c r="A327" s="719"/>
      <c r="B327" s="720" t="s">
        <v>131</v>
      </c>
      <c r="C327" s="723"/>
      <c r="D327" s="723"/>
      <c r="E327" s="723"/>
      <c r="F327" s="723"/>
      <c r="G327" s="723"/>
      <c r="H327" s="723"/>
      <c r="I327" s="723"/>
      <c r="J327" s="723"/>
      <c r="K327" s="723"/>
      <c r="L327" s="723"/>
      <c r="M327" s="723"/>
      <c r="N327" s="723"/>
      <c r="O327" s="723"/>
    </row>
    <row r="328" spans="1:15" s="722" customFormat="1" ht="63" x14ac:dyDescent="0.25">
      <c r="A328" s="719"/>
      <c r="B328" s="723" t="s">
        <v>1326</v>
      </c>
      <c r="C328" s="723"/>
      <c r="D328" s="723"/>
      <c r="E328" s="723"/>
      <c r="F328" s="723"/>
      <c r="G328" s="723"/>
      <c r="H328" s="723"/>
      <c r="I328" s="723"/>
      <c r="J328" s="723">
        <f t="shared" ref="J328:J337" si="132">SUM(C328+E328+F328+H328)</f>
        <v>0</v>
      </c>
      <c r="K328" s="723">
        <f t="shared" ref="K328:K337" si="133">SUM(D328+G328+I328)</f>
        <v>0</v>
      </c>
      <c r="L328" s="723">
        <f t="shared" ref="L328:L337" si="134">SUM(J328:K328)</f>
        <v>0</v>
      </c>
      <c r="M328" s="723">
        <v>2288</v>
      </c>
      <c r="N328" s="723"/>
      <c r="O328" s="723">
        <f t="shared" ref="O328:O337" si="135">SUM(L328:N328)</f>
        <v>2288</v>
      </c>
    </row>
    <row r="329" spans="1:15" s="722" customFormat="1" ht="66" customHeight="1" x14ac:dyDescent="0.25">
      <c r="A329" s="728"/>
      <c r="B329" s="724" t="s">
        <v>1337</v>
      </c>
      <c r="C329" s="723"/>
      <c r="D329" s="723"/>
      <c r="E329" s="723"/>
      <c r="F329" s="723"/>
      <c r="G329" s="723"/>
      <c r="H329" s="723"/>
      <c r="I329" s="723"/>
      <c r="J329" s="723">
        <f t="shared" si="132"/>
        <v>0</v>
      </c>
      <c r="K329" s="723">
        <f t="shared" si="133"/>
        <v>0</v>
      </c>
      <c r="L329" s="723">
        <f t="shared" si="134"/>
        <v>0</v>
      </c>
      <c r="M329" s="723">
        <v>6755</v>
      </c>
      <c r="N329" s="723"/>
      <c r="O329" s="723">
        <f t="shared" si="135"/>
        <v>6755</v>
      </c>
    </row>
    <row r="330" spans="1:15" s="722" customFormat="1" ht="31.5" x14ac:dyDescent="0.25">
      <c r="A330" s="719"/>
      <c r="B330" s="724" t="s">
        <v>1338</v>
      </c>
      <c r="C330" s="723"/>
      <c r="D330" s="723"/>
      <c r="E330" s="723"/>
      <c r="F330" s="723"/>
      <c r="G330" s="723"/>
      <c r="H330" s="723"/>
      <c r="I330" s="723"/>
      <c r="J330" s="723">
        <f t="shared" si="132"/>
        <v>0</v>
      </c>
      <c r="K330" s="723">
        <f t="shared" si="133"/>
        <v>0</v>
      </c>
      <c r="L330" s="723">
        <f t="shared" si="134"/>
        <v>0</v>
      </c>
      <c r="M330" s="723">
        <v>1899</v>
      </c>
      <c r="N330" s="723"/>
      <c r="O330" s="723">
        <f t="shared" si="135"/>
        <v>1899</v>
      </c>
    </row>
    <row r="331" spans="1:15" s="722" customFormat="1" ht="31.5" x14ac:dyDescent="0.25">
      <c r="A331" s="719"/>
      <c r="B331" s="731" t="s">
        <v>1426</v>
      </c>
      <c r="C331" s="723"/>
      <c r="D331" s="723"/>
      <c r="E331" s="723"/>
      <c r="F331" s="723"/>
      <c r="G331" s="723"/>
      <c r="H331" s="723"/>
      <c r="I331" s="723"/>
      <c r="J331" s="723">
        <f t="shared" si="132"/>
        <v>0</v>
      </c>
      <c r="K331" s="723">
        <f t="shared" si="133"/>
        <v>0</v>
      </c>
      <c r="L331" s="723">
        <f t="shared" si="134"/>
        <v>0</v>
      </c>
      <c r="M331" s="723">
        <v>-12673</v>
      </c>
      <c r="N331" s="723"/>
      <c r="O331" s="723">
        <f t="shared" si="135"/>
        <v>-12673</v>
      </c>
    </row>
    <row r="332" spans="1:15" s="722" customFormat="1" x14ac:dyDescent="0.25">
      <c r="A332" s="719"/>
      <c r="B332" s="724" t="s">
        <v>1432</v>
      </c>
      <c r="C332" s="723"/>
      <c r="D332" s="723"/>
      <c r="E332" s="723"/>
      <c r="F332" s="723">
        <v>-1283</v>
      </c>
      <c r="G332" s="723"/>
      <c r="H332" s="723"/>
      <c r="I332" s="723"/>
      <c r="J332" s="723">
        <f t="shared" si="132"/>
        <v>-1283</v>
      </c>
      <c r="K332" s="723">
        <f t="shared" si="133"/>
        <v>0</v>
      </c>
      <c r="L332" s="723">
        <f t="shared" si="134"/>
        <v>-1283</v>
      </c>
      <c r="M332" s="723">
        <v>-6319</v>
      </c>
      <c r="N332" s="723"/>
      <c r="O332" s="723">
        <f t="shared" si="135"/>
        <v>-7602</v>
      </c>
    </row>
    <row r="333" spans="1:15" s="722" customFormat="1" ht="31.5" x14ac:dyDescent="0.25">
      <c r="A333" s="719"/>
      <c r="B333" s="723" t="s">
        <v>961</v>
      </c>
      <c r="C333" s="723"/>
      <c r="D333" s="723"/>
      <c r="E333" s="723"/>
      <c r="F333" s="723"/>
      <c r="G333" s="723"/>
      <c r="H333" s="723"/>
      <c r="I333" s="723"/>
      <c r="J333" s="723">
        <f t="shared" si="132"/>
        <v>0</v>
      </c>
      <c r="K333" s="723">
        <f t="shared" si="133"/>
        <v>0</v>
      </c>
      <c r="L333" s="723">
        <f t="shared" si="134"/>
        <v>0</v>
      </c>
      <c r="M333" s="723">
        <v>245</v>
      </c>
      <c r="N333" s="723"/>
      <c r="O333" s="723">
        <f t="shared" si="135"/>
        <v>245</v>
      </c>
    </row>
    <row r="334" spans="1:15" s="722" customFormat="1" x14ac:dyDescent="0.25">
      <c r="A334" s="719"/>
      <c r="B334" s="720" t="s">
        <v>132</v>
      </c>
      <c r="C334" s="723"/>
      <c r="D334" s="723"/>
      <c r="E334" s="723"/>
      <c r="F334" s="723"/>
      <c r="G334" s="723"/>
      <c r="H334" s="723"/>
      <c r="I334" s="723"/>
      <c r="J334" s="723"/>
      <c r="K334" s="723"/>
      <c r="L334" s="723"/>
      <c r="M334" s="723"/>
      <c r="N334" s="723"/>
      <c r="O334" s="723"/>
    </row>
    <row r="335" spans="1:15" s="722" customFormat="1" x14ac:dyDescent="0.25">
      <c r="A335" s="728"/>
      <c r="B335" s="731" t="s">
        <v>1330</v>
      </c>
      <c r="C335" s="731"/>
      <c r="D335" s="731"/>
      <c r="E335" s="731"/>
      <c r="F335" s="731"/>
      <c r="G335" s="731"/>
      <c r="H335" s="731"/>
      <c r="I335" s="731"/>
      <c r="J335" s="731">
        <f t="shared" si="132"/>
        <v>0</v>
      </c>
      <c r="K335" s="731">
        <f t="shared" si="133"/>
        <v>0</v>
      </c>
      <c r="L335" s="731">
        <f t="shared" si="134"/>
        <v>0</v>
      </c>
      <c r="M335" s="731">
        <v>1315</v>
      </c>
      <c r="N335" s="731"/>
      <c r="O335" s="731">
        <f t="shared" si="135"/>
        <v>1315</v>
      </c>
    </row>
    <row r="336" spans="1:15" s="722" customFormat="1" ht="94.5" x14ac:dyDescent="0.25">
      <c r="A336" s="728"/>
      <c r="B336" s="731" t="s">
        <v>1444</v>
      </c>
      <c r="C336" s="731"/>
      <c r="D336" s="731"/>
      <c r="E336" s="731"/>
      <c r="F336" s="731"/>
      <c r="G336" s="731"/>
      <c r="H336" s="731"/>
      <c r="I336" s="731"/>
      <c r="J336" s="731">
        <f t="shared" si="132"/>
        <v>0</v>
      </c>
      <c r="K336" s="731">
        <f t="shared" si="133"/>
        <v>0</v>
      </c>
      <c r="L336" s="731">
        <f t="shared" si="134"/>
        <v>0</v>
      </c>
      <c r="M336" s="731">
        <v>30</v>
      </c>
      <c r="N336" s="731"/>
      <c r="O336" s="731">
        <f t="shared" si="135"/>
        <v>30</v>
      </c>
    </row>
    <row r="337" spans="1:16" s="722" customFormat="1" ht="95.25" thickBot="1" x14ac:dyDescent="0.3">
      <c r="A337" s="719"/>
      <c r="B337" s="723" t="s">
        <v>1431</v>
      </c>
      <c r="C337" s="723"/>
      <c r="D337" s="723"/>
      <c r="E337" s="723"/>
      <c r="F337" s="723"/>
      <c r="G337" s="723"/>
      <c r="H337" s="723"/>
      <c r="I337" s="723"/>
      <c r="J337" s="723">
        <f t="shared" si="132"/>
        <v>0</v>
      </c>
      <c r="K337" s="723">
        <f t="shared" si="133"/>
        <v>0</v>
      </c>
      <c r="L337" s="723">
        <f t="shared" si="134"/>
        <v>0</v>
      </c>
      <c r="M337" s="723">
        <v>1672</v>
      </c>
      <c r="N337" s="723"/>
      <c r="O337" s="723">
        <f t="shared" si="135"/>
        <v>1672</v>
      </c>
    </row>
    <row r="338" spans="1:16" ht="17.25" thickTop="1" thickBot="1" x14ac:dyDescent="0.3">
      <c r="A338" s="712"/>
      <c r="B338" s="725" t="s">
        <v>379</v>
      </c>
      <c r="C338" s="725">
        <f>+C324+C328+C335+C329+C330+C331+C332+C333+C336+C337</f>
        <v>16828</v>
      </c>
      <c r="D338" s="725">
        <f t="shared" ref="D338:O338" si="136">+D324+D328+D335+D329+D330+D331+D332+D333+D336+D337</f>
        <v>0</v>
      </c>
      <c r="E338" s="725">
        <f t="shared" si="136"/>
        <v>0</v>
      </c>
      <c r="F338" s="725">
        <f t="shared" si="136"/>
        <v>6405</v>
      </c>
      <c r="G338" s="725">
        <f t="shared" si="136"/>
        <v>0</v>
      </c>
      <c r="H338" s="725">
        <f t="shared" si="136"/>
        <v>0</v>
      </c>
      <c r="I338" s="725">
        <f t="shared" si="136"/>
        <v>0</v>
      </c>
      <c r="J338" s="725">
        <f t="shared" si="136"/>
        <v>23233</v>
      </c>
      <c r="K338" s="725">
        <f t="shared" si="136"/>
        <v>0</v>
      </c>
      <c r="L338" s="725">
        <f t="shared" si="136"/>
        <v>23233</v>
      </c>
      <c r="M338" s="725">
        <f t="shared" si="136"/>
        <v>281533</v>
      </c>
      <c r="N338" s="725">
        <f t="shared" si="136"/>
        <v>1226</v>
      </c>
      <c r="O338" s="725">
        <f t="shared" si="136"/>
        <v>305992</v>
      </c>
      <c r="P338" s="703">
        <f>O339+O340</f>
        <v>305992</v>
      </c>
    </row>
    <row r="339" spans="1:16" ht="17.25" thickTop="1" thickBot="1" x14ac:dyDescent="0.3">
      <c r="A339" s="712"/>
      <c r="B339" s="725" t="s">
        <v>378</v>
      </c>
      <c r="C339" s="725">
        <f>+C325+C328+C329+C330+C331+C332+C333</f>
        <v>16828</v>
      </c>
      <c r="D339" s="725">
        <f t="shared" ref="D339:O339" si="137">+D325+D328+D329+D330+D331+D332+D333</f>
        <v>0</v>
      </c>
      <c r="E339" s="725">
        <f t="shared" si="137"/>
        <v>0</v>
      </c>
      <c r="F339" s="725">
        <f t="shared" si="137"/>
        <v>6405</v>
      </c>
      <c r="G339" s="725">
        <f t="shared" si="137"/>
        <v>0</v>
      </c>
      <c r="H339" s="725">
        <f t="shared" si="137"/>
        <v>0</v>
      </c>
      <c r="I339" s="725">
        <f t="shared" si="137"/>
        <v>0</v>
      </c>
      <c r="J339" s="725">
        <f t="shared" si="137"/>
        <v>23233</v>
      </c>
      <c r="K339" s="725">
        <f t="shared" si="137"/>
        <v>0</v>
      </c>
      <c r="L339" s="725">
        <f t="shared" si="137"/>
        <v>23233</v>
      </c>
      <c r="M339" s="725">
        <f t="shared" si="137"/>
        <v>276101</v>
      </c>
      <c r="N339" s="725">
        <f t="shared" si="137"/>
        <v>1226</v>
      </c>
      <c r="O339" s="725">
        <f t="shared" si="137"/>
        <v>300560</v>
      </c>
    </row>
    <row r="340" spans="1:16" ht="17.25" thickTop="1" thickBot="1" x14ac:dyDescent="0.3">
      <c r="A340" s="712"/>
      <c r="B340" s="725" t="s">
        <v>377</v>
      </c>
      <c r="C340" s="725">
        <f t="shared" ref="C340:O340" si="138">+C326+C335+C336+C337</f>
        <v>0</v>
      </c>
      <c r="D340" s="725">
        <f t="shared" si="138"/>
        <v>0</v>
      </c>
      <c r="E340" s="725">
        <f t="shared" si="138"/>
        <v>0</v>
      </c>
      <c r="F340" s="725">
        <f t="shared" si="138"/>
        <v>0</v>
      </c>
      <c r="G340" s="725">
        <f t="shared" si="138"/>
        <v>0</v>
      </c>
      <c r="H340" s="725">
        <f t="shared" si="138"/>
        <v>0</v>
      </c>
      <c r="I340" s="725">
        <f t="shared" si="138"/>
        <v>0</v>
      </c>
      <c r="J340" s="725">
        <f t="shared" si="138"/>
        <v>0</v>
      </c>
      <c r="K340" s="725">
        <f t="shared" si="138"/>
        <v>0</v>
      </c>
      <c r="L340" s="725">
        <f t="shared" si="138"/>
        <v>0</v>
      </c>
      <c r="M340" s="725">
        <f t="shared" si="138"/>
        <v>5432</v>
      </c>
      <c r="N340" s="725">
        <f t="shared" si="138"/>
        <v>0</v>
      </c>
      <c r="O340" s="725">
        <f t="shared" si="138"/>
        <v>5432</v>
      </c>
    </row>
    <row r="341" spans="1:16" ht="16.5" thickTop="1" x14ac:dyDescent="0.25">
      <c r="A341" s="716" t="s">
        <v>9</v>
      </c>
      <c r="B341" s="717" t="s">
        <v>397</v>
      </c>
      <c r="C341" s="717"/>
      <c r="D341" s="717"/>
      <c r="E341" s="717"/>
      <c r="F341" s="717"/>
      <c r="G341" s="717"/>
      <c r="H341" s="717"/>
      <c r="I341" s="717"/>
      <c r="J341" s="717"/>
      <c r="K341" s="717"/>
      <c r="L341" s="717"/>
      <c r="M341" s="717"/>
      <c r="N341" s="717"/>
      <c r="O341" s="717"/>
    </row>
    <row r="342" spans="1:16" x14ac:dyDescent="0.25">
      <c r="A342" s="716"/>
      <c r="B342" s="718" t="s">
        <v>347</v>
      </c>
      <c r="C342" s="718">
        <f t="shared" ref="C342:E342" si="139">SUM(C343:C344)</f>
        <v>9777</v>
      </c>
      <c r="D342" s="718">
        <f t="shared" si="139"/>
        <v>0</v>
      </c>
      <c r="E342" s="718">
        <f t="shared" si="139"/>
        <v>0</v>
      </c>
      <c r="F342" s="718">
        <f>SUM(F343:F344)</f>
        <v>9766</v>
      </c>
      <c r="G342" s="718"/>
      <c r="H342" s="718"/>
      <c r="I342" s="718"/>
      <c r="J342" s="718">
        <f>SUM(C342+E342+F342+H342)</f>
        <v>19543</v>
      </c>
      <c r="K342" s="718">
        <f>SUM(D342+G342+I342)</f>
        <v>0</v>
      </c>
      <c r="L342" s="718">
        <f>SUM(J342:K342)</f>
        <v>19543</v>
      </c>
      <c r="M342" s="718">
        <f>SUM(M343:M344)</f>
        <v>204859</v>
      </c>
      <c r="N342" s="718">
        <f>SUM(N343:N344)</f>
        <v>6047</v>
      </c>
      <c r="O342" s="718">
        <f>SUM(L342:N342)</f>
        <v>230449</v>
      </c>
    </row>
    <row r="343" spans="1:16" s="722" customFormat="1" x14ac:dyDescent="0.25">
      <c r="A343" s="719"/>
      <c r="B343" s="720" t="s">
        <v>381</v>
      </c>
      <c r="C343" s="720">
        <v>9777</v>
      </c>
      <c r="D343" s="720"/>
      <c r="E343" s="720"/>
      <c r="F343" s="720">
        <v>9766</v>
      </c>
      <c r="G343" s="720"/>
      <c r="H343" s="720"/>
      <c r="I343" s="743"/>
      <c r="J343" s="741">
        <f>SUM(C343+E343+F343+H343)</f>
        <v>19543</v>
      </c>
      <c r="K343" s="741">
        <f>SUM(D343+G343+I343)</f>
        <v>0</v>
      </c>
      <c r="L343" s="721">
        <f>SUM(J343:K343)</f>
        <v>19543</v>
      </c>
      <c r="M343" s="721">
        <v>203007</v>
      </c>
      <c r="N343" s="721">
        <v>6047</v>
      </c>
      <c r="O343" s="721">
        <f>SUM(L343:N343)</f>
        <v>228597</v>
      </c>
    </row>
    <row r="344" spans="1:16" s="722" customFormat="1" x14ac:dyDescent="0.25">
      <c r="A344" s="719"/>
      <c r="B344" s="720" t="s">
        <v>380</v>
      </c>
      <c r="C344" s="720"/>
      <c r="D344" s="720"/>
      <c r="E344" s="720"/>
      <c r="F344" s="720"/>
      <c r="G344" s="720"/>
      <c r="H344" s="720"/>
      <c r="I344" s="743"/>
      <c r="J344" s="743">
        <f>SUM(C344+E344+F344+H344)</f>
        <v>0</v>
      </c>
      <c r="K344" s="743">
        <f>SUM(D344+G344+I344)</f>
        <v>0</v>
      </c>
      <c r="L344" s="720">
        <f>SUM(J344:K344)</f>
        <v>0</v>
      </c>
      <c r="M344" s="720">
        <v>1852</v>
      </c>
      <c r="N344" s="720"/>
      <c r="O344" s="720">
        <f>SUM(L344:N344)</f>
        <v>1852</v>
      </c>
    </row>
    <row r="345" spans="1:16" s="722" customFormat="1" x14ac:dyDescent="0.25">
      <c r="A345" s="728"/>
      <c r="B345" s="744" t="s">
        <v>131</v>
      </c>
      <c r="C345" s="734"/>
      <c r="D345" s="734"/>
      <c r="E345" s="734"/>
      <c r="F345" s="734"/>
      <c r="G345" s="734"/>
      <c r="H345" s="734"/>
      <c r="I345" s="734"/>
      <c r="J345" s="734"/>
      <c r="K345" s="734"/>
      <c r="L345" s="734"/>
      <c r="M345" s="734"/>
      <c r="N345" s="734"/>
      <c r="O345" s="734"/>
    </row>
    <row r="346" spans="1:16" s="722" customFormat="1" ht="31.5" x14ac:dyDescent="0.25">
      <c r="A346" s="719"/>
      <c r="B346" s="723" t="s">
        <v>1425</v>
      </c>
      <c r="C346" s="723"/>
      <c r="D346" s="723"/>
      <c r="E346" s="723"/>
      <c r="F346" s="723"/>
      <c r="G346" s="723"/>
      <c r="H346" s="723"/>
      <c r="I346" s="742"/>
      <c r="J346" s="742">
        <f t="shared" ref="J346:J358" si="140">SUM(C346+E346+F346+H346)</f>
        <v>0</v>
      </c>
      <c r="K346" s="742">
        <f t="shared" ref="K346:K358" si="141">SUM(D346+G346+I346)</f>
        <v>0</v>
      </c>
      <c r="L346" s="723">
        <f t="shared" ref="L346:L358" si="142">SUM(J346:K346)</f>
        <v>0</v>
      </c>
      <c r="M346" s="723">
        <v>49</v>
      </c>
      <c r="N346" s="723"/>
      <c r="O346" s="723">
        <f t="shared" ref="O346:O358" si="143">SUM(L346:N346)</f>
        <v>49</v>
      </c>
    </row>
    <row r="347" spans="1:16" s="722" customFormat="1" ht="66" customHeight="1" x14ac:dyDescent="0.25">
      <c r="A347" s="728"/>
      <c r="B347" s="724" t="s">
        <v>1326</v>
      </c>
      <c r="C347" s="723"/>
      <c r="D347" s="723"/>
      <c r="E347" s="723"/>
      <c r="F347" s="723"/>
      <c r="G347" s="723"/>
      <c r="H347" s="723"/>
      <c r="I347" s="723"/>
      <c r="J347" s="723">
        <f t="shared" si="140"/>
        <v>0</v>
      </c>
      <c r="K347" s="723">
        <f t="shared" si="141"/>
        <v>0</v>
      </c>
      <c r="L347" s="723">
        <f t="shared" si="142"/>
        <v>0</v>
      </c>
      <c r="M347" s="723">
        <v>4366</v>
      </c>
      <c r="N347" s="723"/>
      <c r="O347" s="723">
        <f t="shared" si="143"/>
        <v>4366</v>
      </c>
    </row>
    <row r="348" spans="1:16" s="722" customFormat="1" ht="66" customHeight="1" x14ac:dyDescent="0.25">
      <c r="A348" s="728"/>
      <c r="B348" s="724" t="s">
        <v>1337</v>
      </c>
      <c r="C348" s="723"/>
      <c r="D348" s="723"/>
      <c r="E348" s="723"/>
      <c r="F348" s="723"/>
      <c r="G348" s="723"/>
      <c r="H348" s="723"/>
      <c r="I348" s="723"/>
      <c r="J348" s="723">
        <f t="shared" si="140"/>
        <v>0</v>
      </c>
      <c r="K348" s="723">
        <f t="shared" si="141"/>
        <v>0</v>
      </c>
      <c r="L348" s="723">
        <f t="shared" si="142"/>
        <v>0</v>
      </c>
      <c r="M348" s="723">
        <v>4488</v>
      </c>
      <c r="N348" s="723"/>
      <c r="O348" s="723">
        <f t="shared" si="143"/>
        <v>4488</v>
      </c>
    </row>
    <row r="349" spans="1:16" s="722" customFormat="1" ht="31.5" x14ac:dyDescent="0.25">
      <c r="A349" s="719"/>
      <c r="B349" s="724" t="s">
        <v>1338</v>
      </c>
      <c r="C349" s="723"/>
      <c r="D349" s="723"/>
      <c r="E349" s="723"/>
      <c r="F349" s="723"/>
      <c r="G349" s="723"/>
      <c r="H349" s="723"/>
      <c r="I349" s="742"/>
      <c r="J349" s="742">
        <f t="shared" si="140"/>
        <v>0</v>
      </c>
      <c r="K349" s="742">
        <f t="shared" si="141"/>
        <v>0</v>
      </c>
      <c r="L349" s="723">
        <f t="shared" si="142"/>
        <v>0</v>
      </c>
      <c r="M349" s="723">
        <v>1140</v>
      </c>
      <c r="N349" s="723"/>
      <c r="O349" s="723">
        <f t="shared" si="143"/>
        <v>1140</v>
      </c>
    </row>
    <row r="350" spans="1:16" s="722" customFormat="1" ht="31.5" x14ac:dyDescent="0.25">
      <c r="A350" s="719"/>
      <c r="B350" s="731" t="s">
        <v>1426</v>
      </c>
      <c r="C350" s="723"/>
      <c r="D350" s="723"/>
      <c r="E350" s="723"/>
      <c r="F350" s="723"/>
      <c r="G350" s="723"/>
      <c r="H350" s="723"/>
      <c r="I350" s="742"/>
      <c r="J350" s="742">
        <f t="shared" si="140"/>
        <v>0</v>
      </c>
      <c r="K350" s="742">
        <f t="shared" si="141"/>
        <v>0</v>
      </c>
      <c r="L350" s="723">
        <f t="shared" si="142"/>
        <v>0</v>
      </c>
      <c r="M350" s="723">
        <v>-9849</v>
      </c>
      <c r="N350" s="723"/>
      <c r="O350" s="723">
        <f t="shared" si="143"/>
        <v>-9849</v>
      </c>
    </row>
    <row r="351" spans="1:16" s="722" customFormat="1" x14ac:dyDescent="0.25">
      <c r="A351" s="719"/>
      <c r="B351" s="724" t="s">
        <v>1432</v>
      </c>
      <c r="C351" s="723"/>
      <c r="D351" s="723"/>
      <c r="E351" s="723"/>
      <c r="F351" s="723">
        <v>-952</v>
      </c>
      <c r="G351" s="723"/>
      <c r="H351" s="723"/>
      <c r="I351" s="742"/>
      <c r="J351" s="742">
        <f t="shared" si="140"/>
        <v>-952</v>
      </c>
      <c r="K351" s="742">
        <f t="shared" si="141"/>
        <v>0</v>
      </c>
      <c r="L351" s="723">
        <f t="shared" si="142"/>
        <v>-952</v>
      </c>
      <c r="M351" s="723">
        <v>-13061</v>
      </c>
      <c r="N351" s="723"/>
      <c r="O351" s="723">
        <f t="shared" si="143"/>
        <v>-14013</v>
      </c>
    </row>
    <row r="352" spans="1:16" s="722" customFormat="1" ht="31.5" x14ac:dyDescent="0.25">
      <c r="A352" s="719"/>
      <c r="B352" s="723" t="s">
        <v>961</v>
      </c>
      <c r="C352" s="723"/>
      <c r="D352" s="723"/>
      <c r="E352" s="723"/>
      <c r="F352" s="723"/>
      <c r="G352" s="723"/>
      <c r="H352" s="723"/>
      <c r="I352" s="742"/>
      <c r="J352" s="742">
        <f t="shared" si="140"/>
        <v>0</v>
      </c>
      <c r="K352" s="742">
        <f t="shared" si="141"/>
        <v>0</v>
      </c>
      <c r="L352" s="723">
        <f t="shared" si="142"/>
        <v>0</v>
      </c>
      <c r="M352" s="723">
        <v>1247</v>
      </c>
      <c r="N352" s="723"/>
      <c r="O352" s="723">
        <f t="shared" si="143"/>
        <v>1247</v>
      </c>
    </row>
    <row r="353" spans="1:16" s="722" customFormat="1" x14ac:dyDescent="0.25">
      <c r="A353" s="719"/>
      <c r="B353" s="720" t="s">
        <v>132</v>
      </c>
      <c r="C353" s="723"/>
      <c r="D353" s="723"/>
      <c r="E353" s="723"/>
      <c r="F353" s="723"/>
      <c r="G353" s="723"/>
      <c r="H353" s="723"/>
      <c r="I353" s="742"/>
      <c r="J353" s="742"/>
      <c r="K353" s="742"/>
      <c r="L353" s="723"/>
      <c r="M353" s="723"/>
      <c r="N353" s="723"/>
      <c r="O353" s="723"/>
    </row>
    <row r="354" spans="1:16" s="722" customFormat="1" x14ac:dyDescent="0.25">
      <c r="A354" s="719"/>
      <c r="B354" s="723" t="s">
        <v>1330</v>
      </c>
      <c r="C354" s="723"/>
      <c r="D354" s="723"/>
      <c r="E354" s="723"/>
      <c r="F354" s="723"/>
      <c r="G354" s="723"/>
      <c r="H354" s="723"/>
      <c r="I354" s="742"/>
      <c r="J354" s="742">
        <f t="shared" si="140"/>
        <v>0</v>
      </c>
      <c r="K354" s="742">
        <f t="shared" si="141"/>
        <v>0</v>
      </c>
      <c r="L354" s="723">
        <f t="shared" si="142"/>
        <v>0</v>
      </c>
      <c r="M354" s="723">
        <v>813</v>
      </c>
      <c r="N354" s="723"/>
      <c r="O354" s="723">
        <f t="shared" si="143"/>
        <v>813</v>
      </c>
    </row>
    <row r="355" spans="1:16" s="722" customFormat="1" ht="94.5" x14ac:dyDescent="0.25">
      <c r="A355" s="719"/>
      <c r="B355" s="723" t="s">
        <v>1358</v>
      </c>
      <c r="C355" s="723"/>
      <c r="D355" s="723"/>
      <c r="E355" s="723"/>
      <c r="F355" s="723"/>
      <c r="G355" s="723"/>
      <c r="H355" s="723"/>
      <c r="I355" s="723"/>
      <c r="J355" s="723">
        <f t="shared" si="140"/>
        <v>0</v>
      </c>
      <c r="K355" s="723">
        <f t="shared" si="141"/>
        <v>0</v>
      </c>
      <c r="L355" s="723">
        <f t="shared" si="142"/>
        <v>0</v>
      </c>
      <c r="M355" s="723">
        <v>50</v>
      </c>
      <c r="N355" s="723"/>
      <c r="O355" s="723">
        <f t="shared" si="143"/>
        <v>50</v>
      </c>
    </row>
    <row r="356" spans="1:16" s="722" customFormat="1" ht="47.25" x14ac:dyDescent="0.25">
      <c r="A356" s="719"/>
      <c r="B356" s="723" t="s">
        <v>1351</v>
      </c>
      <c r="C356" s="723"/>
      <c r="D356" s="723"/>
      <c r="E356" s="723"/>
      <c r="F356" s="723"/>
      <c r="G356" s="723"/>
      <c r="H356" s="723"/>
      <c r="I356" s="723"/>
      <c r="J356" s="723">
        <f t="shared" si="140"/>
        <v>0</v>
      </c>
      <c r="K356" s="723">
        <f t="shared" si="141"/>
        <v>0</v>
      </c>
      <c r="L356" s="723">
        <f t="shared" si="142"/>
        <v>0</v>
      </c>
      <c r="M356" s="723">
        <v>15</v>
      </c>
      <c r="N356" s="723"/>
      <c r="O356" s="723">
        <f t="shared" si="143"/>
        <v>15</v>
      </c>
    </row>
    <row r="357" spans="1:16" s="722" customFormat="1" ht="94.5" x14ac:dyDescent="0.25">
      <c r="A357" s="719"/>
      <c r="B357" s="723" t="s">
        <v>1358</v>
      </c>
      <c r="C357" s="723"/>
      <c r="D357" s="723"/>
      <c r="E357" s="723"/>
      <c r="F357" s="723"/>
      <c r="G357" s="723"/>
      <c r="H357" s="723"/>
      <c r="I357" s="723"/>
      <c r="J357" s="723">
        <f t="shared" si="140"/>
        <v>0</v>
      </c>
      <c r="K357" s="723">
        <f t="shared" si="141"/>
        <v>0</v>
      </c>
      <c r="L357" s="723">
        <f t="shared" si="142"/>
        <v>0</v>
      </c>
      <c r="M357" s="723">
        <v>15</v>
      </c>
      <c r="N357" s="723"/>
      <c r="O357" s="723">
        <f t="shared" si="143"/>
        <v>15</v>
      </c>
    </row>
    <row r="358" spans="1:16" s="722" customFormat="1" ht="95.25" thickBot="1" x14ac:dyDescent="0.3">
      <c r="A358" s="719"/>
      <c r="B358" s="723" t="s">
        <v>1431</v>
      </c>
      <c r="C358" s="723"/>
      <c r="D358" s="723"/>
      <c r="E358" s="723"/>
      <c r="F358" s="723"/>
      <c r="G358" s="723"/>
      <c r="H358" s="723"/>
      <c r="I358" s="723"/>
      <c r="J358" s="723">
        <f t="shared" si="140"/>
        <v>0</v>
      </c>
      <c r="K358" s="723">
        <f t="shared" si="141"/>
        <v>0</v>
      </c>
      <c r="L358" s="723">
        <f t="shared" si="142"/>
        <v>0</v>
      </c>
      <c r="M358" s="723">
        <v>1372</v>
      </c>
      <c r="N358" s="723"/>
      <c r="O358" s="723">
        <f t="shared" si="143"/>
        <v>1372</v>
      </c>
    </row>
    <row r="359" spans="1:16" ht="17.25" thickTop="1" thickBot="1" x14ac:dyDescent="0.3">
      <c r="A359" s="712"/>
      <c r="B359" s="725" t="s">
        <v>379</v>
      </c>
      <c r="C359" s="725">
        <f>+C342+C346+C354+C347+C348+C349+C350+C351+C352+C355+C356+C357+C358</f>
        <v>9777</v>
      </c>
      <c r="D359" s="725">
        <f t="shared" ref="D359:O359" si="144">+D342+D346+D354+D347+D348+D349+D350+D351+D352+D355+D356+D357+D358</f>
        <v>0</v>
      </c>
      <c r="E359" s="725">
        <f t="shared" si="144"/>
        <v>0</v>
      </c>
      <c r="F359" s="725">
        <f t="shared" si="144"/>
        <v>8814</v>
      </c>
      <c r="G359" s="725">
        <f t="shared" si="144"/>
        <v>0</v>
      </c>
      <c r="H359" s="725">
        <f t="shared" si="144"/>
        <v>0</v>
      </c>
      <c r="I359" s="725">
        <f t="shared" si="144"/>
        <v>0</v>
      </c>
      <c r="J359" s="725">
        <f t="shared" si="144"/>
        <v>18591</v>
      </c>
      <c r="K359" s="725">
        <f t="shared" si="144"/>
        <v>0</v>
      </c>
      <c r="L359" s="725">
        <f t="shared" si="144"/>
        <v>18591</v>
      </c>
      <c r="M359" s="725">
        <f t="shared" si="144"/>
        <v>195504</v>
      </c>
      <c r="N359" s="725">
        <f t="shared" si="144"/>
        <v>6047</v>
      </c>
      <c r="O359" s="725">
        <f t="shared" si="144"/>
        <v>220142</v>
      </c>
      <c r="P359" s="703">
        <f>O360+O361</f>
        <v>220142</v>
      </c>
    </row>
    <row r="360" spans="1:16" ht="17.25" thickTop="1" thickBot="1" x14ac:dyDescent="0.3">
      <c r="A360" s="712"/>
      <c r="B360" s="725" t="s">
        <v>378</v>
      </c>
      <c r="C360" s="725">
        <f t="shared" ref="C360:O360" si="145">+C343+C346+C347+C348+C349+C350+C351+C352</f>
        <v>9777</v>
      </c>
      <c r="D360" s="725">
        <f t="shared" si="145"/>
        <v>0</v>
      </c>
      <c r="E360" s="725">
        <f t="shared" si="145"/>
        <v>0</v>
      </c>
      <c r="F360" s="725">
        <f t="shared" si="145"/>
        <v>8814</v>
      </c>
      <c r="G360" s="725">
        <f t="shared" si="145"/>
        <v>0</v>
      </c>
      <c r="H360" s="725">
        <f t="shared" si="145"/>
        <v>0</v>
      </c>
      <c r="I360" s="725">
        <f t="shared" si="145"/>
        <v>0</v>
      </c>
      <c r="J360" s="725">
        <f t="shared" si="145"/>
        <v>18591</v>
      </c>
      <c r="K360" s="725">
        <f t="shared" si="145"/>
        <v>0</v>
      </c>
      <c r="L360" s="725">
        <f t="shared" si="145"/>
        <v>18591</v>
      </c>
      <c r="M360" s="725">
        <f t="shared" si="145"/>
        <v>191387</v>
      </c>
      <c r="N360" s="725">
        <f t="shared" si="145"/>
        <v>6047</v>
      </c>
      <c r="O360" s="725">
        <f t="shared" si="145"/>
        <v>216025</v>
      </c>
    </row>
    <row r="361" spans="1:16" ht="17.25" thickTop="1" thickBot="1" x14ac:dyDescent="0.3">
      <c r="A361" s="712"/>
      <c r="B361" s="725" t="s">
        <v>377</v>
      </c>
      <c r="C361" s="725">
        <f>+C344+C354+C355+C356+C357+C358</f>
        <v>0</v>
      </c>
      <c r="D361" s="725">
        <f t="shared" ref="D361:O361" si="146">+D344+D354+D355+D356+D357+D358</f>
        <v>0</v>
      </c>
      <c r="E361" s="725">
        <f t="shared" si="146"/>
        <v>0</v>
      </c>
      <c r="F361" s="725">
        <f t="shared" si="146"/>
        <v>0</v>
      </c>
      <c r="G361" s="725">
        <f t="shared" si="146"/>
        <v>0</v>
      </c>
      <c r="H361" s="725">
        <f t="shared" si="146"/>
        <v>0</v>
      </c>
      <c r="I361" s="725">
        <f t="shared" si="146"/>
        <v>0</v>
      </c>
      <c r="J361" s="725">
        <f t="shared" si="146"/>
        <v>0</v>
      </c>
      <c r="K361" s="725">
        <f t="shared" si="146"/>
        <v>0</v>
      </c>
      <c r="L361" s="725">
        <f t="shared" si="146"/>
        <v>0</v>
      </c>
      <c r="M361" s="725">
        <f t="shared" si="146"/>
        <v>4117</v>
      </c>
      <c r="N361" s="725">
        <f t="shared" si="146"/>
        <v>0</v>
      </c>
      <c r="O361" s="725">
        <f t="shared" si="146"/>
        <v>4117</v>
      </c>
    </row>
    <row r="362" spans="1:16" ht="16.5" thickTop="1" x14ac:dyDescent="0.25">
      <c r="A362" s="727" t="s">
        <v>10</v>
      </c>
      <c r="B362" s="745" t="s">
        <v>396</v>
      </c>
      <c r="C362" s="745"/>
      <c r="D362" s="745"/>
      <c r="E362" s="745"/>
      <c r="F362" s="745"/>
      <c r="G362" s="745"/>
      <c r="H362" s="745"/>
      <c r="I362" s="745"/>
      <c r="J362" s="745"/>
      <c r="K362" s="745"/>
      <c r="L362" s="745"/>
      <c r="M362" s="745"/>
      <c r="N362" s="745"/>
      <c r="O362" s="745"/>
    </row>
    <row r="363" spans="1:16" x14ac:dyDescent="0.25">
      <c r="A363" s="716"/>
      <c r="B363" s="717" t="s">
        <v>959</v>
      </c>
      <c r="C363" s="717">
        <f t="shared" ref="C363:E363" si="147">SUM(C364:C365)</f>
        <v>12294</v>
      </c>
      <c r="D363" s="717">
        <f t="shared" si="147"/>
        <v>0</v>
      </c>
      <c r="E363" s="717">
        <f t="shared" si="147"/>
        <v>0</v>
      </c>
      <c r="F363" s="717">
        <f>SUM(F364:F365)</f>
        <v>6314</v>
      </c>
      <c r="G363" s="717"/>
      <c r="H363" s="717"/>
      <c r="I363" s="717"/>
      <c r="J363" s="740">
        <f>SUM(C363+E363+F363+H363)</f>
        <v>18608</v>
      </c>
      <c r="K363" s="740">
        <f>SUM(D363+G363+I363)</f>
        <v>0</v>
      </c>
      <c r="L363" s="718">
        <f>SUM(J363:K363)</f>
        <v>18608</v>
      </c>
      <c r="M363" s="718">
        <f>SUM(M364:M365)</f>
        <v>238369</v>
      </c>
      <c r="N363" s="718">
        <f>SUM(N364:N365)</f>
        <v>877</v>
      </c>
      <c r="O363" s="718">
        <f>SUM(L363:N363)</f>
        <v>257854</v>
      </c>
    </row>
    <row r="364" spans="1:16" s="722" customFormat="1" x14ac:dyDescent="0.25">
      <c r="A364" s="728"/>
      <c r="B364" s="729" t="s">
        <v>381</v>
      </c>
      <c r="C364" s="729">
        <v>12294</v>
      </c>
      <c r="D364" s="729"/>
      <c r="E364" s="729"/>
      <c r="F364" s="729">
        <v>6314</v>
      </c>
      <c r="G364" s="729"/>
      <c r="H364" s="729"/>
      <c r="I364" s="744"/>
      <c r="J364" s="746">
        <f>SUM(C364+E364+F364+H364)</f>
        <v>18608</v>
      </c>
      <c r="K364" s="746">
        <f>SUM(D364+G364+I364)</f>
        <v>0</v>
      </c>
      <c r="L364" s="730">
        <f>SUM(J364:K364)</f>
        <v>18608</v>
      </c>
      <c r="M364" s="730">
        <v>236408</v>
      </c>
      <c r="N364" s="746">
        <v>877</v>
      </c>
      <c r="O364" s="730">
        <f>SUM(L364:N364)</f>
        <v>255893</v>
      </c>
    </row>
    <row r="365" spans="1:16" s="722" customFormat="1" x14ac:dyDescent="0.25">
      <c r="A365" s="728"/>
      <c r="B365" s="729" t="s">
        <v>380</v>
      </c>
      <c r="C365" s="729"/>
      <c r="D365" s="729"/>
      <c r="E365" s="729"/>
      <c r="F365" s="729"/>
      <c r="G365" s="729"/>
      <c r="H365" s="729"/>
      <c r="I365" s="744"/>
      <c r="J365" s="744">
        <f>SUM(C365+E365+F365+H365)</f>
        <v>0</v>
      </c>
      <c r="K365" s="744">
        <f>SUM(D365+G365+I365)</f>
        <v>0</v>
      </c>
      <c r="L365" s="729">
        <f>SUM(J365:K365)</f>
        <v>0</v>
      </c>
      <c r="M365" s="729">
        <v>1961</v>
      </c>
      <c r="N365" s="744"/>
      <c r="O365" s="729">
        <f>SUM(L365:N365)</f>
        <v>1961</v>
      </c>
    </row>
    <row r="366" spans="1:16" s="722" customFormat="1" x14ac:dyDescent="0.25">
      <c r="A366" s="728"/>
      <c r="B366" s="729" t="s">
        <v>131</v>
      </c>
      <c r="C366" s="731"/>
      <c r="D366" s="731"/>
      <c r="E366" s="731"/>
      <c r="F366" s="731"/>
      <c r="G366" s="731"/>
      <c r="H366" s="731"/>
      <c r="I366" s="734"/>
      <c r="J366" s="734"/>
      <c r="K366" s="734"/>
      <c r="L366" s="731"/>
      <c r="M366" s="731"/>
      <c r="N366" s="734"/>
      <c r="O366" s="731"/>
    </row>
    <row r="367" spans="1:16" s="722" customFormat="1" ht="31.5" x14ac:dyDescent="0.25">
      <c r="A367" s="728"/>
      <c r="B367" s="731" t="s">
        <v>1425</v>
      </c>
      <c r="C367" s="731"/>
      <c r="D367" s="731"/>
      <c r="E367" s="731"/>
      <c r="F367" s="731"/>
      <c r="G367" s="731"/>
      <c r="H367" s="731"/>
      <c r="I367" s="734"/>
      <c r="J367" s="734">
        <f t="shared" ref="J367:J378" si="148">SUM(C367+E367+F367+H367)</f>
        <v>0</v>
      </c>
      <c r="K367" s="734">
        <f t="shared" ref="K367:K378" si="149">SUM(D367+G367+I367)</f>
        <v>0</v>
      </c>
      <c r="L367" s="731">
        <f t="shared" ref="L367:L378" si="150">SUM(J367:K367)</f>
        <v>0</v>
      </c>
      <c r="M367" s="731">
        <v>89</v>
      </c>
      <c r="N367" s="734"/>
      <c r="O367" s="731">
        <f t="shared" ref="O367:O378" si="151">SUM(L367:N367)</f>
        <v>89</v>
      </c>
    </row>
    <row r="368" spans="1:16" s="722" customFormat="1" ht="63" x14ac:dyDescent="0.25">
      <c r="A368" s="728"/>
      <c r="B368" s="731" t="s">
        <v>1326</v>
      </c>
      <c r="C368" s="731"/>
      <c r="D368" s="731"/>
      <c r="E368" s="731"/>
      <c r="F368" s="731"/>
      <c r="G368" s="731"/>
      <c r="H368" s="731"/>
      <c r="I368" s="734"/>
      <c r="J368" s="734">
        <f t="shared" si="148"/>
        <v>0</v>
      </c>
      <c r="K368" s="734">
        <f t="shared" si="149"/>
        <v>0</v>
      </c>
      <c r="L368" s="731">
        <f t="shared" si="150"/>
        <v>0</v>
      </c>
      <c r="M368" s="731">
        <v>675</v>
      </c>
      <c r="N368" s="734"/>
      <c r="O368" s="731">
        <f t="shared" si="151"/>
        <v>675</v>
      </c>
    </row>
    <row r="369" spans="1:16" s="722" customFormat="1" ht="66" customHeight="1" x14ac:dyDescent="0.25">
      <c r="A369" s="728"/>
      <c r="B369" s="724" t="s">
        <v>1337</v>
      </c>
      <c r="C369" s="723"/>
      <c r="D369" s="723"/>
      <c r="E369" s="723"/>
      <c r="F369" s="723"/>
      <c r="G369" s="723"/>
      <c r="H369" s="723"/>
      <c r="I369" s="723"/>
      <c r="J369" s="723">
        <f t="shared" si="148"/>
        <v>0</v>
      </c>
      <c r="K369" s="723">
        <f t="shared" si="149"/>
        <v>0</v>
      </c>
      <c r="L369" s="723">
        <f t="shared" si="150"/>
        <v>0</v>
      </c>
      <c r="M369" s="723">
        <v>5317</v>
      </c>
      <c r="N369" s="723"/>
      <c r="O369" s="723">
        <f t="shared" si="151"/>
        <v>5317</v>
      </c>
    </row>
    <row r="370" spans="1:16" s="722" customFormat="1" ht="31.5" x14ac:dyDescent="0.25">
      <c r="A370" s="728"/>
      <c r="B370" s="724" t="s">
        <v>1338</v>
      </c>
      <c r="C370" s="731"/>
      <c r="D370" s="731"/>
      <c r="E370" s="731"/>
      <c r="F370" s="731"/>
      <c r="G370" s="731"/>
      <c r="H370" s="731"/>
      <c r="I370" s="734"/>
      <c r="J370" s="734">
        <f t="shared" si="148"/>
        <v>0</v>
      </c>
      <c r="K370" s="734">
        <f t="shared" si="149"/>
        <v>0</v>
      </c>
      <c r="L370" s="731">
        <f t="shared" si="150"/>
        <v>0</v>
      </c>
      <c r="M370" s="731">
        <v>1899</v>
      </c>
      <c r="N370" s="734"/>
      <c r="O370" s="731">
        <f t="shared" si="151"/>
        <v>1899</v>
      </c>
    </row>
    <row r="371" spans="1:16" s="722" customFormat="1" ht="31.5" x14ac:dyDescent="0.25">
      <c r="A371" s="728"/>
      <c r="B371" s="731" t="s">
        <v>1426</v>
      </c>
      <c r="C371" s="731"/>
      <c r="D371" s="731"/>
      <c r="E371" s="731"/>
      <c r="F371" s="731"/>
      <c r="G371" s="731"/>
      <c r="H371" s="731"/>
      <c r="I371" s="734"/>
      <c r="J371" s="734">
        <f t="shared" si="148"/>
        <v>0</v>
      </c>
      <c r="K371" s="734">
        <f t="shared" si="149"/>
        <v>0</v>
      </c>
      <c r="L371" s="731">
        <f t="shared" si="150"/>
        <v>0</v>
      </c>
      <c r="M371" s="731">
        <v>-19156</v>
      </c>
      <c r="N371" s="734"/>
      <c r="O371" s="731">
        <f t="shared" si="151"/>
        <v>-19156</v>
      </c>
    </row>
    <row r="372" spans="1:16" s="722" customFormat="1" x14ac:dyDescent="0.25">
      <c r="A372" s="728"/>
      <c r="B372" s="724" t="s">
        <v>1432</v>
      </c>
      <c r="C372" s="731"/>
      <c r="D372" s="731"/>
      <c r="E372" s="731"/>
      <c r="F372" s="731">
        <v>-553</v>
      </c>
      <c r="G372" s="731"/>
      <c r="H372" s="731"/>
      <c r="I372" s="734"/>
      <c r="J372" s="734">
        <f t="shared" si="148"/>
        <v>-553</v>
      </c>
      <c r="K372" s="734">
        <f t="shared" si="149"/>
        <v>0</v>
      </c>
      <c r="L372" s="731">
        <f t="shared" si="150"/>
        <v>-553</v>
      </c>
      <c r="M372" s="731">
        <v>-8092</v>
      </c>
      <c r="N372" s="734"/>
      <c r="O372" s="731">
        <f t="shared" si="151"/>
        <v>-8645</v>
      </c>
    </row>
    <row r="373" spans="1:16" s="722" customFormat="1" ht="31.5" x14ac:dyDescent="0.25">
      <c r="A373" s="728"/>
      <c r="B373" s="723" t="s">
        <v>961</v>
      </c>
      <c r="C373" s="731"/>
      <c r="D373" s="731"/>
      <c r="E373" s="731"/>
      <c r="F373" s="731"/>
      <c r="G373" s="731"/>
      <c r="H373" s="731"/>
      <c r="I373" s="734"/>
      <c r="J373" s="734">
        <f t="shared" si="148"/>
        <v>0</v>
      </c>
      <c r="K373" s="734">
        <f t="shared" si="149"/>
        <v>0</v>
      </c>
      <c r="L373" s="731">
        <f t="shared" si="150"/>
        <v>0</v>
      </c>
      <c r="M373" s="731">
        <v>197</v>
      </c>
      <c r="N373" s="734"/>
      <c r="O373" s="731">
        <f t="shared" si="151"/>
        <v>197</v>
      </c>
    </row>
    <row r="374" spans="1:16" s="722" customFormat="1" x14ac:dyDescent="0.25">
      <c r="A374" s="728"/>
      <c r="B374" s="729" t="s">
        <v>132</v>
      </c>
      <c r="C374" s="731"/>
      <c r="D374" s="731"/>
      <c r="E374" s="731"/>
      <c r="F374" s="731"/>
      <c r="G374" s="731"/>
      <c r="H374" s="731"/>
      <c r="I374" s="734"/>
      <c r="J374" s="734"/>
      <c r="K374" s="734"/>
      <c r="L374" s="731"/>
      <c r="M374" s="731"/>
      <c r="N374" s="734"/>
      <c r="O374" s="731"/>
    </row>
    <row r="375" spans="1:16" s="722" customFormat="1" x14ac:dyDescent="0.25">
      <c r="A375" s="728"/>
      <c r="B375" s="723" t="s">
        <v>1330</v>
      </c>
      <c r="C375" s="731"/>
      <c r="D375" s="731"/>
      <c r="E375" s="731"/>
      <c r="F375" s="731"/>
      <c r="G375" s="731"/>
      <c r="H375" s="731"/>
      <c r="I375" s="734"/>
      <c r="J375" s="734">
        <f t="shared" si="148"/>
        <v>0</v>
      </c>
      <c r="K375" s="734">
        <f t="shared" si="149"/>
        <v>0</v>
      </c>
      <c r="L375" s="731">
        <f t="shared" si="150"/>
        <v>0</v>
      </c>
      <c r="M375" s="731">
        <v>941</v>
      </c>
      <c r="N375" s="734"/>
      <c r="O375" s="731">
        <f t="shared" si="151"/>
        <v>941</v>
      </c>
    </row>
    <row r="376" spans="1:16" s="722" customFormat="1" ht="78.75" x14ac:dyDescent="0.25">
      <c r="A376" s="728"/>
      <c r="B376" s="723" t="s">
        <v>1359</v>
      </c>
      <c r="C376" s="731"/>
      <c r="D376" s="731"/>
      <c r="E376" s="731"/>
      <c r="F376" s="731"/>
      <c r="G376" s="731"/>
      <c r="H376" s="731"/>
      <c r="I376" s="734"/>
      <c r="J376" s="734">
        <f t="shared" si="148"/>
        <v>0</v>
      </c>
      <c r="K376" s="734">
        <f t="shared" si="149"/>
        <v>0</v>
      </c>
      <c r="L376" s="731">
        <f t="shared" si="150"/>
        <v>0</v>
      </c>
      <c r="M376" s="731">
        <v>40</v>
      </c>
      <c r="N376" s="734"/>
      <c r="O376" s="731">
        <f t="shared" si="151"/>
        <v>40</v>
      </c>
    </row>
    <row r="377" spans="1:16" s="722" customFormat="1" ht="94.5" x14ac:dyDescent="0.25">
      <c r="A377" s="732"/>
      <c r="B377" s="723" t="s">
        <v>1445</v>
      </c>
      <c r="C377" s="733"/>
      <c r="D377" s="733"/>
      <c r="E377" s="733"/>
      <c r="F377" s="733"/>
      <c r="G377" s="733"/>
      <c r="H377" s="733"/>
      <c r="I377" s="733"/>
      <c r="J377" s="734">
        <f t="shared" si="148"/>
        <v>0</v>
      </c>
      <c r="K377" s="734">
        <f t="shared" si="149"/>
        <v>0</v>
      </c>
      <c r="L377" s="731">
        <f t="shared" si="150"/>
        <v>0</v>
      </c>
      <c r="M377" s="733">
        <v>30</v>
      </c>
      <c r="N377" s="733"/>
      <c r="O377" s="731">
        <f t="shared" si="151"/>
        <v>30</v>
      </c>
    </row>
    <row r="378" spans="1:16" s="722" customFormat="1" ht="95.25" thickBot="1" x14ac:dyDescent="0.3">
      <c r="A378" s="728"/>
      <c r="B378" s="723" t="s">
        <v>1431</v>
      </c>
      <c r="C378" s="731"/>
      <c r="D378" s="731"/>
      <c r="E378" s="731"/>
      <c r="F378" s="731"/>
      <c r="G378" s="731"/>
      <c r="H378" s="731"/>
      <c r="I378" s="734"/>
      <c r="J378" s="734">
        <f t="shared" si="148"/>
        <v>0</v>
      </c>
      <c r="K378" s="734">
        <f t="shared" si="149"/>
        <v>0</v>
      </c>
      <c r="L378" s="731">
        <f t="shared" si="150"/>
        <v>0</v>
      </c>
      <c r="M378" s="731">
        <v>1672</v>
      </c>
      <c r="N378" s="734"/>
      <c r="O378" s="731">
        <f t="shared" si="151"/>
        <v>1672</v>
      </c>
    </row>
    <row r="379" spans="1:16" ht="17.25" thickTop="1" thickBot="1" x14ac:dyDescent="0.3">
      <c r="A379" s="712"/>
      <c r="B379" s="725" t="s">
        <v>379</v>
      </c>
      <c r="C379" s="725">
        <f>+C363+C367+C375+C368+C369+C370+C371+C372+C373+C376+C377+C378</f>
        <v>12294</v>
      </c>
      <c r="D379" s="725">
        <f t="shared" ref="D379:O379" si="152">+D363+D367+D375+D368+D369+D370+D371+D372+D373+D376+D377+D378</f>
        <v>0</v>
      </c>
      <c r="E379" s="725">
        <f t="shared" si="152"/>
        <v>0</v>
      </c>
      <c r="F379" s="725">
        <f t="shared" si="152"/>
        <v>5761</v>
      </c>
      <c r="G379" s="725">
        <f t="shared" si="152"/>
        <v>0</v>
      </c>
      <c r="H379" s="725">
        <f t="shared" si="152"/>
        <v>0</v>
      </c>
      <c r="I379" s="725">
        <f t="shared" si="152"/>
        <v>0</v>
      </c>
      <c r="J379" s="725">
        <f t="shared" si="152"/>
        <v>18055</v>
      </c>
      <c r="K379" s="725">
        <f t="shared" si="152"/>
        <v>0</v>
      </c>
      <c r="L379" s="725">
        <f t="shared" si="152"/>
        <v>18055</v>
      </c>
      <c r="M379" s="725">
        <f t="shared" si="152"/>
        <v>221981</v>
      </c>
      <c r="N379" s="725">
        <f t="shared" si="152"/>
        <v>877</v>
      </c>
      <c r="O379" s="725">
        <f t="shared" si="152"/>
        <v>240913</v>
      </c>
      <c r="P379" s="703">
        <f>O380+O381</f>
        <v>240913</v>
      </c>
    </row>
    <row r="380" spans="1:16" ht="17.25" thickTop="1" thickBot="1" x14ac:dyDescent="0.3">
      <c r="A380" s="712"/>
      <c r="B380" s="725" t="s">
        <v>378</v>
      </c>
      <c r="C380" s="725">
        <f t="shared" ref="C380:O380" si="153">+C364+C367+C368+C369+C370+C371+C372+C373</f>
        <v>12294</v>
      </c>
      <c r="D380" s="725">
        <f t="shared" si="153"/>
        <v>0</v>
      </c>
      <c r="E380" s="725">
        <f t="shared" si="153"/>
        <v>0</v>
      </c>
      <c r="F380" s="725">
        <f t="shared" si="153"/>
        <v>5761</v>
      </c>
      <c r="G380" s="725">
        <f t="shared" si="153"/>
        <v>0</v>
      </c>
      <c r="H380" s="725">
        <f t="shared" si="153"/>
        <v>0</v>
      </c>
      <c r="I380" s="725">
        <f t="shared" si="153"/>
        <v>0</v>
      </c>
      <c r="J380" s="725">
        <f t="shared" si="153"/>
        <v>18055</v>
      </c>
      <c r="K380" s="725">
        <f t="shared" si="153"/>
        <v>0</v>
      </c>
      <c r="L380" s="725">
        <f t="shared" si="153"/>
        <v>18055</v>
      </c>
      <c r="M380" s="725">
        <f t="shared" si="153"/>
        <v>217337</v>
      </c>
      <c r="N380" s="725">
        <f t="shared" si="153"/>
        <v>877</v>
      </c>
      <c r="O380" s="725">
        <f t="shared" si="153"/>
        <v>236269</v>
      </c>
    </row>
    <row r="381" spans="1:16" ht="17.25" thickTop="1" thickBot="1" x14ac:dyDescent="0.3">
      <c r="A381" s="712"/>
      <c r="B381" s="725" t="s">
        <v>377</v>
      </c>
      <c r="C381" s="725">
        <f>+C365+C375+C376+C377+C378</f>
        <v>0</v>
      </c>
      <c r="D381" s="725">
        <f t="shared" ref="D381:O381" si="154">+D365+D375+D376+D377+D378</f>
        <v>0</v>
      </c>
      <c r="E381" s="725">
        <f t="shared" si="154"/>
        <v>0</v>
      </c>
      <c r="F381" s="725">
        <f t="shared" si="154"/>
        <v>0</v>
      </c>
      <c r="G381" s="725">
        <f t="shared" si="154"/>
        <v>0</v>
      </c>
      <c r="H381" s="725">
        <f t="shared" si="154"/>
        <v>0</v>
      </c>
      <c r="I381" s="725">
        <f t="shared" si="154"/>
        <v>0</v>
      </c>
      <c r="J381" s="725">
        <f t="shared" si="154"/>
        <v>0</v>
      </c>
      <c r="K381" s="725">
        <f t="shared" si="154"/>
        <v>0</v>
      </c>
      <c r="L381" s="725">
        <f t="shared" si="154"/>
        <v>0</v>
      </c>
      <c r="M381" s="725">
        <f t="shared" si="154"/>
        <v>4644</v>
      </c>
      <c r="N381" s="725">
        <f t="shared" si="154"/>
        <v>0</v>
      </c>
      <c r="O381" s="725">
        <f t="shared" si="154"/>
        <v>4644</v>
      </c>
    </row>
    <row r="382" spans="1:16" ht="17.25" thickTop="1" thickBot="1" x14ac:dyDescent="0.3">
      <c r="A382" s="712"/>
      <c r="B382" s="725" t="s">
        <v>395</v>
      </c>
      <c r="C382" s="725">
        <f t="shared" ref="C382:O382" si="155">SUM(C165+C184+C203+C229+C249+C267+C287+C309+C320+C338+C359+C379)</f>
        <v>144876</v>
      </c>
      <c r="D382" s="725">
        <f t="shared" si="155"/>
        <v>0</v>
      </c>
      <c r="E382" s="725">
        <f t="shared" si="155"/>
        <v>0</v>
      </c>
      <c r="F382" s="725">
        <f t="shared" si="155"/>
        <v>85621</v>
      </c>
      <c r="G382" s="725">
        <f t="shared" si="155"/>
        <v>0</v>
      </c>
      <c r="H382" s="725">
        <f t="shared" si="155"/>
        <v>0</v>
      </c>
      <c r="I382" s="725">
        <f t="shared" si="155"/>
        <v>0</v>
      </c>
      <c r="J382" s="725">
        <f t="shared" si="155"/>
        <v>230497</v>
      </c>
      <c r="K382" s="725">
        <f t="shared" si="155"/>
        <v>0</v>
      </c>
      <c r="L382" s="725">
        <f t="shared" si="155"/>
        <v>230497</v>
      </c>
      <c r="M382" s="725">
        <f t="shared" si="155"/>
        <v>2595160</v>
      </c>
      <c r="N382" s="725">
        <f t="shared" si="155"/>
        <v>31291</v>
      </c>
      <c r="O382" s="725">
        <f t="shared" si="155"/>
        <v>2856948</v>
      </c>
    </row>
    <row r="383" spans="1:16" ht="17.25" thickTop="1" thickBot="1" x14ac:dyDescent="0.3">
      <c r="A383" s="712"/>
      <c r="B383" s="725" t="s">
        <v>394</v>
      </c>
      <c r="C383" s="725">
        <f t="shared" ref="C383:O383" si="156">SUM(C38+C149+C382)</f>
        <v>834042</v>
      </c>
      <c r="D383" s="725">
        <f t="shared" si="156"/>
        <v>0</v>
      </c>
      <c r="E383" s="725">
        <f t="shared" si="156"/>
        <v>0</v>
      </c>
      <c r="F383" s="725">
        <f t="shared" si="156"/>
        <v>136885</v>
      </c>
      <c r="G383" s="725">
        <f t="shared" si="156"/>
        <v>0</v>
      </c>
      <c r="H383" s="725">
        <f t="shared" si="156"/>
        <v>0</v>
      </c>
      <c r="I383" s="725">
        <f t="shared" si="156"/>
        <v>0</v>
      </c>
      <c r="J383" s="725">
        <f t="shared" si="156"/>
        <v>970927</v>
      </c>
      <c r="K383" s="725">
        <f t="shared" si="156"/>
        <v>0</v>
      </c>
      <c r="L383" s="725">
        <f t="shared" si="156"/>
        <v>970927</v>
      </c>
      <c r="M383" s="725">
        <f t="shared" si="156"/>
        <v>3849265</v>
      </c>
      <c r="N383" s="725">
        <f t="shared" si="156"/>
        <v>140287</v>
      </c>
      <c r="O383" s="725">
        <f t="shared" si="156"/>
        <v>4960479</v>
      </c>
    </row>
    <row r="384" spans="1:16" ht="16.5" thickTop="1" x14ac:dyDescent="0.25">
      <c r="A384" s="716" t="s">
        <v>11</v>
      </c>
      <c r="B384" s="717" t="s">
        <v>748</v>
      </c>
      <c r="C384" s="717"/>
      <c r="D384" s="717"/>
      <c r="E384" s="717"/>
      <c r="F384" s="717"/>
      <c r="G384" s="717"/>
      <c r="H384" s="717"/>
      <c r="I384" s="717"/>
      <c r="J384" s="717"/>
      <c r="K384" s="717"/>
      <c r="L384" s="717"/>
      <c r="M384" s="717"/>
      <c r="N384" s="717"/>
      <c r="O384" s="717"/>
    </row>
    <row r="385" spans="1:16" x14ac:dyDescent="0.25">
      <c r="A385" s="716"/>
      <c r="B385" s="718" t="s">
        <v>347</v>
      </c>
      <c r="C385" s="718">
        <f t="shared" ref="C385:E385" si="157">SUM(C386:C387)</f>
        <v>105471</v>
      </c>
      <c r="D385" s="718">
        <f t="shared" si="157"/>
        <v>0</v>
      </c>
      <c r="E385" s="718">
        <f t="shared" si="157"/>
        <v>0</v>
      </c>
      <c r="F385" s="718">
        <f>SUM(F386:F387)</f>
        <v>321985</v>
      </c>
      <c r="G385" s="718"/>
      <c r="H385" s="718"/>
      <c r="I385" s="718"/>
      <c r="J385" s="740">
        <f>SUM(C385+E385+F385+H385)</f>
        <v>427456</v>
      </c>
      <c r="K385" s="740">
        <f>SUM(D385+G385+I385)</f>
        <v>0</v>
      </c>
      <c r="L385" s="718">
        <f>SUM(J385:K385)</f>
        <v>427456</v>
      </c>
      <c r="M385" s="718">
        <f>SUM(M386:M387)</f>
        <v>943518</v>
      </c>
      <c r="N385" s="718">
        <f>SUM(N386:N387)</f>
        <v>11193</v>
      </c>
      <c r="O385" s="718">
        <f>SUM(L385:N385)</f>
        <v>1382167</v>
      </c>
    </row>
    <row r="386" spans="1:16" s="722" customFormat="1" x14ac:dyDescent="0.25">
      <c r="A386" s="719"/>
      <c r="B386" s="720" t="s">
        <v>381</v>
      </c>
      <c r="C386" s="720">
        <v>105471</v>
      </c>
      <c r="D386" s="720"/>
      <c r="E386" s="720"/>
      <c r="F386" s="720">
        <v>321985</v>
      </c>
      <c r="G386" s="720"/>
      <c r="H386" s="720"/>
      <c r="I386" s="743"/>
      <c r="J386" s="741">
        <f>SUM(C386+E386+F386+H386)</f>
        <v>427456</v>
      </c>
      <c r="K386" s="741">
        <f>SUM(D386+G386+I386)</f>
        <v>0</v>
      </c>
      <c r="L386" s="721">
        <f>SUM(J386:K386)</f>
        <v>427456</v>
      </c>
      <c r="M386" s="721">
        <v>933484</v>
      </c>
      <c r="N386" s="741">
        <v>11193</v>
      </c>
      <c r="O386" s="721">
        <f>SUM(L386:N386)</f>
        <v>1372133</v>
      </c>
    </row>
    <row r="387" spans="1:16" s="722" customFormat="1" x14ac:dyDescent="0.25">
      <c r="A387" s="719"/>
      <c r="B387" s="720" t="s">
        <v>380</v>
      </c>
      <c r="C387" s="720"/>
      <c r="D387" s="720"/>
      <c r="E387" s="720"/>
      <c r="F387" s="720"/>
      <c r="G387" s="720"/>
      <c r="H387" s="720"/>
      <c r="I387" s="743"/>
      <c r="J387" s="743">
        <f>SUM(C387+E387+F387+H387)</f>
        <v>0</v>
      </c>
      <c r="K387" s="743">
        <f>SUM(D387+G387+I387)</f>
        <v>0</v>
      </c>
      <c r="L387" s="720">
        <f>SUM(J387:K387)</f>
        <v>0</v>
      </c>
      <c r="M387" s="720">
        <v>10034</v>
      </c>
      <c r="N387" s="743"/>
      <c r="O387" s="720">
        <f>SUM(L387:N387)</f>
        <v>10034</v>
      </c>
    </row>
    <row r="388" spans="1:16" s="722" customFormat="1" x14ac:dyDescent="0.25">
      <c r="A388" s="719"/>
      <c r="B388" s="720" t="s">
        <v>131</v>
      </c>
      <c r="C388" s="723"/>
      <c r="D388" s="723"/>
      <c r="E388" s="723"/>
      <c r="F388" s="723"/>
      <c r="G388" s="723"/>
      <c r="H388" s="723"/>
      <c r="I388" s="742"/>
      <c r="J388" s="742"/>
      <c r="K388" s="742"/>
      <c r="L388" s="723"/>
      <c r="M388" s="723"/>
      <c r="N388" s="742"/>
      <c r="O388" s="723"/>
    </row>
    <row r="389" spans="1:16" s="722" customFormat="1" ht="31.5" x14ac:dyDescent="0.25">
      <c r="A389" s="728"/>
      <c r="B389" s="723" t="s">
        <v>1425</v>
      </c>
      <c r="C389" s="734"/>
      <c r="D389" s="734"/>
      <c r="E389" s="734"/>
      <c r="F389" s="734"/>
      <c r="G389" s="734"/>
      <c r="H389" s="734"/>
      <c r="I389" s="734"/>
      <c r="J389" s="734">
        <f t="shared" ref="J389:J398" si="158">SUM(C389+E389+F389+H389)</f>
        <v>0</v>
      </c>
      <c r="K389" s="734">
        <f t="shared" ref="K389:K398" si="159">SUM(D389+G389+I389)</f>
        <v>0</v>
      </c>
      <c r="L389" s="734">
        <f t="shared" ref="L389:L398" si="160">SUM(J389:K389)</f>
        <v>0</v>
      </c>
      <c r="M389" s="734">
        <v>405</v>
      </c>
      <c r="N389" s="734"/>
      <c r="O389" s="734">
        <f t="shared" ref="O389:O398" si="161">SUM(L389:N389)</f>
        <v>405</v>
      </c>
    </row>
    <row r="390" spans="1:16" s="722" customFormat="1" ht="51.75" customHeight="1" x14ac:dyDescent="0.25">
      <c r="A390" s="719"/>
      <c r="B390" s="723" t="s">
        <v>1429</v>
      </c>
      <c r="C390" s="723"/>
      <c r="D390" s="723"/>
      <c r="E390" s="723"/>
      <c r="F390" s="723"/>
      <c r="G390" s="723"/>
      <c r="H390" s="723"/>
      <c r="I390" s="742"/>
      <c r="J390" s="742">
        <f t="shared" si="158"/>
        <v>0</v>
      </c>
      <c r="K390" s="742">
        <f t="shared" si="159"/>
        <v>0</v>
      </c>
      <c r="L390" s="723">
        <f t="shared" si="160"/>
        <v>0</v>
      </c>
      <c r="M390" s="723">
        <v>70900</v>
      </c>
      <c r="N390" s="742"/>
      <c r="O390" s="723">
        <f t="shared" si="161"/>
        <v>70900</v>
      </c>
    </row>
    <row r="391" spans="1:16" s="722" customFormat="1" ht="31.5" x14ac:dyDescent="0.25">
      <c r="A391" s="719"/>
      <c r="B391" s="723" t="s">
        <v>1446</v>
      </c>
      <c r="C391" s="723"/>
      <c r="D391" s="723"/>
      <c r="E391" s="723"/>
      <c r="F391" s="723"/>
      <c r="G391" s="723"/>
      <c r="H391" s="723"/>
      <c r="I391" s="742"/>
      <c r="J391" s="742">
        <f t="shared" si="158"/>
        <v>0</v>
      </c>
      <c r="K391" s="742">
        <f t="shared" si="159"/>
        <v>0</v>
      </c>
      <c r="L391" s="723">
        <f t="shared" si="160"/>
        <v>0</v>
      </c>
      <c r="M391" s="723">
        <v>4984</v>
      </c>
      <c r="N391" s="742"/>
      <c r="O391" s="723">
        <f t="shared" si="161"/>
        <v>4984</v>
      </c>
    </row>
    <row r="392" spans="1:16" s="722" customFormat="1" ht="31.5" x14ac:dyDescent="0.25">
      <c r="A392" s="728"/>
      <c r="B392" s="731" t="s">
        <v>1426</v>
      </c>
      <c r="C392" s="734"/>
      <c r="D392" s="734"/>
      <c r="E392" s="734"/>
      <c r="F392" s="734"/>
      <c r="G392" s="734"/>
      <c r="H392" s="734"/>
      <c r="I392" s="734"/>
      <c r="J392" s="734">
        <f t="shared" si="158"/>
        <v>0</v>
      </c>
      <c r="K392" s="734">
        <f t="shared" si="159"/>
        <v>0</v>
      </c>
      <c r="L392" s="734">
        <f t="shared" si="160"/>
        <v>0</v>
      </c>
      <c r="M392" s="734">
        <v>22</v>
      </c>
      <c r="N392" s="734"/>
      <c r="O392" s="734">
        <f t="shared" si="161"/>
        <v>22</v>
      </c>
    </row>
    <row r="393" spans="1:16" s="722" customFormat="1" x14ac:dyDescent="0.25">
      <c r="A393" s="728"/>
      <c r="B393" s="738" t="s">
        <v>1362</v>
      </c>
      <c r="C393" s="734"/>
      <c r="D393" s="734"/>
      <c r="E393" s="734"/>
      <c r="F393" s="734"/>
      <c r="G393" s="734"/>
      <c r="H393" s="734"/>
      <c r="I393" s="734"/>
      <c r="J393" s="734">
        <f t="shared" si="158"/>
        <v>0</v>
      </c>
      <c r="K393" s="734">
        <f t="shared" si="159"/>
        <v>0</v>
      </c>
      <c r="L393" s="734">
        <f t="shared" si="160"/>
        <v>0</v>
      </c>
      <c r="M393" s="734">
        <v>10000</v>
      </c>
      <c r="N393" s="734"/>
      <c r="O393" s="734">
        <f t="shared" si="161"/>
        <v>10000</v>
      </c>
    </row>
    <row r="394" spans="1:16" s="722" customFormat="1" x14ac:dyDescent="0.25">
      <c r="A394" s="719"/>
      <c r="B394" s="720" t="s">
        <v>132</v>
      </c>
      <c r="C394" s="723"/>
      <c r="D394" s="723"/>
      <c r="E394" s="723"/>
      <c r="F394" s="723"/>
      <c r="G394" s="723"/>
      <c r="H394" s="723"/>
      <c r="I394" s="742"/>
      <c r="J394" s="742"/>
      <c r="K394" s="742"/>
      <c r="L394" s="723"/>
      <c r="M394" s="723"/>
      <c r="N394" s="742"/>
      <c r="O394" s="723"/>
    </row>
    <row r="395" spans="1:16" s="722" customFormat="1" ht="63" x14ac:dyDescent="0.25">
      <c r="A395" s="719"/>
      <c r="B395" s="723" t="s">
        <v>1428</v>
      </c>
      <c r="C395" s="723"/>
      <c r="D395" s="723"/>
      <c r="E395" s="723"/>
      <c r="F395" s="723"/>
      <c r="G395" s="723"/>
      <c r="H395" s="723"/>
      <c r="I395" s="742"/>
      <c r="J395" s="742">
        <f t="shared" si="158"/>
        <v>0</v>
      </c>
      <c r="K395" s="742">
        <f t="shared" si="159"/>
        <v>0</v>
      </c>
      <c r="L395" s="723">
        <f t="shared" si="160"/>
        <v>0</v>
      </c>
      <c r="M395" s="723">
        <v>15405</v>
      </c>
      <c r="N395" s="742"/>
      <c r="O395" s="723">
        <f t="shared" si="161"/>
        <v>15405</v>
      </c>
    </row>
    <row r="396" spans="1:16" s="722" customFormat="1" x14ac:dyDescent="0.25">
      <c r="A396" s="719"/>
      <c r="B396" s="723" t="s">
        <v>1330</v>
      </c>
      <c r="C396" s="723"/>
      <c r="D396" s="723"/>
      <c r="E396" s="723"/>
      <c r="F396" s="723"/>
      <c r="G396" s="723"/>
      <c r="H396" s="723"/>
      <c r="I396" s="742"/>
      <c r="J396" s="742">
        <f t="shared" si="158"/>
        <v>0</v>
      </c>
      <c r="K396" s="742">
        <f t="shared" si="159"/>
        <v>0</v>
      </c>
      <c r="L396" s="723">
        <f t="shared" si="160"/>
        <v>0</v>
      </c>
      <c r="M396" s="723">
        <v>5064</v>
      </c>
      <c r="N396" s="742"/>
      <c r="O396" s="723">
        <f t="shared" si="161"/>
        <v>5064</v>
      </c>
    </row>
    <row r="397" spans="1:16" s="722" customFormat="1" ht="78.75" x14ac:dyDescent="0.25">
      <c r="A397" s="719"/>
      <c r="B397" s="723" t="s">
        <v>1447</v>
      </c>
      <c r="C397" s="723"/>
      <c r="D397" s="723"/>
      <c r="E397" s="723"/>
      <c r="F397" s="723"/>
      <c r="G397" s="723"/>
      <c r="H397" s="723"/>
      <c r="I397" s="742"/>
      <c r="J397" s="742">
        <f t="shared" si="158"/>
        <v>0</v>
      </c>
      <c r="K397" s="742">
        <f t="shared" si="159"/>
        <v>0</v>
      </c>
      <c r="L397" s="723">
        <f t="shared" si="160"/>
        <v>0</v>
      </c>
      <c r="M397" s="723">
        <v>400</v>
      </c>
      <c r="N397" s="742"/>
      <c r="O397" s="723">
        <f t="shared" si="161"/>
        <v>400</v>
      </c>
    </row>
    <row r="398" spans="1:16" s="722" customFormat="1" ht="48" thickBot="1" x14ac:dyDescent="0.3">
      <c r="A398" s="719"/>
      <c r="B398" s="723" t="s">
        <v>1364</v>
      </c>
      <c r="C398" s="723"/>
      <c r="D398" s="723"/>
      <c r="E398" s="723"/>
      <c r="F398" s="723"/>
      <c r="G398" s="723"/>
      <c r="H398" s="723"/>
      <c r="I398" s="742"/>
      <c r="J398" s="742">
        <f t="shared" si="158"/>
        <v>0</v>
      </c>
      <c r="K398" s="742">
        <f t="shared" si="159"/>
        <v>0</v>
      </c>
      <c r="L398" s="723">
        <f t="shared" si="160"/>
        <v>0</v>
      </c>
      <c r="M398" s="723">
        <v>8085</v>
      </c>
      <c r="N398" s="742"/>
      <c r="O398" s="723">
        <f t="shared" si="161"/>
        <v>8085</v>
      </c>
    </row>
    <row r="399" spans="1:16" ht="17.25" thickTop="1" thickBot="1" x14ac:dyDescent="0.3">
      <c r="A399" s="712"/>
      <c r="B399" s="725" t="s">
        <v>379</v>
      </c>
      <c r="C399" s="725">
        <f>+C385+C389+C395+C390+C391+C392+C393+C397+C398+C396</f>
        <v>105471</v>
      </c>
      <c r="D399" s="725">
        <f t="shared" ref="D399:O399" si="162">+D385+D389+D395+D390+D391+D392+D393+D397+D398+D396</f>
        <v>0</v>
      </c>
      <c r="E399" s="725">
        <f t="shared" si="162"/>
        <v>0</v>
      </c>
      <c r="F399" s="725">
        <f t="shared" si="162"/>
        <v>321985</v>
      </c>
      <c r="G399" s="725">
        <f t="shared" si="162"/>
        <v>0</v>
      </c>
      <c r="H399" s="725">
        <f t="shared" si="162"/>
        <v>0</v>
      </c>
      <c r="I399" s="725">
        <f t="shared" si="162"/>
        <v>0</v>
      </c>
      <c r="J399" s="725">
        <f t="shared" si="162"/>
        <v>427456</v>
      </c>
      <c r="K399" s="725">
        <f t="shared" si="162"/>
        <v>0</v>
      </c>
      <c r="L399" s="725">
        <f t="shared" si="162"/>
        <v>427456</v>
      </c>
      <c r="M399" s="725">
        <f t="shared" si="162"/>
        <v>1058783</v>
      </c>
      <c r="N399" s="725">
        <f t="shared" si="162"/>
        <v>11193</v>
      </c>
      <c r="O399" s="725">
        <f t="shared" si="162"/>
        <v>1497432</v>
      </c>
      <c r="P399" s="703">
        <f>O400+O401</f>
        <v>1497432</v>
      </c>
    </row>
    <row r="400" spans="1:16" ht="17.25" thickTop="1" thickBot="1" x14ac:dyDescent="0.3">
      <c r="A400" s="712"/>
      <c r="B400" s="725" t="s">
        <v>378</v>
      </c>
      <c r="C400" s="725">
        <f>+C386+C389+C390+C391+C392+C393</f>
        <v>105471</v>
      </c>
      <c r="D400" s="725">
        <f t="shared" ref="D400:O400" si="163">+D386+D389+D390+D391+D392+D393</f>
        <v>0</v>
      </c>
      <c r="E400" s="725">
        <f t="shared" si="163"/>
        <v>0</v>
      </c>
      <c r="F400" s="725">
        <f t="shared" si="163"/>
        <v>321985</v>
      </c>
      <c r="G400" s="725">
        <f t="shared" si="163"/>
        <v>0</v>
      </c>
      <c r="H400" s="725">
        <f t="shared" si="163"/>
        <v>0</v>
      </c>
      <c r="I400" s="725">
        <f t="shared" si="163"/>
        <v>0</v>
      </c>
      <c r="J400" s="725">
        <f t="shared" si="163"/>
        <v>427456</v>
      </c>
      <c r="K400" s="725">
        <f t="shared" si="163"/>
        <v>0</v>
      </c>
      <c r="L400" s="725">
        <f t="shared" si="163"/>
        <v>427456</v>
      </c>
      <c r="M400" s="725">
        <f t="shared" si="163"/>
        <v>1019795</v>
      </c>
      <c r="N400" s="725">
        <f t="shared" si="163"/>
        <v>11193</v>
      </c>
      <c r="O400" s="725">
        <f t="shared" si="163"/>
        <v>1458444</v>
      </c>
    </row>
    <row r="401" spans="1:16" ht="17.25" thickTop="1" thickBot="1" x14ac:dyDescent="0.3">
      <c r="A401" s="712"/>
      <c r="B401" s="725" t="s">
        <v>377</v>
      </c>
      <c r="C401" s="725">
        <f t="shared" ref="C401:O401" si="164">+C387+C395+C397+C398+C396</f>
        <v>0</v>
      </c>
      <c r="D401" s="725">
        <f t="shared" si="164"/>
        <v>0</v>
      </c>
      <c r="E401" s="725">
        <f t="shared" si="164"/>
        <v>0</v>
      </c>
      <c r="F401" s="725">
        <f t="shared" si="164"/>
        <v>0</v>
      </c>
      <c r="G401" s="725">
        <f t="shared" si="164"/>
        <v>0</v>
      </c>
      <c r="H401" s="725">
        <f t="shared" si="164"/>
        <v>0</v>
      </c>
      <c r="I401" s="725">
        <f t="shared" si="164"/>
        <v>0</v>
      </c>
      <c r="J401" s="725">
        <f t="shared" si="164"/>
        <v>0</v>
      </c>
      <c r="K401" s="725">
        <f t="shared" si="164"/>
        <v>0</v>
      </c>
      <c r="L401" s="725">
        <f t="shared" si="164"/>
        <v>0</v>
      </c>
      <c r="M401" s="725">
        <f t="shared" si="164"/>
        <v>38988</v>
      </c>
      <c r="N401" s="725">
        <f t="shared" si="164"/>
        <v>0</v>
      </c>
      <c r="O401" s="725">
        <f t="shared" si="164"/>
        <v>38988</v>
      </c>
    </row>
    <row r="402" spans="1:16" ht="32.25" thickTop="1" x14ac:dyDescent="0.25">
      <c r="A402" s="716" t="s">
        <v>12</v>
      </c>
      <c r="B402" s="717" t="s">
        <v>792</v>
      </c>
      <c r="C402" s="717"/>
      <c r="D402" s="717"/>
      <c r="E402" s="717"/>
      <c r="F402" s="717"/>
      <c r="G402" s="717"/>
      <c r="H402" s="717"/>
      <c r="I402" s="717"/>
      <c r="J402" s="717"/>
      <c r="K402" s="717"/>
      <c r="L402" s="717"/>
      <c r="M402" s="717"/>
      <c r="N402" s="717"/>
      <c r="O402" s="717"/>
    </row>
    <row r="403" spans="1:16" x14ac:dyDescent="0.25">
      <c r="A403" s="716"/>
      <c r="B403" s="718" t="s">
        <v>347</v>
      </c>
      <c r="C403" s="718">
        <f t="shared" ref="C403:E403" si="165">SUM(C404:C405)</f>
        <v>17119</v>
      </c>
      <c r="D403" s="718">
        <f t="shared" si="165"/>
        <v>0</v>
      </c>
      <c r="E403" s="718">
        <f t="shared" si="165"/>
        <v>0</v>
      </c>
      <c r="F403" s="718">
        <f>SUM(F404:F405)</f>
        <v>1440</v>
      </c>
      <c r="G403" s="718"/>
      <c r="H403" s="718"/>
      <c r="I403" s="718"/>
      <c r="J403" s="740">
        <f>SUM(C403+E403+F403+H403)</f>
        <v>18559</v>
      </c>
      <c r="K403" s="740">
        <f>SUM(D403+G403+I403)</f>
        <v>0</v>
      </c>
      <c r="L403" s="718">
        <f>SUM(J403:K403)</f>
        <v>18559</v>
      </c>
      <c r="M403" s="718">
        <f>SUM(M404:M405)</f>
        <v>299143</v>
      </c>
      <c r="N403" s="718">
        <f>SUM(N404:N405)</f>
        <v>159540</v>
      </c>
      <c r="O403" s="718">
        <f>SUM(L403:N403)</f>
        <v>477242</v>
      </c>
    </row>
    <row r="404" spans="1:16" s="722" customFormat="1" x14ac:dyDescent="0.25">
      <c r="A404" s="719"/>
      <c r="B404" s="720" t="s">
        <v>381</v>
      </c>
      <c r="C404" s="720">
        <v>17119</v>
      </c>
      <c r="D404" s="720"/>
      <c r="E404" s="720"/>
      <c r="F404" s="720">
        <v>1440</v>
      </c>
      <c r="G404" s="720"/>
      <c r="H404" s="720"/>
      <c r="I404" s="743"/>
      <c r="J404" s="741">
        <f>SUM(C404+E404+F404+H404)</f>
        <v>18559</v>
      </c>
      <c r="K404" s="741">
        <f>SUM(D404+G404+I404)</f>
        <v>0</v>
      </c>
      <c r="L404" s="721">
        <f>SUM(J404:K404)</f>
        <v>18559</v>
      </c>
      <c r="M404" s="721">
        <v>296063</v>
      </c>
      <c r="N404" s="741">
        <v>159540</v>
      </c>
      <c r="O404" s="721">
        <f>SUM(L404:N404)</f>
        <v>474162</v>
      </c>
    </row>
    <row r="405" spans="1:16" s="722" customFormat="1" x14ac:dyDescent="0.25">
      <c r="A405" s="719"/>
      <c r="B405" s="720" t="s">
        <v>380</v>
      </c>
      <c r="C405" s="720"/>
      <c r="D405" s="720"/>
      <c r="E405" s="720"/>
      <c r="F405" s="720"/>
      <c r="G405" s="720"/>
      <c r="H405" s="720"/>
      <c r="I405" s="743"/>
      <c r="J405" s="743">
        <f>SUM(C405+E405+F405+H405)</f>
        <v>0</v>
      </c>
      <c r="K405" s="743">
        <f>SUM(D405+G405+I405)</f>
        <v>0</v>
      </c>
      <c r="L405" s="720">
        <f>SUM(J405:K405)</f>
        <v>0</v>
      </c>
      <c r="M405" s="720">
        <v>3080</v>
      </c>
      <c r="N405" s="743"/>
      <c r="O405" s="720">
        <f>SUM(L405:N405)</f>
        <v>3080</v>
      </c>
    </row>
    <row r="406" spans="1:16" s="722" customFormat="1" x14ac:dyDescent="0.25">
      <c r="A406" s="719"/>
      <c r="B406" s="720" t="s">
        <v>131</v>
      </c>
      <c r="C406" s="723"/>
      <c r="D406" s="723"/>
      <c r="E406" s="723"/>
      <c r="F406" s="723"/>
      <c r="G406" s="723"/>
      <c r="H406" s="723"/>
      <c r="I406" s="742"/>
      <c r="J406" s="742"/>
      <c r="K406" s="742"/>
      <c r="L406" s="723"/>
      <c r="M406" s="723"/>
      <c r="N406" s="742"/>
      <c r="O406" s="723"/>
    </row>
    <row r="407" spans="1:16" s="722" customFormat="1" ht="31.5" x14ac:dyDescent="0.25">
      <c r="A407" s="719"/>
      <c r="B407" s="723" t="s">
        <v>1425</v>
      </c>
      <c r="C407" s="723"/>
      <c r="D407" s="723"/>
      <c r="E407" s="723"/>
      <c r="F407" s="723"/>
      <c r="G407" s="723"/>
      <c r="H407" s="723"/>
      <c r="I407" s="742"/>
      <c r="J407" s="742">
        <f t="shared" ref="J407:J413" si="166">SUM(C407+E407+F407+H407)</f>
        <v>0</v>
      </c>
      <c r="K407" s="742">
        <f t="shared" ref="K407:K413" si="167">SUM(D407+G407+I407)</f>
        <v>0</v>
      </c>
      <c r="L407" s="723">
        <f t="shared" ref="L407:L413" si="168">SUM(J407:K407)</f>
        <v>0</v>
      </c>
      <c r="M407" s="723">
        <v>340</v>
      </c>
      <c r="N407" s="742"/>
      <c r="O407" s="723">
        <f t="shared" ref="O407:O413" si="169">SUM(L407:N407)</f>
        <v>340</v>
      </c>
    </row>
    <row r="408" spans="1:16" s="722" customFormat="1" ht="48.75" customHeight="1" x14ac:dyDescent="0.25">
      <c r="A408" s="719"/>
      <c r="B408" s="723" t="s">
        <v>1429</v>
      </c>
      <c r="C408" s="723"/>
      <c r="D408" s="723"/>
      <c r="E408" s="723"/>
      <c r="F408" s="723"/>
      <c r="G408" s="723"/>
      <c r="H408" s="723"/>
      <c r="I408" s="742"/>
      <c r="J408" s="742">
        <f t="shared" si="166"/>
        <v>0</v>
      </c>
      <c r="K408" s="742">
        <f t="shared" si="167"/>
        <v>0</v>
      </c>
      <c r="L408" s="723">
        <f t="shared" si="168"/>
        <v>0</v>
      </c>
      <c r="M408" s="723">
        <v>48442</v>
      </c>
      <c r="N408" s="742"/>
      <c r="O408" s="723">
        <f t="shared" si="169"/>
        <v>48442</v>
      </c>
    </row>
    <row r="409" spans="1:16" s="722" customFormat="1" ht="31.5" x14ac:dyDescent="0.25">
      <c r="A409" s="719"/>
      <c r="B409" s="731" t="s">
        <v>1426</v>
      </c>
      <c r="C409" s="723"/>
      <c r="D409" s="723"/>
      <c r="E409" s="723"/>
      <c r="F409" s="723"/>
      <c r="G409" s="723"/>
      <c r="H409" s="723"/>
      <c r="I409" s="742"/>
      <c r="J409" s="742">
        <f t="shared" si="166"/>
        <v>0</v>
      </c>
      <c r="K409" s="742">
        <f t="shared" si="167"/>
        <v>0</v>
      </c>
      <c r="L409" s="723">
        <f t="shared" si="168"/>
        <v>0</v>
      </c>
      <c r="M409" s="723">
        <v>-4291</v>
      </c>
      <c r="N409" s="742"/>
      <c r="O409" s="723">
        <f t="shared" si="169"/>
        <v>-4291</v>
      </c>
    </row>
    <row r="410" spans="1:16" s="722" customFormat="1" x14ac:dyDescent="0.25">
      <c r="A410" s="719"/>
      <c r="B410" s="720" t="s">
        <v>132</v>
      </c>
      <c r="C410" s="723"/>
      <c r="D410" s="723"/>
      <c r="E410" s="723"/>
      <c r="F410" s="723"/>
      <c r="G410" s="723"/>
      <c r="H410" s="723"/>
      <c r="I410" s="742"/>
      <c r="J410" s="742"/>
      <c r="K410" s="742"/>
      <c r="L410" s="723"/>
      <c r="M410" s="723"/>
      <c r="N410" s="742"/>
      <c r="O410" s="723"/>
    </row>
    <row r="411" spans="1:16" s="722" customFormat="1" ht="63" x14ac:dyDescent="0.25">
      <c r="A411" s="719"/>
      <c r="B411" s="723" t="s">
        <v>1428</v>
      </c>
      <c r="C411" s="723"/>
      <c r="D411" s="723"/>
      <c r="E411" s="723"/>
      <c r="F411" s="723"/>
      <c r="G411" s="723"/>
      <c r="H411" s="723"/>
      <c r="I411" s="742"/>
      <c r="J411" s="742">
        <f t="shared" si="166"/>
        <v>0</v>
      </c>
      <c r="K411" s="742">
        <f t="shared" si="167"/>
        <v>0</v>
      </c>
      <c r="L411" s="723">
        <f t="shared" si="168"/>
        <v>0</v>
      </c>
      <c r="M411" s="723">
        <v>3824</v>
      </c>
      <c r="N411" s="742"/>
      <c r="O411" s="723">
        <f t="shared" si="169"/>
        <v>3824</v>
      </c>
    </row>
    <row r="412" spans="1:16" s="722" customFormat="1" x14ac:dyDescent="0.25">
      <c r="A412" s="719"/>
      <c r="B412" s="723" t="s">
        <v>1330</v>
      </c>
      <c r="C412" s="723"/>
      <c r="D412" s="723"/>
      <c r="E412" s="723"/>
      <c r="F412" s="723"/>
      <c r="G412" s="723"/>
      <c r="H412" s="723"/>
      <c r="I412" s="742"/>
      <c r="J412" s="742">
        <f t="shared" si="166"/>
        <v>0</v>
      </c>
      <c r="K412" s="742">
        <f t="shared" si="167"/>
        <v>0</v>
      </c>
      <c r="L412" s="723">
        <f t="shared" si="168"/>
        <v>0</v>
      </c>
      <c r="M412" s="723">
        <v>1523</v>
      </c>
      <c r="N412" s="742"/>
      <c r="O412" s="723">
        <f t="shared" si="169"/>
        <v>1523</v>
      </c>
    </row>
    <row r="413" spans="1:16" s="722" customFormat="1" ht="79.5" thickBot="1" x14ac:dyDescent="0.3">
      <c r="A413" s="719"/>
      <c r="B413" s="723" t="s">
        <v>1332</v>
      </c>
      <c r="C413" s="723"/>
      <c r="D413" s="723"/>
      <c r="E413" s="723"/>
      <c r="F413" s="723"/>
      <c r="G413" s="723"/>
      <c r="H413" s="723"/>
      <c r="I413" s="742"/>
      <c r="J413" s="742">
        <f t="shared" si="166"/>
        <v>0</v>
      </c>
      <c r="K413" s="742">
        <f t="shared" si="167"/>
        <v>0</v>
      </c>
      <c r="L413" s="723">
        <f t="shared" si="168"/>
        <v>0</v>
      </c>
      <c r="M413" s="723">
        <v>50</v>
      </c>
      <c r="N413" s="742"/>
      <c r="O413" s="723">
        <f t="shared" si="169"/>
        <v>50</v>
      </c>
    </row>
    <row r="414" spans="1:16" ht="17.25" thickTop="1" thickBot="1" x14ac:dyDescent="0.3">
      <c r="A414" s="712"/>
      <c r="B414" s="725" t="s">
        <v>379</v>
      </c>
      <c r="C414" s="725">
        <f>+C403+C407+C411+C408+C409+C413+C412</f>
        <v>17119</v>
      </c>
      <c r="D414" s="725">
        <f t="shared" ref="D414:O414" si="170">+D403+D407+D411+D408+D409+D413+D412</f>
        <v>0</v>
      </c>
      <c r="E414" s="725">
        <f t="shared" si="170"/>
        <v>0</v>
      </c>
      <c r="F414" s="725">
        <f t="shared" si="170"/>
        <v>1440</v>
      </c>
      <c r="G414" s="725">
        <f t="shared" si="170"/>
        <v>0</v>
      </c>
      <c r="H414" s="725">
        <f t="shared" si="170"/>
        <v>0</v>
      </c>
      <c r="I414" s="725">
        <f t="shared" si="170"/>
        <v>0</v>
      </c>
      <c r="J414" s="725">
        <f t="shared" si="170"/>
        <v>18559</v>
      </c>
      <c r="K414" s="725">
        <f t="shared" si="170"/>
        <v>0</v>
      </c>
      <c r="L414" s="725">
        <f t="shared" si="170"/>
        <v>18559</v>
      </c>
      <c r="M414" s="725">
        <f t="shared" si="170"/>
        <v>349031</v>
      </c>
      <c r="N414" s="725">
        <f t="shared" si="170"/>
        <v>159540</v>
      </c>
      <c r="O414" s="725">
        <f t="shared" si="170"/>
        <v>527130</v>
      </c>
      <c r="P414" s="703">
        <f>O415+O416</f>
        <v>527130</v>
      </c>
    </row>
    <row r="415" spans="1:16" ht="17.25" thickTop="1" thickBot="1" x14ac:dyDescent="0.3">
      <c r="A415" s="712"/>
      <c r="B415" s="725" t="s">
        <v>378</v>
      </c>
      <c r="C415" s="725">
        <f>+C404+C407+C408+C409</f>
        <v>17119</v>
      </c>
      <c r="D415" s="725">
        <f t="shared" ref="D415:O415" si="171">+D404+D407+D408+D409</f>
        <v>0</v>
      </c>
      <c r="E415" s="725">
        <f t="shared" si="171"/>
        <v>0</v>
      </c>
      <c r="F415" s="725">
        <f t="shared" si="171"/>
        <v>1440</v>
      </c>
      <c r="G415" s="725">
        <f t="shared" si="171"/>
        <v>0</v>
      </c>
      <c r="H415" s="725">
        <f t="shared" si="171"/>
        <v>0</v>
      </c>
      <c r="I415" s="725">
        <f t="shared" si="171"/>
        <v>0</v>
      </c>
      <c r="J415" s="725">
        <f t="shared" si="171"/>
        <v>18559</v>
      </c>
      <c r="K415" s="725">
        <f t="shared" si="171"/>
        <v>0</v>
      </c>
      <c r="L415" s="725">
        <f t="shared" si="171"/>
        <v>18559</v>
      </c>
      <c r="M415" s="725">
        <f t="shared" si="171"/>
        <v>340554</v>
      </c>
      <c r="N415" s="725">
        <f t="shared" si="171"/>
        <v>159540</v>
      </c>
      <c r="O415" s="725">
        <f t="shared" si="171"/>
        <v>518653</v>
      </c>
    </row>
    <row r="416" spans="1:16" ht="17.25" thickTop="1" thickBot="1" x14ac:dyDescent="0.3">
      <c r="A416" s="712"/>
      <c r="B416" s="725" t="s">
        <v>377</v>
      </c>
      <c r="C416" s="725">
        <f t="shared" ref="C416:O416" si="172">+C405+C411+C413+C412</f>
        <v>0</v>
      </c>
      <c r="D416" s="725">
        <f t="shared" si="172"/>
        <v>0</v>
      </c>
      <c r="E416" s="725">
        <f t="shared" si="172"/>
        <v>0</v>
      </c>
      <c r="F416" s="725">
        <f t="shared" si="172"/>
        <v>0</v>
      </c>
      <c r="G416" s="725">
        <f t="shared" si="172"/>
        <v>0</v>
      </c>
      <c r="H416" s="725">
        <f t="shared" si="172"/>
        <v>0</v>
      </c>
      <c r="I416" s="725">
        <f t="shared" si="172"/>
        <v>0</v>
      </c>
      <c r="J416" s="725">
        <f t="shared" si="172"/>
        <v>0</v>
      </c>
      <c r="K416" s="725">
        <f t="shared" si="172"/>
        <v>0</v>
      </c>
      <c r="L416" s="725">
        <f t="shared" si="172"/>
        <v>0</v>
      </c>
      <c r="M416" s="725">
        <f t="shared" si="172"/>
        <v>8477</v>
      </c>
      <c r="N416" s="725">
        <f t="shared" si="172"/>
        <v>0</v>
      </c>
      <c r="O416" s="725">
        <f t="shared" si="172"/>
        <v>8477</v>
      </c>
    </row>
    <row r="417" spans="1:16" ht="16.5" thickTop="1" x14ac:dyDescent="0.25">
      <c r="A417" s="716" t="s">
        <v>13</v>
      </c>
      <c r="B417" s="717" t="s">
        <v>376</v>
      </c>
      <c r="C417" s="717"/>
      <c r="D417" s="717"/>
      <c r="E417" s="717"/>
      <c r="F417" s="717"/>
      <c r="G417" s="717"/>
      <c r="H417" s="717"/>
      <c r="I417" s="717"/>
      <c r="J417" s="717"/>
      <c r="K417" s="717"/>
      <c r="L417" s="717"/>
      <c r="M417" s="717"/>
      <c r="N417" s="717"/>
      <c r="O417" s="717"/>
    </row>
    <row r="418" spans="1:16" x14ac:dyDescent="0.25">
      <c r="A418" s="716"/>
      <c r="B418" s="718" t="s">
        <v>347</v>
      </c>
      <c r="C418" s="718">
        <f t="shared" ref="C418:E418" si="173">SUM(C419:C420)</f>
        <v>20617</v>
      </c>
      <c r="D418" s="718">
        <f t="shared" si="173"/>
        <v>0</v>
      </c>
      <c r="E418" s="718">
        <f t="shared" si="173"/>
        <v>0</v>
      </c>
      <c r="F418" s="718">
        <f>SUM(F419:F420)</f>
        <v>9200</v>
      </c>
      <c r="G418" s="718"/>
      <c r="H418" s="718"/>
      <c r="I418" s="718"/>
      <c r="J418" s="718">
        <f>SUM(C418+E418+F418+H418)</f>
        <v>29817</v>
      </c>
      <c r="K418" s="718">
        <f>SUM(D418+G418+I418)</f>
        <v>0</v>
      </c>
      <c r="L418" s="718">
        <f>SUM(J418:K418)</f>
        <v>29817</v>
      </c>
      <c r="M418" s="718">
        <f>SUM(M419:M420)</f>
        <v>282822</v>
      </c>
      <c r="N418" s="718">
        <f>SUM(N419:N420)</f>
        <v>92242</v>
      </c>
      <c r="O418" s="718">
        <f>SUM(L418:N418)</f>
        <v>404881</v>
      </c>
    </row>
    <row r="419" spans="1:16" s="722" customFormat="1" x14ac:dyDescent="0.25">
      <c r="A419" s="719"/>
      <c r="B419" s="720" t="s">
        <v>381</v>
      </c>
      <c r="C419" s="720">
        <v>20617</v>
      </c>
      <c r="D419" s="720"/>
      <c r="E419" s="720"/>
      <c r="F419" s="720">
        <v>9200</v>
      </c>
      <c r="G419" s="720"/>
      <c r="H419" s="720"/>
      <c r="I419" s="720"/>
      <c r="J419" s="721">
        <f>SUM(C419+E419+F419+H419)</f>
        <v>29817</v>
      </c>
      <c r="K419" s="721">
        <f>SUM(D419+G419+I419)</f>
        <v>0</v>
      </c>
      <c r="L419" s="721">
        <f>SUM(J419:K419)</f>
        <v>29817</v>
      </c>
      <c r="M419" s="721">
        <v>280348</v>
      </c>
      <c r="N419" s="721">
        <v>92242</v>
      </c>
      <c r="O419" s="721">
        <f>SUM(L419:N419)</f>
        <v>402407</v>
      </c>
    </row>
    <row r="420" spans="1:16" s="722" customFormat="1" x14ac:dyDescent="0.25">
      <c r="A420" s="719"/>
      <c r="B420" s="720" t="s">
        <v>380</v>
      </c>
      <c r="C420" s="720"/>
      <c r="D420" s="720"/>
      <c r="E420" s="720"/>
      <c r="F420" s="720"/>
      <c r="G420" s="720"/>
      <c r="H420" s="720"/>
      <c r="I420" s="720"/>
      <c r="J420" s="720">
        <f>SUM(C420+E420+F420+H420)</f>
        <v>0</v>
      </c>
      <c r="K420" s="720">
        <f>SUM(D420+G420+I420)</f>
        <v>0</v>
      </c>
      <c r="L420" s="720">
        <f>SUM(J420:K420)</f>
        <v>0</v>
      </c>
      <c r="M420" s="720">
        <v>2474</v>
      </c>
      <c r="N420" s="720"/>
      <c r="O420" s="720">
        <f>SUM(L420:N420)</f>
        <v>2474</v>
      </c>
    </row>
    <row r="421" spans="1:16" s="722" customFormat="1" x14ac:dyDescent="0.25">
      <c r="A421" s="728"/>
      <c r="B421" s="744" t="s">
        <v>131</v>
      </c>
      <c r="C421" s="734"/>
      <c r="D421" s="734"/>
      <c r="E421" s="734"/>
      <c r="F421" s="734"/>
      <c r="G421" s="734"/>
      <c r="H421" s="734"/>
      <c r="I421" s="734"/>
      <c r="J421" s="734"/>
      <c r="K421" s="734"/>
      <c r="L421" s="734"/>
      <c r="M421" s="734"/>
      <c r="N421" s="734"/>
      <c r="O421" s="734"/>
    </row>
    <row r="422" spans="1:16" s="722" customFormat="1" ht="31.5" x14ac:dyDescent="0.25">
      <c r="A422" s="719"/>
      <c r="B422" s="723" t="s">
        <v>1425</v>
      </c>
      <c r="C422" s="723"/>
      <c r="D422" s="723"/>
      <c r="E422" s="723"/>
      <c r="F422" s="723"/>
      <c r="G422" s="723"/>
      <c r="H422" s="723"/>
      <c r="I422" s="723"/>
      <c r="J422" s="723">
        <f t="shared" ref="J422:J431" si="174">SUM(C422+E422+F422+H422)</f>
        <v>0</v>
      </c>
      <c r="K422" s="723">
        <f t="shared" ref="K422:K431" si="175">SUM(D422+G422+I422)</f>
        <v>0</v>
      </c>
      <c r="L422" s="723">
        <f t="shared" ref="L422:L431" si="176">SUM(J422:K422)</f>
        <v>0</v>
      </c>
      <c r="M422" s="723">
        <v>138</v>
      </c>
      <c r="N422" s="723"/>
      <c r="O422" s="723">
        <f t="shared" ref="O422:O431" si="177">SUM(L422:N422)</f>
        <v>138</v>
      </c>
    </row>
    <row r="423" spans="1:16" s="722" customFormat="1" ht="49.5" customHeight="1" x14ac:dyDescent="0.25">
      <c r="A423" s="719"/>
      <c r="B423" s="723" t="s">
        <v>1429</v>
      </c>
      <c r="C423" s="723"/>
      <c r="D423" s="723"/>
      <c r="E423" s="723"/>
      <c r="F423" s="723"/>
      <c r="G423" s="723"/>
      <c r="H423" s="723"/>
      <c r="I423" s="723"/>
      <c r="J423" s="723">
        <f t="shared" si="174"/>
        <v>0</v>
      </c>
      <c r="K423" s="723">
        <f t="shared" si="175"/>
        <v>0</v>
      </c>
      <c r="L423" s="723">
        <f t="shared" si="176"/>
        <v>0</v>
      </c>
      <c r="M423" s="723">
        <v>29886</v>
      </c>
      <c r="N423" s="723"/>
      <c r="O423" s="723">
        <f t="shared" si="177"/>
        <v>29886</v>
      </c>
    </row>
    <row r="424" spans="1:16" s="722" customFormat="1" x14ac:dyDescent="0.25">
      <c r="A424" s="719"/>
      <c r="B424" s="723" t="s">
        <v>1365</v>
      </c>
      <c r="C424" s="723"/>
      <c r="D424" s="723"/>
      <c r="E424" s="723"/>
      <c r="F424" s="723"/>
      <c r="G424" s="723"/>
      <c r="H424" s="723"/>
      <c r="I424" s="723"/>
      <c r="J424" s="723">
        <f t="shared" si="174"/>
        <v>0</v>
      </c>
      <c r="K424" s="723">
        <f t="shared" si="175"/>
        <v>0</v>
      </c>
      <c r="L424" s="723">
        <f t="shared" si="176"/>
        <v>0</v>
      </c>
      <c r="M424" s="723">
        <v>244</v>
      </c>
      <c r="N424" s="723"/>
      <c r="O424" s="723">
        <f t="shared" si="177"/>
        <v>244</v>
      </c>
    </row>
    <row r="425" spans="1:16" s="722" customFormat="1" ht="31.5" x14ac:dyDescent="0.25">
      <c r="A425" s="719"/>
      <c r="B425" s="731" t="s">
        <v>1426</v>
      </c>
      <c r="C425" s="723"/>
      <c r="D425" s="723"/>
      <c r="E425" s="723"/>
      <c r="F425" s="723"/>
      <c r="G425" s="723"/>
      <c r="H425" s="723"/>
      <c r="I425" s="723"/>
      <c r="J425" s="723">
        <f t="shared" si="174"/>
        <v>0</v>
      </c>
      <c r="K425" s="723">
        <f t="shared" si="175"/>
        <v>0</v>
      </c>
      <c r="L425" s="723">
        <f t="shared" si="176"/>
        <v>0</v>
      </c>
      <c r="M425" s="723">
        <v>-838</v>
      </c>
      <c r="N425" s="723"/>
      <c r="O425" s="723">
        <f t="shared" si="177"/>
        <v>-838</v>
      </c>
    </row>
    <row r="426" spans="1:16" s="722" customFormat="1" ht="31.5" x14ac:dyDescent="0.25">
      <c r="A426" s="719"/>
      <c r="B426" s="723" t="s">
        <v>961</v>
      </c>
      <c r="C426" s="723"/>
      <c r="D426" s="723"/>
      <c r="E426" s="723"/>
      <c r="F426" s="723"/>
      <c r="G426" s="723"/>
      <c r="H426" s="723">
        <v>1800</v>
      </c>
      <c r="I426" s="723">
        <v>1951</v>
      </c>
      <c r="J426" s="723">
        <f t="shared" si="174"/>
        <v>1800</v>
      </c>
      <c r="K426" s="723">
        <f t="shared" si="175"/>
        <v>1951</v>
      </c>
      <c r="L426" s="723">
        <f t="shared" si="176"/>
        <v>3751</v>
      </c>
      <c r="M426" s="723"/>
      <c r="N426" s="723"/>
      <c r="O426" s="723">
        <f t="shared" si="177"/>
        <v>3751</v>
      </c>
    </row>
    <row r="427" spans="1:16" s="722" customFormat="1" x14ac:dyDescent="0.25">
      <c r="A427" s="719"/>
      <c r="B427" s="720" t="s">
        <v>132</v>
      </c>
      <c r="C427" s="723"/>
      <c r="D427" s="723"/>
      <c r="E427" s="723"/>
      <c r="F427" s="723"/>
      <c r="G427" s="723"/>
      <c r="H427" s="723"/>
      <c r="I427" s="723"/>
      <c r="J427" s="723"/>
      <c r="K427" s="723"/>
      <c r="L427" s="723"/>
      <c r="M427" s="723"/>
      <c r="N427" s="723"/>
      <c r="O427" s="723"/>
    </row>
    <row r="428" spans="1:16" s="722" customFormat="1" ht="63" x14ac:dyDescent="0.25">
      <c r="A428" s="719"/>
      <c r="B428" s="723" t="s">
        <v>1428</v>
      </c>
      <c r="C428" s="723"/>
      <c r="D428" s="723"/>
      <c r="E428" s="723"/>
      <c r="F428" s="723"/>
      <c r="G428" s="723"/>
      <c r="H428" s="723"/>
      <c r="I428" s="723"/>
      <c r="J428" s="723">
        <f t="shared" si="174"/>
        <v>0</v>
      </c>
      <c r="K428" s="723">
        <f t="shared" si="175"/>
        <v>0</v>
      </c>
      <c r="L428" s="723">
        <f t="shared" si="176"/>
        <v>0</v>
      </c>
      <c r="M428" s="723">
        <v>3846</v>
      </c>
      <c r="N428" s="723"/>
      <c r="O428" s="723">
        <f t="shared" si="177"/>
        <v>3846</v>
      </c>
    </row>
    <row r="429" spans="1:16" s="722" customFormat="1" x14ac:dyDescent="0.25">
      <c r="A429" s="719"/>
      <c r="B429" s="723" t="s">
        <v>1330</v>
      </c>
      <c r="C429" s="723"/>
      <c r="D429" s="723"/>
      <c r="E429" s="723"/>
      <c r="F429" s="723"/>
      <c r="G429" s="723"/>
      <c r="H429" s="723"/>
      <c r="I429" s="723"/>
      <c r="J429" s="723">
        <f t="shared" si="174"/>
        <v>0</v>
      </c>
      <c r="K429" s="723">
        <f t="shared" si="175"/>
        <v>0</v>
      </c>
      <c r="L429" s="723">
        <f t="shared" si="176"/>
        <v>0</v>
      </c>
      <c r="M429" s="723">
        <v>1082</v>
      </c>
      <c r="N429" s="723"/>
      <c r="O429" s="723">
        <f t="shared" si="177"/>
        <v>1082</v>
      </c>
    </row>
    <row r="430" spans="1:16" s="722" customFormat="1" ht="78.75" x14ac:dyDescent="0.25">
      <c r="A430" s="719"/>
      <c r="B430" s="723" t="s">
        <v>1332</v>
      </c>
      <c r="C430" s="723"/>
      <c r="D430" s="723"/>
      <c r="E430" s="723"/>
      <c r="F430" s="723"/>
      <c r="G430" s="723"/>
      <c r="H430" s="723"/>
      <c r="I430" s="723"/>
      <c r="J430" s="723">
        <f t="shared" si="174"/>
        <v>0</v>
      </c>
      <c r="K430" s="723">
        <f t="shared" si="175"/>
        <v>0</v>
      </c>
      <c r="L430" s="723">
        <f t="shared" si="176"/>
        <v>0</v>
      </c>
      <c r="M430" s="723">
        <v>20</v>
      </c>
      <c r="N430" s="723"/>
      <c r="O430" s="723">
        <f t="shared" si="177"/>
        <v>20</v>
      </c>
    </row>
    <row r="431" spans="1:16" s="722" customFormat="1" ht="95.25" thickBot="1" x14ac:dyDescent="0.3">
      <c r="A431" s="719"/>
      <c r="B431" s="723" t="s">
        <v>1448</v>
      </c>
      <c r="C431" s="723"/>
      <c r="D431" s="723"/>
      <c r="E431" s="723"/>
      <c r="F431" s="723"/>
      <c r="G431" s="723"/>
      <c r="H431" s="723"/>
      <c r="I431" s="723"/>
      <c r="J431" s="723">
        <f t="shared" si="174"/>
        <v>0</v>
      </c>
      <c r="K431" s="723">
        <f t="shared" si="175"/>
        <v>0</v>
      </c>
      <c r="L431" s="723">
        <f t="shared" si="176"/>
        <v>0</v>
      </c>
      <c r="M431" s="723">
        <v>25</v>
      </c>
      <c r="N431" s="723"/>
      <c r="O431" s="723">
        <f t="shared" si="177"/>
        <v>25</v>
      </c>
    </row>
    <row r="432" spans="1:16" ht="17.25" thickTop="1" thickBot="1" x14ac:dyDescent="0.3">
      <c r="A432" s="712"/>
      <c r="B432" s="725" t="s">
        <v>379</v>
      </c>
      <c r="C432" s="725">
        <f>+C418+C422+C428+C423+C424+C425+C426+C430+C431+C429</f>
        <v>20617</v>
      </c>
      <c r="D432" s="725">
        <f t="shared" ref="D432:O432" si="178">+D418+D422+D428+D423+D424+D425+D426+D430+D431+D429</f>
        <v>0</v>
      </c>
      <c r="E432" s="725">
        <f t="shared" si="178"/>
        <v>0</v>
      </c>
      <c r="F432" s="725">
        <f t="shared" si="178"/>
        <v>9200</v>
      </c>
      <c r="G432" s="725">
        <f t="shared" si="178"/>
        <v>0</v>
      </c>
      <c r="H432" s="725">
        <f t="shared" si="178"/>
        <v>1800</v>
      </c>
      <c r="I432" s="725">
        <f t="shared" si="178"/>
        <v>1951</v>
      </c>
      <c r="J432" s="725">
        <f t="shared" si="178"/>
        <v>31617</v>
      </c>
      <c r="K432" s="725">
        <f t="shared" si="178"/>
        <v>1951</v>
      </c>
      <c r="L432" s="725">
        <f t="shared" si="178"/>
        <v>33568</v>
      </c>
      <c r="M432" s="725">
        <f t="shared" si="178"/>
        <v>317225</v>
      </c>
      <c r="N432" s="725">
        <f t="shared" si="178"/>
        <v>92242</v>
      </c>
      <c r="O432" s="725">
        <f t="shared" si="178"/>
        <v>443035</v>
      </c>
      <c r="P432" s="703">
        <f>O433+O434</f>
        <v>443035</v>
      </c>
    </row>
    <row r="433" spans="1:16" ht="17.25" thickTop="1" thickBot="1" x14ac:dyDescent="0.3">
      <c r="A433" s="712"/>
      <c r="B433" s="725" t="s">
        <v>378</v>
      </c>
      <c r="C433" s="725">
        <f>+C419+C422+C423+C424+C425+C426</f>
        <v>20617</v>
      </c>
      <c r="D433" s="725">
        <f t="shared" ref="D433:O433" si="179">+D419+D422+D423+D424+D425+D426</f>
        <v>0</v>
      </c>
      <c r="E433" s="725">
        <f t="shared" si="179"/>
        <v>0</v>
      </c>
      <c r="F433" s="725">
        <f t="shared" si="179"/>
        <v>9200</v>
      </c>
      <c r="G433" s="725">
        <f t="shared" si="179"/>
        <v>0</v>
      </c>
      <c r="H433" s="725">
        <f t="shared" si="179"/>
        <v>1800</v>
      </c>
      <c r="I433" s="725">
        <f t="shared" si="179"/>
        <v>1951</v>
      </c>
      <c r="J433" s="725">
        <f t="shared" si="179"/>
        <v>31617</v>
      </c>
      <c r="K433" s="725">
        <f t="shared" si="179"/>
        <v>1951</v>
      </c>
      <c r="L433" s="725">
        <f t="shared" si="179"/>
        <v>33568</v>
      </c>
      <c r="M433" s="725">
        <f t="shared" si="179"/>
        <v>309778</v>
      </c>
      <c r="N433" s="725">
        <f t="shared" si="179"/>
        <v>92242</v>
      </c>
      <c r="O433" s="725">
        <f t="shared" si="179"/>
        <v>435588</v>
      </c>
    </row>
    <row r="434" spans="1:16" ht="17.25" thickTop="1" thickBot="1" x14ac:dyDescent="0.3">
      <c r="A434" s="712"/>
      <c r="B434" s="725" t="s">
        <v>377</v>
      </c>
      <c r="C434" s="725">
        <f t="shared" ref="C434:O434" si="180">+C420+C428+C430+C431+C429</f>
        <v>0</v>
      </c>
      <c r="D434" s="725">
        <f t="shared" si="180"/>
        <v>0</v>
      </c>
      <c r="E434" s="725">
        <f t="shared" si="180"/>
        <v>0</v>
      </c>
      <c r="F434" s="725">
        <f t="shared" si="180"/>
        <v>0</v>
      </c>
      <c r="G434" s="725">
        <f t="shared" si="180"/>
        <v>0</v>
      </c>
      <c r="H434" s="725">
        <f t="shared" si="180"/>
        <v>0</v>
      </c>
      <c r="I434" s="725">
        <f t="shared" si="180"/>
        <v>0</v>
      </c>
      <c r="J434" s="725">
        <f t="shared" si="180"/>
        <v>0</v>
      </c>
      <c r="K434" s="725">
        <f t="shared" si="180"/>
        <v>0</v>
      </c>
      <c r="L434" s="725">
        <f t="shared" si="180"/>
        <v>0</v>
      </c>
      <c r="M434" s="725">
        <f t="shared" si="180"/>
        <v>7447</v>
      </c>
      <c r="N434" s="725">
        <f t="shared" si="180"/>
        <v>0</v>
      </c>
      <c r="O434" s="725">
        <f t="shared" si="180"/>
        <v>7447</v>
      </c>
    </row>
    <row r="435" spans="1:16" ht="17.25" thickTop="1" thickBot="1" x14ac:dyDescent="0.3">
      <c r="A435" s="712"/>
      <c r="B435" s="725" t="s">
        <v>393</v>
      </c>
      <c r="C435" s="725">
        <f t="shared" ref="C435:O435" si="181">SUM(C399+C414+C432)</f>
        <v>143207</v>
      </c>
      <c r="D435" s="725">
        <f t="shared" si="181"/>
        <v>0</v>
      </c>
      <c r="E435" s="725">
        <f t="shared" si="181"/>
        <v>0</v>
      </c>
      <c r="F435" s="725">
        <f t="shared" si="181"/>
        <v>332625</v>
      </c>
      <c r="G435" s="725">
        <f t="shared" si="181"/>
        <v>0</v>
      </c>
      <c r="H435" s="725">
        <f t="shared" si="181"/>
        <v>1800</v>
      </c>
      <c r="I435" s="725">
        <f t="shared" si="181"/>
        <v>1951</v>
      </c>
      <c r="J435" s="725">
        <f t="shared" si="181"/>
        <v>477632</v>
      </c>
      <c r="K435" s="725">
        <f t="shared" si="181"/>
        <v>1951</v>
      </c>
      <c r="L435" s="725">
        <f t="shared" si="181"/>
        <v>479583</v>
      </c>
      <c r="M435" s="725">
        <f t="shared" si="181"/>
        <v>1725039</v>
      </c>
      <c r="N435" s="725">
        <f t="shared" si="181"/>
        <v>262975</v>
      </c>
      <c r="O435" s="725">
        <f t="shared" si="181"/>
        <v>2467597</v>
      </c>
    </row>
    <row r="436" spans="1:16" ht="16.5" thickTop="1" x14ac:dyDescent="0.25">
      <c r="A436" s="747" t="s">
        <v>14</v>
      </c>
      <c r="B436" s="748" t="s">
        <v>392</v>
      </c>
      <c r="C436" s="748"/>
      <c r="D436" s="748"/>
      <c r="E436" s="748"/>
      <c r="F436" s="748"/>
      <c r="G436" s="748"/>
      <c r="H436" s="748"/>
      <c r="I436" s="748"/>
      <c r="J436" s="748"/>
      <c r="K436" s="748"/>
      <c r="L436" s="748"/>
      <c r="M436" s="748"/>
      <c r="N436" s="748"/>
      <c r="O436" s="748"/>
    </row>
    <row r="437" spans="1:16" x14ac:dyDescent="0.25">
      <c r="A437" s="716"/>
      <c r="B437" s="737" t="s">
        <v>347</v>
      </c>
      <c r="C437" s="737">
        <f t="shared" ref="C437:E437" si="182">SUM(C438:C439)</f>
        <v>23559</v>
      </c>
      <c r="D437" s="737">
        <f t="shared" si="182"/>
        <v>0</v>
      </c>
      <c r="E437" s="737">
        <f t="shared" si="182"/>
        <v>0</v>
      </c>
      <c r="F437" s="737">
        <f>SUM(F438:F439)</f>
        <v>527657</v>
      </c>
      <c r="G437" s="737"/>
      <c r="H437" s="737"/>
      <c r="I437" s="737"/>
      <c r="J437" s="718">
        <f>SUM(C437+E437+F437+H437)</f>
        <v>551216</v>
      </c>
      <c r="K437" s="718">
        <f>SUM(D437+G437+I437)</f>
        <v>0</v>
      </c>
      <c r="L437" s="718">
        <f>SUM(J437:K437)</f>
        <v>551216</v>
      </c>
      <c r="M437" s="718">
        <f>SUM(M438:M439)</f>
        <v>920240</v>
      </c>
      <c r="N437" s="718">
        <f>SUM(N438:N439)</f>
        <v>19086</v>
      </c>
      <c r="O437" s="718">
        <f>SUM(L437:N437)</f>
        <v>1490542</v>
      </c>
    </row>
    <row r="438" spans="1:16" s="722" customFormat="1" x14ac:dyDescent="0.25">
      <c r="A438" s="719"/>
      <c r="B438" s="720" t="s">
        <v>381</v>
      </c>
      <c r="C438" s="720">
        <v>23559</v>
      </c>
      <c r="D438" s="720"/>
      <c r="E438" s="720"/>
      <c r="F438" s="720">
        <v>527657</v>
      </c>
      <c r="G438" s="720"/>
      <c r="H438" s="720"/>
      <c r="I438" s="720"/>
      <c r="J438" s="721">
        <f>SUM(C438+E438+F438+H438)</f>
        <v>551216</v>
      </c>
      <c r="K438" s="721">
        <f>SUM(D438+G438+I438)</f>
        <v>0</v>
      </c>
      <c r="L438" s="721">
        <f>SUM(J438:K438)</f>
        <v>551216</v>
      </c>
      <c r="M438" s="721">
        <v>917316</v>
      </c>
      <c r="N438" s="721">
        <v>19086</v>
      </c>
      <c r="O438" s="721">
        <f>SUM(L438:N438)</f>
        <v>1487618</v>
      </c>
    </row>
    <row r="439" spans="1:16" s="722" customFormat="1" x14ac:dyDescent="0.25">
      <c r="A439" s="719"/>
      <c r="B439" s="720" t="s">
        <v>380</v>
      </c>
      <c r="C439" s="720"/>
      <c r="D439" s="720"/>
      <c r="E439" s="720"/>
      <c r="F439" s="720"/>
      <c r="G439" s="720"/>
      <c r="H439" s="720"/>
      <c r="I439" s="720"/>
      <c r="J439" s="720">
        <f>SUM(C439+E439+F439+H439)</f>
        <v>0</v>
      </c>
      <c r="K439" s="720">
        <f>SUM(D439+G439+I439)</f>
        <v>0</v>
      </c>
      <c r="L439" s="720">
        <f>SUM(J439:K439)</f>
        <v>0</v>
      </c>
      <c r="M439" s="720">
        <v>2924</v>
      </c>
      <c r="N439" s="720"/>
      <c r="O439" s="720">
        <f>SUM(L439:N439)</f>
        <v>2924</v>
      </c>
    </row>
    <row r="440" spans="1:16" x14ac:dyDescent="0.25">
      <c r="A440" s="727"/>
      <c r="B440" s="729" t="s">
        <v>131</v>
      </c>
      <c r="C440" s="729"/>
      <c r="D440" s="729"/>
      <c r="E440" s="729"/>
      <c r="F440" s="729"/>
      <c r="G440" s="729"/>
      <c r="H440" s="729"/>
      <c r="I440" s="729"/>
      <c r="J440" s="717"/>
      <c r="K440" s="717"/>
      <c r="L440" s="717"/>
      <c r="M440" s="717"/>
      <c r="N440" s="717"/>
      <c r="O440" s="717"/>
    </row>
    <row r="441" spans="1:16" ht="31.5" x14ac:dyDescent="0.25">
      <c r="A441" s="727"/>
      <c r="B441" s="731" t="s">
        <v>1425</v>
      </c>
      <c r="C441" s="717"/>
      <c r="D441" s="717"/>
      <c r="E441" s="717"/>
      <c r="F441" s="717"/>
      <c r="G441" s="717"/>
      <c r="H441" s="717"/>
      <c r="I441" s="717"/>
      <c r="J441" s="717">
        <f t="shared" ref="J441:J445" si="183">SUM(C441+E441+F441+H441)</f>
        <v>0</v>
      </c>
      <c r="K441" s="717">
        <f t="shared" ref="K441:K445" si="184">SUM(D441+G441+I441)</f>
        <v>0</v>
      </c>
      <c r="L441" s="717">
        <f t="shared" ref="L441:L445" si="185">SUM(J441:K441)</f>
        <v>0</v>
      </c>
      <c r="M441" s="717">
        <v>353</v>
      </c>
      <c r="N441" s="717"/>
      <c r="O441" s="717">
        <f t="shared" ref="O441:O445" si="186">SUM(L441:N441)</f>
        <v>353</v>
      </c>
    </row>
    <row r="442" spans="1:16" ht="63" x14ac:dyDescent="0.25">
      <c r="A442" s="716"/>
      <c r="B442" s="723" t="s">
        <v>1326</v>
      </c>
      <c r="C442" s="718"/>
      <c r="D442" s="718"/>
      <c r="E442" s="718"/>
      <c r="F442" s="718"/>
      <c r="G442" s="718"/>
      <c r="H442" s="718"/>
      <c r="I442" s="718"/>
      <c r="J442" s="718">
        <f t="shared" si="183"/>
        <v>0</v>
      </c>
      <c r="K442" s="718">
        <f t="shared" si="184"/>
        <v>0</v>
      </c>
      <c r="L442" s="718">
        <f t="shared" si="185"/>
        <v>0</v>
      </c>
      <c r="M442" s="718">
        <v>1224</v>
      </c>
      <c r="N442" s="718"/>
      <c r="O442" s="718">
        <f t="shared" si="186"/>
        <v>1224</v>
      </c>
    </row>
    <row r="443" spans="1:16" x14ac:dyDescent="0.25">
      <c r="A443" s="716"/>
      <c r="B443" s="724" t="s">
        <v>1432</v>
      </c>
      <c r="C443" s="718"/>
      <c r="D443" s="718"/>
      <c r="E443" s="718"/>
      <c r="F443" s="718">
        <v>-121120</v>
      </c>
      <c r="G443" s="718"/>
      <c r="H443" s="718"/>
      <c r="I443" s="718"/>
      <c r="J443" s="718">
        <f t="shared" si="183"/>
        <v>-121120</v>
      </c>
      <c r="K443" s="718">
        <f t="shared" si="184"/>
        <v>0</v>
      </c>
      <c r="L443" s="718">
        <f t="shared" si="185"/>
        <v>-121120</v>
      </c>
      <c r="M443" s="718">
        <v>-139359</v>
      </c>
      <c r="N443" s="718"/>
      <c r="O443" s="718">
        <f t="shared" si="186"/>
        <v>-260479</v>
      </c>
    </row>
    <row r="444" spans="1:16" x14ac:dyDescent="0.25">
      <c r="A444" s="716"/>
      <c r="B444" s="720" t="s">
        <v>132</v>
      </c>
      <c r="C444" s="718"/>
      <c r="D444" s="718"/>
      <c r="E444" s="718"/>
      <c r="F444" s="718"/>
      <c r="G444" s="718"/>
      <c r="H444" s="718"/>
      <c r="I444" s="718"/>
      <c r="J444" s="718"/>
      <c r="K444" s="718"/>
      <c r="L444" s="718"/>
      <c r="M444" s="718"/>
      <c r="N444" s="718"/>
      <c r="O444" s="718"/>
    </row>
    <row r="445" spans="1:16" ht="16.5" thickBot="1" x14ac:dyDescent="0.3">
      <c r="A445" s="716"/>
      <c r="B445" s="723" t="s">
        <v>1330</v>
      </c>
      <c r="C445" s="718"/>
      <c r="D445" s="718"/>
      <c r="E445" s="718"/>
      <c r="F445" s="718"/>
      <c r="G445" s="718"/>
      <c r="H445" s="718"/>
      <c r="I445" s="718"/>
      <c r="J445" s="718">
        <f t="shared" si="183"/>
        <v>0</v>
      </c>
      <c r="K445" s="718">
        <f t="shared" si="184"/>
        <v>0</v>
      </c>
      <c r="L445" s="718">
        <f t="shared" si="185"/>
        <v>0</v>
      </c>
      <c r="M445" s="718">
        <v>1535</v>
      </c>
      <c r="N445" s="718"/>
      <c r="O445" s="718">
        <f t="shared" si="186"/>
        <v>1535</v>
      </c>
    </row>
    <row r="446" spans="1:16" ht="17.25" thickTop="1" thickBot="1" x14ac:dyDescent="0.3">
      <c r="A446" s="712"/>
      <c r="B446" s="725" t="s">
        <v>379</v>
      </c>
      <c r="C446" s="725">
        <f>+C437+C441+C442+C445+C443</f>
        <v>23559</v>
      </c>
      <c r="D446" s="725">
        <f t="shared" ref="D446:O446" si="187">+D437+D441+D442+D445+D443</f>
        <v>0</v>
      </c>
      <c r="E446" s="725">
        <f t="shared" si="187"/>
        <v>0</v>
      </c>
      <c r="F446" s="725">
        <f t="shared" si="187"/>
        <v>406537</v>
      </c>
      <c r="G446" s="725">
        <f t="shared" si="187"/>
        <v>0</v>
      </c>
      <c r="H446" s="725">
        <f t="shared" si="187"/>
        <v>0</v>
      </c>
      <c r="I446" s="725">
        <f t="shared" si="187"/>
        <v>0</v>
      </c>
      <c r="J446" s="725">
        <f t="shared" si="187"/>
        <v>430096</v>
      </c>
      <c r="K446" s="725">
        <f t="shared" si="187"/>
        <v>0</v>
      </c>
      <c r="L446" s="725">
        <f t="shared" si="187"/>
        <v>430096</v>
      </c>
      <c r="M446" s="725">
        <f t="shared" si="187"/>
        <v>783993</v>
      </c>
      <c r="N446" s="725">
        <f t="shared" si="187"/>
        <v>19086</v>
      </c>
      <c r="O446" s="725">
        <f t="shared" si="187"/>
        <v>1233175</v>
      </c>
      <c r="P446" s="703">
        <f>O447+O448</f>
        <v>1233175</v>
      </c>
    </row>
    <row r="447" spans="1:16" ht="17.25" thickTop="1" thickBot="1" x14ac:dyDescent="0.3">
      <c r="A447" s="712"/>
      <c r="B447" s="725" t="s">
        <v>378</v>
      </c>
      <c r="C447" s="725">
        <f>+C438+C441+C442+C443</f>
        <v>23559</v>
      </c>
      <c r="D447" s="725">
        <f t="shared" ref="D447:O447" si="188">+D438+D441+D442+D443</f>
        <v>0</v>
      </c>
      <c r="E447" s="725">
        <f t="shared" si="188"/>
        <v>0</v>
      </c>
      <c r="F447" s="725">
        <f t="shared" si="188"/>
        <v>406537</v>
      </c>
      <c r="G447" s="725">
        <f t="shared" si="188"/>
        <v>0</v>
      </c>
      <c r="H447" s="725">
        <f t="shared" si="188"/>
        <v>0</v>
      </c>
      <c r="I447" s="725">
        <f t="shared" si="188"/>
        <v>0</v>
      </c>
      <c r="J447" s="725">
        <f t="shared" si="188"/>
        <v>430096</v>
      </c>
      <c r="K447" s="725">
        <f t="shared" si="188"/>
        <v>0</v>
      </c>
      <c r="L447" s="725">
        <f t="shared" si="188"/>
        <v>430096</v>
      </c>
      <c r="M447" s="725">
        <f t="shared" si="188"/>
        <v>779534</v>
      </c>
      <c r="N447" s="725">
        <f t="shared" si="188"/>
        <v>19086</v>
      </c>
      <c r="O447" s="725">
        <f t="shared" si="188"/>
        <v>1228716</v>
      </c>
    </row>
    <row r="448" spans="1:16" ht="17.25" thickTop="1" thickBot="1" x14ac:dyDescent="0.3">
      <c r="A448" s="712"/>
      <c r="B448" s="725" t="s">
        <v>377</v>
      </c>
      <c r="C448" s="725">
        <f t="shared" ref="C448:O448" si="189">+C439+C445</f>
        <v>0</v>
      </c>
      <c r="D448" s="725">
        <f t="shared" si="189"/>
        <v>0</v>
      </c>
      <c r="E448" s="725">
        <f t="shared" si="189"/>
        <v>0</v>
      </c>
      <c r="F448" s="725">
        <f t="shared" si="189"/>
        <v>0</v>
      </c>
      <c r="G448" s="725">
        <f t="shared" si="189"/>
        <v>0</v>
      </c>
      <c r="H448" s="725">
        <f t="shared" si="189"/>
        <v>0</v>
      </c>
      <c r="I448" s="725">
        <f t="shared" si="189"/>
        <v>0</v>
      </c>
      <c r="J448" s="725">
        <f t="shared" si="189"/>
        <v>0</v>
      </c>
      <c r="K448" s="725">
        <f t="shared" si="189"/>
        <v>0</v>
      </c>
      <c r="L448" s="725">
        <f t="shared" si="189"/>
        <v>0</v>
      </c>
      <c r="M448" s="725">
        <f t="shared" si="189"/>
        <v>4459</v>
      </c>
      <c r="N448" s="725">
        <f t="shared" si="189"/>
        <v>0</v>
      </c>
      <c r="O448" s="725">
        <f t="shared" si="189"/>
        <v>4459</v>
      </c>
    </row>
    <row r="449" spans="1:15" ht="16.5" thickTop="1" x14ac:dyDescent="0.25">
      <c r="A449" s="716" t="s">
        <v>15</v>
      </c>
      <c r="B449" s="726" t="s">
        <v>391</v>
      </c>
      <c r="C449" s="726"/>
      <c r="D449" s="726"/>
      <c r="E449" s="726"/>
      <c r="F449" s="726"/>
      <c r="G449" s="726"/>
      <c r="H449" s="726"/>
      <c r="I449" s="726"/>
      <c r="J449" s="726"/>
      <c r="K449" s="726"/>
      <c r="L449" s="726"/>
      <c r="M449" s="726"/>
      <c r="N449" s="726"/>
      <c r="O449" s="726"/>
    </row>
    <row r="450" spans="1:15" x14ac:dyDescent="0.25">
      <c r="A450" s="716"/>
      <c r="B450" s="718" t="s">
        <v>347</v>
      </c>
      <c r="C450" s="718">
        <f t="shared" ref="C450:E450" si="190">SUM(C451)</f>
        <v>5166</v>
      </c>
      <c r="D450" s="718">
        <f t="shared" si="190"/>
        <v>0</v>
      </c>
      <c r="E450" s="718">
        <f t="shared" si="190"/>
        <v>0</v>
      </c>
      <c r="F450" s="718">
        <f>SUM(F451)</f>
        <v>350</v>
      </c>
      <c r="G450" s="718"/>
      <c r="H450" s="718"/>
      <c r="I450" s="718"/>
      <c r="J450" s="718">
        <f>SUM(C450+E450+F450+H450)</f>
        <v>5516</v>
      </c>
      <c r="K450" s="718">
        <f>SUM(D450+G450+I450)</f>
        <v>0</v>
      </c>
      <c r="L450" s="718">
        <f>SUM(J450:K450)</f>
        <v>5516</v>
      </c>
      <c r="M450" s="718">
        <f>SUM(M451)</f>
        <v>82643</v>
      </c>
      <c r="N450" s="718">
        <f>SUM(N451)</f>
        <v>1505</v>
      </c>
      <c r="O450" s="718">
        <f>SUM(L450:N450)</f>
        <v>89664</v>
      </c>
    </row>
    <row r="451" spans="1:15" s="722" customFormat="1" x14ac:dyDescent="0.25">
      <c r="A451" s="719"/>
      <c r="B451" s="720" t="s">
        <v>386</v>
      </c>
      <c r="C451" s="720">
        <v>5166</v>
      </c>
      <c r="D451" s="720"/>
      <c r="E451" s="720"/>
      <c r="F451" s="720">
        <v>350</v>
      </c>
      <c r="G451" s="720"/>
      <c r="H451" s="720"/>
      <c r="I451" s="720"/>
      <c r="J451" s="721">
        <f>SUM(C451+E451+F451+H451)</f>
        <v>5516</v>
      </c>
      <c r="K451" s="721">
        <f>SUM(D451+G451+I451)</f>
        <v>0</v>
      </c>
      <c r="L451" s="721">
        <f>SUM(J451:K451)</f>
        <v>5516</v>
      </c>
      <c r="M451" s="721">
        <v>82643</v>
      </c>
      <c r="N451" s="721">
        <v>1505</v>
      </c>
      <c r="O451" s="721">
        <f>SUM(L451:N451)</f>
        <v>89664</v>
      </c>
    </row>
    <row r="452" spans="1:15" s="722" customFormat="1" x14ac:dyDescent="0.25">
      <c r="A452" s="719"/>
      <c r="B452" s="720" t="s">
        <v>132</v>
      </c>
      <c r="C452" s="720"/>
      <c r="D452" s="720"/>
      <c r="E452" s="720"/>
      <c r="F452" s="720"/>
      <c r="G452" s="720"/>
      <c r="H452" s="720"/>
      <c r="I452" s="720"/>
      <c r="J452" s="721"/>
      <c r="K452" s="721"/>
      <c r="L452" s="721"/>
      <c r="M452" s="721"/>
      <c r="N452" s="721"/>
      <c r="O452" s="721"/>
    </row>
    <row r="453" spans="1:15" s="722" customFormat="1" ht="48.75" customHeight="1" x14ac:dyDescent="0.25">
      <c r="A453" s="719"/>
      <c r="B453" s="974" t="s">
        <v>1517</v>
      </c>
      <c r="C453" s="723"/>
      <c r="D453" s="723"/>
      <c r="E453" s="723"/>
      <c r="F453" s="723"/>
      <c r="G453" s="723"/>
      <c r="H453" s="723"/>
      <c r="I453" s="723"/>
      <c r="J453" s="723">
        <f t="shared" ref="J453:J455" si="191">SUM(C453+E453+F453+H453)</f>
        <v>0</v>
      </c>
      <c r="K453" s="723">
        <f t="shared" ref="K453:K455" si="192">SUM(D453+G453+I453)</f>
        <v>0</v>
      </c>
      <c r="L453" s="723">
        <f t="shared" ref="L453:L455" si="193">SUM(J453:K453)</f>
        <v>0</v>
      </c>
      <c r="M453" s="723">
        <v>2654</v>
      </c>
      <c r="N453" s="723"/>
      <c r="O453" s="723">
        <f t="shared" ref="O453:O455" si="194">SUM(L453:N453)</f>
        <v>2654</v>
      </c>
    </row>
    <row r="454" spans="1:15" x14ac:dyDescent="0.25">
      <c r="A454" s="716"/>
      <c r="B454" s="723" t="s">
        <v>1330</v>
      </c>
      <c r="C454" s="723"/>
      <c r="D454" s="723"/>
      <c r="E454" s="723"/>
      <c r="F454" s="723"/>
      <c r="G454" s="723"/>
      <c r="H454" s="723"/>
      <c r="I454" s="723"/>
      <c r="J454" s="718">
        <f t="shared" si="191"/>
        <v>0</v>
      </c>
      <c r="K454" s="718">
        <f t="shared" si="192"/>
        <v>0</v>
      </c>
      <c r="L454" s="718">
        <f t="shared" si="193"/>
        <v>0</v>
      </c>
      <c r="M454" s="718">
        <v>288</v>
      </c>
      <c r="N454" s="718"/>
      <c r="O454" s="718">
        <f t="shared" si="194"/>
        <v>288</v>
      </c>
    </row>
    <row r="455" spans="1:15" ht="32.25" thickBot="1" x14ac:dyDescent="0.3">
      <c r="A455" s="716"/>
      <c r="B455" s="731" t="s">
        <v>1426</v>
      </c>
      <c r="C455" s="723"/>
      <c r="D455" s="723"/>
      <c r="E455" s="723"/>
      <c r="F455" s="723"/>
      <c r="G455" s="723"/>
      <c r="H455" s="723"/>
      <c r="I455" s="723"/>
      <c r="J455" s="718">
        <f t="shared" si="191"/>
        <v>0</v>
      </c>
      <c r="K455" s="718">
        <f t="shared" si="192"/>
        <v>0</v>
      </c>
      <c r="L455" s="718">
        <f t="shared" si="193"/>
        <v>0</v>
      </c>
      <c r="M455" s="718">
        <v>-736</v>
      </c>
      <c r="N455" s="718"/>
      <c r="O455" s="718">
        <f t="shared" si="194"/>
        <v>-736</v>
      </c>
    </row>
    <row r="456" spans="1:15" ht="17.25" thickTop="1" thickBot="1" x14ac:dyDescent="0.3">
      <c r="A456" s="712"/>
      <c r="B456" s="725" t="s">
        <v>379</v>
      </c>
      <c r="C456" s="725">
        <f>+C450+C453+C454+C455</f>
        <v>5166</v>
      </c>
      <c r="D456" s="725">
        <f t="shared" ref="D456:O456" si="195">+D450+D453+D454+D455</f>
        <v>0</v>
      </c>
      <c r="E456" s="725">
        <f t="shared" si="195"/>
        <v>0</v>
      </c>
      <c r="F456" s="725">
        <f t="shared" si="195"/>
        <v>350</v>
      </c>
      <c r="G456" s="725">
        <f t="shared" si="195"/>
        <v>0</v>
      </c>
      <c r="H456" s="725">
        <f t="shared" si="195"/>
        <v>0</v>
      </c>
      <c r="I456" s="725">
        <f t="shared" si="195"/>
        <v>0</v>
      </c>
      <c r="J456" s="725">
        <f t="shared" si="195"/>
        <v>5516</v>
      </c>
      <c r="K456" s="725">
        <f t="shared" si="195"/>
        <v>0</v>
      </c>
      <c r="L456" s="725">
        <f t="shared" si="195"/>
        <v>5516</v>
      </c>
      <c r="M456" s="725">
        <f t="shared" si="195"/>
        <v>84849</v>
      </c>
      <c r="N456" s="725">
        <f t="shared" si="195"/>
        <v>1505</v>
      </c>
      <c r="O456" s="725">
        <f t="shared" si="195"/>
        <v>91870</v>
      </c>
    </row>
    <row r="457" spans="1:15" ht="17.25" thickTop="1" thickBot="1" x14ac:dyDescent="0.3">
      <c r="A457" s="712"/>
      <c r="B457" s="725" t="s">
        <v>385</v>
      </c>
      <c r="C457" s="725">
        <f>+C451+C453+C454+C455</f>
        <v>5166</v>
      </c>
      <c r="D457" s="725">
        <f t="shared" ref="D457:O457" si="196">+D451+D453+D454+D455</f>
        <v>0</v>
      </c>
      <c r="E457" s="725">
        <f t="shared" si="196"/>
        <v>0</v>
      </c>
      <c r="F457" s="725">
        <f t="shared" si="196"/>
        <v>350</v>
      </c>
      <c r="G457" s="725">
        <f t="shared" si="196"/>
        <v>0</v>
      </c>
      <c r="H457" s="725">
        <f t="shared" si="196"/>
        <v>0</v>
      </c>
      <c r="I457" s="725">
        <f t="shared" si="196"/>
        <v>0</v>
      </c>
      <c r="J457" s="725">
        <f t="shared" si="196"/>
        <v>5516</v>
      </c>
      <c r="K457" s="725">
        <f t="shared" si="196"/>
        <v>0</v>
      </c>
      <c r="L457" s="725">
        <f t="shared" si="196"/>
        <v>5516</v>
      </c>
      <c r="M457" s="725">
        <f t="shared" si="196"/>
        <v>84849</v>
      </c>
      <c r="N457" s="725">
        <f t="shared" si="196"/>
        <v>1505</v>
      </c>
      <c r="O457" s="725">
        <f t="shared" si="196"/>
        <v>91870</v>
      </c>
    </row>
    <row r="458" spans="1:15" ht="16.5" thickTop="1" x14ac:dyDescent="0.25">
      <c r="A458" s="716" t="s">
        <v>16</v>
      </c>
      <c r="B458" s="726" t="s">
        <v>390</v>
      </c>
      <c r="C458" s="726"/>
      <c r="D458" s="726"/>
      <c r="E458" s="726"/>
      <c r="F458" s="726"/>
      <c r="G458" s="726"/>
      <c r="H458" s="726"/>
      <c r="I458" s="726"/>
      <c r="J458" s="726"/>
      <c r="K458" s="726"/>
      <c r="L458" s="726"/>
      <c r="M458" s="726"/>
      <c r="N458" s="726"/>
      <c r="O458" s="726"/>
    </row>
    <row r="459" spans="1:15" x14ac:dyDescent="0.25">
      <c r="A459" s="716"/>
      <c r="B459" s="749" t="s">
        <v>347</v>
      </c>
      <c r="C459" s="749">
        <f>SUM(C460:C461)</f>
        <v>24316</v>
      </c>
      <c r="D459" s="749">
        <f t="shared" ref="D459:E459" si="197">SUM(D460:D461)</f>
        <v>0</v>
      </c>
      <c r="E459" s="749">
        <f t="shared" si="197"/>
        <v>0</v>
      </c>
      <c r="F459" s="749">
        <f>SUM(F460:F461)</f>
        <v>8970</v>
      </c>
      <c r="G459" s="749">
        <f t="shared" ref="G459:J459" si="198">SUM(G460:G461)</f>
        <v>0</v>
      </c>
      <c r="H459" s="749">
        <f t="shared" si="198"/>
        <v>50</v>
      </c>
      <c r="I459" s="749">
        <f t="shared" si="198"/>
        <v>0</v>
      </c>
      <c r="J459" s="749">
        <f t="shared" si="198"/>
        <v>33336</v>
      </c>
      <c r="K459" s="749">
        <f>SUM(D459+G459+I459)</f>
        <v>0</v>
      </c>
      <c r="L459" s="749">
        <f>SUM(J459:K459)</f>
        <v>33336</v>
      </c>
      <c r="M459" s="749">
        <f>SUM(M460:M461)</f>
        <v>368997</v>
      </c>
      <c r="N459" s="749">
        <f>SUM(N460:N461)</f>
        <v>27909</v>
      </c>
      <c r="O459" s="749">
        <f>SUM(L459:N459)</f>
        <v>430242</v>
      </c>
    </row>
    <row r="460" spans="1:15" s="722" customFormat="1" x14ac:dyDescent="0.25">
      <c r="A460" s="719"/>
      <c r="B460" s="744" t="s">
        <v>381</v>
      </c>
      <c r="C460" s="744">
        <v>23716</v>
      </c>
      <c r="D460" s="744"/>
      <c r="E460" s="744"/>
      <c r="F460" s="744">
        <v>8970</v>
      </c>
      <c r="G460" s="744"/>
      <c r="H460" s="744"/>
      <c r="I460" s="744"/>
      <c r="J460" s="746">
        <f>SUM(C460+E460+F460+H460)</f>
        <v>32686</v>
      </c>
      <c r="K460" s="746">
        <f>SUM(D460+G460+I460)</f>
        <v>0</v>
      </c>
      <c r="L460" s="746">
        <f>SUM(J460:K460)</f>
        <v>32686</v>
      </c>
      <c r="M460" s="746">
        <v>364768</v>
      </c>
      <c r="N460" s="746">
        <v>27909</v>
      </c>
      <c r="O460" s="746">
        <f>SUM(L460:N460)</f>
        <v>425363</v>
      </c>
    </row>
    <row r="461" spans="1:15" s="722" customFormat="1" x14ac:dyDescent="0.25">
      <c r="A461" s="719"/>
      <c r="B461" s="720" t="s">
        <v>380</v>
      </c>
      <c r="C461" s="720">
        <v>600</v>
      </c>
      <c r="D461" s="720"/>
      <c r="E461" s="720"/>
      <c r="F461" s="720"/>
      <c r="G461" s="720"/>
      <c r="H461" s="720">
        <v>50</v>
      </c>
      <c r="I461" s="720"/>
      <c r="J461" s="720">
        <f>SUM(C461+E461+F461+H461)</f>
        <v>650</v>
      </c>
      <c r="K461" s="720">
        <f>SUM(D461+G461+I461)</f>
        <v>0</v>
      </c>
      <c r="L461" s="720">
        <f>SUM(J461:K461)</f>
        <v>650</v>
      </c>
      <c r="M461" s="720">
        <v>4229</v>
      </c>
      <c r="N461" s="720"/>
      <c r="O461" s="720">
        <f>SUM(L461:N461)</f>
        <v>4879</v>
      </c>
    </row>
    <row r="462" spans="1:15" s="722" customFormat="1" x14ac:dyDescent="0.25">
      <c r="A462" s="719"/>
      <c r="B462" s="720" t="s">
        <v>131</v>
      </c>
      <c r="C462" s="720"/>
      <c r="D462" s="720"/>
      <c r="E462" s="720"/>
      <c r="F462" s="720"/>
      <c r="G462" s="720"/>
      <c r="H462" s="720"/>
      <c r="I462" s="720"/>
      <c r="J462" s="720"/>
      <c r="K462" s="720"/>
      <c r="L462" s="720"/>
      <c r="M462" s="720"/>
      <c r="N462" s="720"/>
      <c r="O462" s="720"/>
    </row>
    <row r="463" spans="1:15" s="722" customFormat="1" ht="31.5" x14ac:dyDescent="0.25">
      <c r="A463" s="719"/>
      <c r="B463" s="723" t="s">
        <v>1425</v>
      </c>
      <c r="C463" s="720"/>
      <c r="D463" s="720"/>
      <c r="E463" s="720"/>
      <c r="F463" s="720"/>
      <c r="G463" s="720"/>
      <c r="H463" s="720"/>
      <c r="I463" s="720"/>
      <c r="J463" s="723">
        <f t="shared" ref="J463:J473" si="199">SUM(C463+E463+F463+H463)</f>
        <v>0</v>
      </c>
      <c r="K463" s="723">
        <f t="shared" ref="K463:K473" si="200">SUM(D463+G463+I463)</f>
        <v>0</v>
      </c>
      <c r="L463" s="723">
        <f t="shared" ref="L463:L473" si="201">SUM(J463:K463)</f>
        <v>0</v>
      </c>
      <c r="M463" s="723">
        <v>145</v>
      </c>
      <c r="N463" s="723"/>
      <c r="O463" s="723">
        <f t="shared" ref="O463:O473" si="202">SUM(L463:N463)</f>
        <v>145</v>
      </c>
    </row>
    <row r="464" spans="1:15" s="722" customFormat="1" ht="50.25" customHeight="1" x14ac:dyDescent="0.25">
      <c r="A464" s="719"/>
      <c r="B464" s="974" t="s">
        <v>1517</v>
      </c>
      <c r="C464" s="720"/>
      <c r="D464" s="720"/>
      <c r="E464" s="720"/>
      <c r="F464" s="720"/>
      <c r="G464" s="720"/>
      <c r="H464" s="720"/>
      <c r="I464" s="720"/>
      <c r="J464" s="723">
        <f t="shared" si="199"/>
        <v>0</v>
      </c>
      <c r="K464" s="723">
        <f t="shared" si="200"/>
        <v>0</v>
      </c>
      <c r="L464" s="723">
        <f t="shared" si="201"/>
        <v>0</v>
      </c>
      <c r="M464" s="723">
        <v>15223</v>
      </c>
      <c r="N464" s="723"/>
      <c r="O464" s="723">
        <f t="shared" si="202"/>
        <v>15223</v>
      </c>
    </row>
    <row r="465" spans="1:16" s="722" customFormat="1" ht="63" x14ac:dyDescent="0.25">
      <c r="A465" s="719"/>
      <c r="B465" s="723" t="s">
        <v>1326</v>
      </c>
      <c r="C465" s="720"/>
      <c r="D465" s="720"/>
      <c r="E465" s="720"/>
      <c r="F465" s="720"/>
      <c r="G465" s="720"/>
      <c r="H465" s="720"/>
      <c r="I465" s="720"/>
      <c r="J465" s="723">
        <f t="shared" si="199"/>
        <v>0</v>
      </c>
      <c r="K465" s="723">
        <f t="shared" si="200"/>
        <v>0</v>
      </c>
      <c r="L465" s="723">
        <f t="shared" si="201"/>
        <v>0</v>
      </c>
      <c r="M465" s="723">
        <v>269</v>
      </c>
      <c r="N465" s="723"/>
      <c r="O465" s="723">
        <f t="shared" si="202"/>
        <v>269</v>
      </c>
    </row>
    <row r="466" spans="1:16" s="722" customFormat="1" ht="31.5" x14ac:dyDescent="0.25">
      <c r="A466" s="719"/>
      <c r="B466" s="724" t="s">
        <v>960</v>
      </c>
      <c r="C466" s="723"/>
      <c r="D466" s="720"/>
      <c r="E466" s="720"/>
      <c r="F466" s="723"/>
      <c r="G466" s="720"/>
      <c r="H466" s="723"/>
      <c r="I466" s="720"/>
      <c r="J466" s="723">
        <f t="shared" si="199"/>
        <v>0</v>
      </c>
      <c r="K466" s="723">
        <f t="shared" si="200"/>
        <v>0</v>
      </c>
      <c r="L466" s="723">
        <f t="shared" si="201"/>
        <v>0</v>
      </c>
      <c r="M466" s="723">
        <v>60562</v>
      </c>
      <c r="N466" s="723"/>
      <c r="O466" s="723">
        <f t="shared" si="202"/>
        <v>60562</v>
      </c>
    </row>
    <row r="467" spans="1:16" s="722" customFormat="1" ht="31.5" x14ac:dyDescent="0.25">
      <c r="A467" s="719"/>
      <c r="B467" s="731" t="s">
        <v>1426</v>
      </c>
      <c r="C467" s="723"/>
      <c r="D467" s="720"/>
      <c r="E467" s="720"/>
      <c r="F467" s="723"/>
      <c r="G467" s="720"/>
      <c r="H467" s="723"/>
      <c r="I467" s="720"/>
      <c r="J467" s="723">
        <f t="shared" si="199"/>
        <v>0</v>
      </c>
      <c r="K467" s="723">
        <f t="shared" si="200"/>
        <v>0</v>
      </c>
      <c r="L467" s="723">
        <f t="shared" si="201"/>
        <v>0</v>
      </c>
      <c r="M467" s="723">
        <v>-3550</v>
      </c>
      <c r="N467" s="723"/>
      <c r="O467" s="723">
        <f t="shared" si="202"/>
        <v>-3550</v>
      </c>
    </row>
    <row r="468" spans="1:16" s="722" customFormat="1" ht="78.75" x14ac:dyDescent="0.25">
      <c r="A468" s="719"/>
      <c r="B468" s="723" t="s">
        <v>1449</v>
      </c>
      <c r="C468" s="723"/>
      <c r="D468" s="720"/>
      <c r="E468" s="720"/>
      <c r="F468" s="723"/>
      <c r="G468" s="720"/>
      <c r="H468" s="723"/>
      <c r="I468" s="720"/>
      <c r="J468" s="723">
        <f t="shared" si="199"/>
        <v>0</v>
      </c>
      <c r="K468" s="723">
        <f t="shared" si="200"/>
        <v>0</v>
      </c>
      <c r="L468" s="723">
        <f t="shared" si="201"/>
        <v>0</v>
      </c>
      <c r="M468" s="723">
        <v>13681</v>
      </c>
      <c r="N468" s="723"/>
      <c r="O468" s="723">
        <f t="shared" si="202"/>
        <v>13681</v>
      </c>
    </row>
    <row r="469" spans="1:16" s="722" customFormat="1" x14ac:dyDescent="0.25">
      <c r="A469" s="719"/>
      <c r="B469" s="720" t="s">
        <v>132</v>
      </c>
      <c r="C469" s="720"/>
      <c r="D469" s="720"/>
      <c r="E469" s="720"/>
      <c r="F469" s="720"/>
      <c r="G469" s="720"/>
      <c r="H469" s="720"/>
      <c r="I469" s="720"/>
      <c r="J469" s="720"/>
      <c r="K469" s="720"/>
      <c r="L469" s="720"/>
      <c r="M469" s="720"/>
      <c r="N469" s="720"/>
      <c r="O469" s="720"/>
    </row>
    <row r="470" spans="1:16" s="722" customFormat="1" x14ac:dyDescent="0.25">
      <c r="A470" s="719"/>
      <c r="B470" s="723" t="s">
        <v>1330</v>
      </c>
      <c r="C470" s="720"/>
      <c r="D470" s="720"/>
      <c r="E470" s="720"/>
      <c r="F470" s="720"/>
      <c r="G470" s="720"/>
      <c r="H470" s="720"/>
      <c r="I470" s="720"/>
      <c r="J470" s="723">
        <f t="shared" si="199"/>
        <v>0</v>
      </c>
      <c r="K470" s="723">
        <f t="shared" si="200"/>
        <v>0</v>
      </c>
      <c r="L470" s="723">
        <f t="shared" si="201"/>
        <v>0</v>
      </c>
      <c r="M470" s="723">
        <v>2061</v>
      </c>
      <c r="N470" s="723"/>
      <c r="O470" s="723">
        <f t="shared" si="202"/>
        <v>2061</v>
      </c>
    </row>
    <row r="471" spans="1:16" s="722" customFormat="1" ht="78.75" x14ac:dyDescent="0.25">
      <c r="A471" s="719"/>
      <c r="B471" s="723" t="s">
        <v>1450</v>
      </c>
      <c r="C471" s="720"/>
      <c r="D471" s="720"/>
      <c r="E471" s="720"/>
      <c r="F471" s="720"/>
      <c r="G471" s="720"/>
      <c r="H471" s="720"/>
      <c r="I471" s="720"/>
      <c r="J471" s="723">
        <f t="shared" si="199"/>
        <v>0</v>
      </c>
      <c r="K471" s="723">
        <f t="shared" si="200"/>
        <v>0</v>
      </c>
      <c r="L471" s="723">
        <f t="shared" si="201"/>
        <v>0</v>
      </c>
      <c r="M471" s="723">
        <v>40</v>
      </c>
      <c r="N471" s="723"/>
      <c r="O471" s="723">
        <f t="shared" si="202"/>
        <v>40</v>
      </c>
    </row>
    <row r="472" spans="1:16" s="722" customFormat="1" ht="31.5" x14ac:dyDescent="0.25">
      <c r="A472" s="719"/>
      <c r="B472" s="723" t="s">
        <v>961</v>
      </c>
      <c r="C472" s="723">
        <v>2558</v>
      </c>
      <c r="D472" s="723">
        <v>2866</v>
      </c>
      <c r="E472" s="723"/>
      <c r="F472" s="723"/>
      <c r="G472" s="723"/>
      <c r="H472" s="723">
        <v>70</v>
      </c>
      <c r="I472" s="723"/>
      <c r="J472" s="723">
        <f t="shared" si="199"/>
        <v>2628</v>
      </c>
      <c r="K472" s="723">
        <f t="shared" si="200"/>
        <v>2866</v>
      </c>
      <c r="L472" s="723">
        <f t="shared" si="201"/>
        <v>5494</v>
      </c>
      <c r="M472" s="723"/>
      <c r="N472" s="723"/>
      <c r="O472" s="723">
        <f t="shared" si="202"/>
        <v>5494</v>
      </c>
    </row>
    <row r="473" spans="1:16" s="722" customFormat="1" ht="95.25" thickBot="1" x14ac:dyDescent="0.3">
      <c r="A473" s="719"/>
      <c r="B473" s="723" t="s">
        <v>1451</v>
      </c>
      <c r="C473" s="723"/>
      <c r="D473" s="720"/>
      <c r="E473" s="720"/>
      <c r="F473" s="720"/>
      <c r="G473" s="720"/>
      <c r="H473" s="723"/>
      <c r="I473" s="720"/>
      <c r="J473" s="723">
        <f t="shared" si="199"/>
        <v>0</v>
      </c>
      <c r="K473" s="723">
        <f t="shared" si="200"/>
        <v>0</v>
      </c>
      <c r="L473" s="723">
        <f t="shared" si="201"/>
        <v>0</v>
      </c>
      <c r="M473" s="723">
        <v>100</v>
      </c>
      <c r="N473" s="723"/>
      <c r="O473" s="723">
        <f t="shared" si="202"/>
        <v>100</v>
      </c>
    </row>
    <row r="474" spans="1:16" ht="17.25" thickTop="1" thickBot="1" x14ac:dyDescent="0.3">
      <c r="A474" s="712"/>
      <c r="B474" s="725" t="s">
        <v>379</v>
      </c>
      <c r="C474" s="725">
        <f>+C459+C463+C470+C464+C465+C466+C471+C472+C467+C468+C473</f>
        <v>26874</v>
      </c>
      <c r="D474" s="725">
        <f t="shared" ref="D474:O474" si="203">+D459+D463+D470+D464+D465+D466+D471+D472+D467+D468+D473</f>
        <v>2866</v>
      </c>
      <c r="E474" s="725">
        <f t="shared" si="203"/>
        <v>0</v>
      </c>
      <c r="F474" s="725">
        <f t="shared" si="203"/>
        <v>8970</v>
      </c>
      <c r="G474" s="725">
        <f t="shared" si="203"/>
        <v>0</v>
      </c>
      <c r="H474" s="725">
        <f t="shared" si="203"/>
        <v>120</v>
      </c>
      <c r="I474" s="725">
        <f t="shared" si="203"/>
        <v>0</v>
      </c>
      <c r="J474" s="725">
        <f t="shared" si="203"/>
        <v>35964</v>
      </c>
      <c r="K474" s="725">
        <f t="shared" si="203"/>
        <v>2866</v>
      </c>
      <c r="L474" s="725">
        <f t="shared" si="203"/>
        <v>38830</v>
      </c>
      <c r="M474" s="725">
        <f t="shared" si="203"/>
        <v>457528</v>
      </c>
      <c r="N474" s="725">
        <f t="shared" si="203"/>
        <v>27909</v>
      </c>
      <c r="O474" s="725">
        <f t="shared" si="203"/>
        <v>524267</v>
      </c>
      <c r="P474" s="703">
        <f>O475+O476</f>
        <v>524267</v>
      </c>
    </row>
    <row r="475" spans="1:16" ht="17.25" thickTop="1" thickBot="1" x14ac:dyDescent="0.3">
      <c r="A475" s="712"/>
      <c r="B475" s="725" t="s">
        <v>378</v>
      </c>
      <c r="C475" s="725">
        <f>+C460+C463+C464+C465+C466+C467+C468</f>
        <v>23716</v>
      </c>
      <c r="D475" s="725">
        <f t="shared" ref="D475:O475" si="204">+D460+D463+D464+D465+D466+D467+D468</f>
        <v>0</v>
      </c>
      <c r="E475" s="725">
        <f t="shared" si="204"/>
        <v>0</v>
      </c>
      <c r="F475" s="725">
        <f t="shared" si="204"/>
        <v>8970</v>
      </c>
      <c r="G475" s="725">
        <f t="shared" si="204"/>
        <v>0</v>
      </c>
      <c r="H475" s="725">
        <f t="shared" si="204"/>
        <v>0</v>
      </c>
      <c r="I475" s="725">
        <f t="shared" si="204"/>
        <v>0</v>
      </c>
      <c r="J475" s="725">
        <f t="shared" si="204"/>
        <v>32686</v>
      </c>
      <c r="K475" s="725">
        <f t="shared" si="204"/>
        <v>0</v>
      </c>
      <c r="L475" s="725">
        <f t="shared" si="204"/>
        <v>32686</v>
      </c>
      <c r="M475" s="725">
        <f t="shared" si="204"/>
        <v>451098</v>
      </c>
      <c r="N475" s="725">
        <f t="shared" si="204"/>
        <v>27909</v>
      </c>
      <c r="O475" s="725">
        <f t="shared" si="204"/>
        <v>511693</v>
      </c>
    </row>
    <row r="476" spans="1:16" ht="17.25" thickTop="1" thickBot="1" x14ac:dyDescent="0.3">
      <c r="A476" s="712"/>
      <c r="B476" s="725" t="s">
        <v>377</v>
      </c>
      <c r="C476" s="725">
        <f t="shared" ref="C476:O476" si="205">+C461+C470+C471+C472+C473</f>
        <v>3158</v>
      </c>
      <c r="D476" s="725">
        <f t="shared" si="205"/>
        <v>2866</v>
      </c>
      <c r="E476" s="725">
        <f t="shared" si="205"/>
        <v>0</v>
      </c>
      <c r="F476" s="725">
        <f t="shared" si="205"/>
        <v>0</v>
      </c>
      <c r="G476" s="725">
        <f t="shared" si="205"/>
        <v>0</v>
      </c>
      <c r="H476" s="725">
        <f t="shared" si="205"/>
        <v>120</v>
      </c>
      <c r="I476" s="725">
        <f t="shared" si="205"/>
        <v>0</v>
      </c>
      <c r="J476" s="725">
        <f t="shared" si="205"/>
        <v>3278</v>
      </c>
      <c r="K476" s="725">
        <f t="shared" si="205"/>
        <v>2866</v>
      </c>
      <c r="L476" s="725">
        <f t="shared" si="205"/>
        <v>6144</v>
      </c>
      <c r="M476" s="725">
        <f t="shared" si="205"/>
        <v>6430</v>
      </c>
      <c r="N476" s="725">
        <f t="shared" si="205"/>
        <v>0</v>
      </c>
      <c r="O476" s="725">
        <f t="shared" si="205"/>
        <v>12574</v>
      </c>
    </row>
    <row r="477" spans="1:16" ht="16.5" thickTop="1" x14ac:dyDescent="0.25">
      <c r="A477" s="716" t="s">
        <v>17</v>
      </c>
      <c r="B477" s="726" t="s">
        <v>389</v>
      </c>
      <c r="C477" s="726"/>
      <c r="D477" s="726"/>
      <c r="E477" s="726"/>
      <c r="F477" s="726"/>
      <c r="G477" s="726"/>
      <c r="H477" s="726"/>
      <c r="I477" s="726"/>
      <c r="J477" s="726"/>
      <c r="K477" s="726"/>
      <c r="L477" s="726"/>
      <c r="M477" s="726"/>
      <c r="N477" s="726"/>
      <c r="O477" s="726"/>
    </row>
    <row r="478" spans="1:16" x14ac:dyDescent="0.25">
      <c r="A478" s="716"/>
      <c r="B478" s="718" t="s">
        <v>347</v>
      </c>
      <c r="C478" s="718">
        <f t="shared" ref="C478:E478" si="206">SUM(C479:C480)</f>
        <v>55236</v>
      </c>
      <c r="D478" s="718">
        <f t="shared" si="206"/>
        <v>0</v>
      </c>
      <c r="E478" s="718">
        <f t="shared" si="206"/>
        <v>0</v>
      </c>
      <c r="F478" s="718">
        <f>SUM(F479:F480)</f>
        <v>85998</v>
      </c>
      <c r="G478" s="718"/>
      <c r="H478" s="718"/>
      <c r="I478" s="718"/>
      <c r="J478" s="718">
        <f>SUM(C478+E478+F478+H478)</f>
        <v>141234</v>
      </c>
      <c r="K478" s="718">
        <f>SUM(D478+G478+I478)</f>
        <v>0</v>
      </c>
      <c r="L478" s="718">
        <f>SUM(J478:K478)</f>
        <v>141234</v>
      </c>
      <c r="M478" s="718">
        <f>SUM(M479:M480)</f>
        <v>701861</v>
      </c>
      <c r="N478" s="718">
        <f>SUM(N479:N480)</f>
        <v>105047</v>
      </c>
      <c r="O478" s="718">
        <f>SUM(L478:N478)</f>
        <v>948142</v>
      </c>
    </row>
    <row r="479" spans="1:16" s="722" customFormat="1" x14ac:dyDescent="0.25">
      <c r="A479" s="719"/>
      <c r="B479" s="720" t="s">
        <v>381</v>
      </c>
      <c r="C479" s="720">
        <v>55221</v>
      </c>
      <c r="D479" s="720"/>
      <c r="E479" s="720"/>
      <c r="F479" s="720">
        <v>85998</v>
      </c>
      <c r="G479" s="720"/>
      <c r="H479" s="720"/>
      <c r="I479" s="720"/>
      <c r="J479" s="721">
        <f>SUM(C479+E479+F479+H479)</f>
        <v>141219</v>
      </c>
      <c r="K479" s="721">
        <f>SUM(D479+G479+I479)</f>
        <v>0</v>
      </c>
      <c r="L479" s="721">
        <f>SUM(J479:K479)</f>
        <v>141219</v>
      </c>
      <c r="M479" s="721">
        <v>696288</v>
      </c>
      <c r="N479" s="721">
        <v>105047</v>
      </c>
      <c r="O479" s="721">
        <f>SUM(L479:N479)</f>
        <v>942554</v>
      </c>
    </row>
    <row r="480" spans="1:16" s="722" customFormat="1" x14ac:dyDescent="0.25">
      <c r="A480" s="719"/>
      <c r="B480" s="720" t="s">
        <v>380</v>
      </c>
      <c r="C480" s="720">
        <v>15</v>
      </c>
      <c r="D480" s="720"/>
      <c r="E480" s="720"/>
      <c r="F480" s="720"/>
      <c r="G480" s="720"/>
      <c r="H480" s="720"/>
      <c r="I480" s="720"/>
      <c r="J480" s="720">
        <f>SUM(C480+E480+F480+H480)</f>
        <v>15</v>
      </c>
      <c r="K480" s="720">
        <f>SUM(D480+G480+I480)</f>
        <v>0</v>
      </c>
      <c r="L480" s="720">
        <f>SUM(J480:K480)</f>
        <v>15</v>
      </c>
      <c r="M480" s="720">
        <v>5573</v>
      </c>
      <c r="N480" s="720"/>
      <c r="O480" s="720">
        <f>SUM(L480:N480)</f>
        <v>5588</v>
      </c>
    </row>
    <row r="481" spans="1:16" x14ac:dyDescent="0.25">
      <c r="A481" s="727"/>
      <c r="B481" s="729" t="s">
        <v>131</v>
      </c>
      <c r="C481" s="729"/>
      <c r="D481" s="729"/>
      <c r="E481" s="729"/>
      <c r="F481" s="729"/>
      <c r="G481" s="729"/>
      <c r="H481" s="729"/>
      <c r="I481" s="729"/>
      <c r="J481" s="717"/>
      <c r="K481" s="717"/>
      <c r="L481" s="717"/>
      <c r="M481" s="717"/>
      <c r="N481" s="717"/>
      <c r="O481" s="717"/>
    </row>
    <row r="482" spans="1:16" ht="31.5" x14ac:dyDescent="0.25">
      <c r="A482" s="727"/>
      <c r="B482" s="731" t="s">
        <v>1425</v>
      </c>
      <c r="C482" s="717"/>
      <c r="D482" s="717"/>
      <c r="E482" s="717"/>
      <c r="F482" s="717"/>
      <c r="G482" s="717"/>
      <c r="H482" s="717"/>
      <c r="I482" s="717"/>
      <c r="J482" s="717">
        <f t="shared" ref="J482:J487" si="207">SUM(C482+E482+F482+H482)</f>
        <v>0</v>
      </c>
      <c r="K482" s="717">
        <f t="shared" ref="K482:K487" si="208">SUM(D482+G482+I482)</f>
        <v>0</v>
      </c>
      <c r="L482" s="717">
        <f t="shared" ref="L482:L487" si="209">SUM(J482:K482)</f>
        <v>0</v>
      </c>
      <c r="M482" s="717">
        <v>63</v>
      </c>
      <c r="N482" s="717"/>
      <c r="O482" s="717">
        <f t="shared" ref="O482:O487" si="210">SUM(L482:N482)</f>
        <v>63</v>
      </c>
    </row>
    <row r="483" spans="1:16" ht="51" customHeight="1" x14ac:dyDescent="0.25">
      <c r="A483" s="716"/>
      <c r="B483" s="974" t="s">
        <v>1517</v>
      </c>
      <c r="C483" s="718"/>
      <c r="D483" s="718"/>
      <c r="E483" s="718"/>
      <c r="F483" s="718"/>
      <c r="G483" s="718"/>
      <c r="H483" s="718"/>
      <c r="I483" s="718"/>
      <c r="J483" s="718">
        <f t="shared" si="207"/>
        <v>0</v>
      </c>
      <c r="K483" s="718">
        <f t="shared" si="208"/>
        <v>0</v>
      </c>
      <c r="L483" s="718">
        <f t="shared" si="209"/>
        <v>0</v>
      </c>
      <c r="M483" s="718">
        <v>16827</v>
      </c>
      <c r="N483" s="718"/>
      <c r="O483" s="718">
        <f t="shared" si="210"/>
        <v>16827</v>
      </c>
    </row>
    <row r="484" spans="1:16" ht="31.5" x14ac:dyDescent="0.25">
      <c r="A484" s="716"/>
      <c r="B484" s="731" t="s">
        <v>1426</v>
      </c>
      <c r="C484" s="718"/>
      <c r="D484" s="718"/>
      <c r="E484" s="718"/>
      <c r="F484" s="718"/>
      <c r="G484" s="718"/>
      <c r="H484" s="718"/>
      <c r="I484" s="718"/>
      <c r="J484" s="718">
        <f t="shared" si="207"/>
        <v>0</v>
      </c>
      <c r="K484" s="718">
        <f t="shared" si="208"/>
        <v>0</v>
      </c>
      <c r="L484" s="718">
        <f t="shared" si="209"/>
        <v>0</v>
      </c>
      <c r="M484" s="718">
        <v>-8296</v>
      </c>
      <c r="N484" s="718"/>
      <c r="O484" s="718">
        <f t="shared" si="210"/>
        <v>-8296</v>
      </c>
    </row>
    <row r="485" spans="1:16" ht="78.75" x14ac:dyDescent="0.25">
      <c r="A485" s="716"/>
      <c r="B485" s="723" t="s">
        <v>1449</v>
      </c>
      <c r="C485" s="718"/>
      <c r="D485" s="718"/>
      <c r="E485" s="718"/>
      <c r="F485" s="718"/>
      <c r="G485" s="718"/>
      <c r="H485" s="718"/>
      <c r="I485" s="718"/>
      <c r="J485" s="718">
        <f t="shared" si="207"/>
        <v>0</v>
      </c>
      <c r="K485" s="718">
        <f t="shared" si="208"/>
        <v>0</v>
      </c>
      <c r="L485" s="718">
        <f t="shared" si="209"/>
        <v>0</v>
      </c>
      <c r="M485" s="718">
        <v>13796</v>
      </c>
      <c r="N485" s="718"/>
      <c r="O485" s="718">
        <f t="shared" si="210"/>
        <v>13796</v>
      </c>
    </row>
    <row r="486" spans="1:16" ht="31.5" x14ac:dyDescent="0.25">
      <c r="A486" s="716"/>
      <c r="B486" s="724" t="s">
        <v>1370</v>
      </c>
      <c r="C486" s="718"/>
      <c r="D486" s="718"/>
      <c r="E486" s="718"/>
      <c r="F486" s="718"/>
      <c r="G486" s="718"/>
      <c r="H486" s="718"/>
      <c r="I486" s="718"/>
      <c r="J486" s="718">
        <f t="shared" si="207"/>
        <v>0</v>
      </c>
      <c r="K486" s="718">
        <f t="shared" si="208"/>
        <v>0</v>
      </c>
      <c r="L486" s="718">
        <f t="shared" si="209"/>
        <v>0</v>
      </c>
      <c r="M486" s="718">
        <v>-57404</v>
      </c>
      <c r="N486" s="718"/>
      <c r="O486" s="718">
        <f t="shared" si="210"/>
        <v>-57404</v>
      </c>
    </row>
    <row r="487" spans="1:16" ht="31.5" x14ac:dyDescent="0.25">
      <c r="A487" s="716"/>
      <c r="B487" s="724" t="s">
        <v>1452</v>
      </c>
      <c r="C487" s="718"/>
      <c r="D487" s="718"/>
      <c r="E487" s="718"/>
      <c r="F487" s="718">
        <v>9895</v>
      </c>
      <c r="G487" s="718"/>
      <c r="H487" s="718"/>
      <c r="I487" s="718"/>
      <c r="J487" s="718">
        <f t="shared" si="207"/>
        <v>9895</v>
      </c>
      <c r="K487" s="718">
        <f t="shared" si="208"/>
        <v>0</v>
      </c>
      <c r="L487" s="718">
        <f t="shared" si="209"/>
        <v>9895</v>
      </c>
      <c r="M487" s="718">
        <v>-9895</v>
      </c>
      <c r="N487" s="718"/>
      <c r="O487" s="718">
        <f t="shared" si="210"/>
        <v>0</v>
      </c>
    </row>
    <row r="488" spans="1:16" x14ac:dyDescent="0.25">
      <c r="A488" s="716"/>
      <c r="B488" s="720" t="s">
        <v>132</v>
      </c>
      <c r="C488" s="720"/>
      <c r="D488" s="720"/>
      <c r="E488" s="720"/>
      <c r="F488" s="720"/>
      <c r="G488" s="720"/>
      <c r="H488" s="720"/>
      <c r="I488" s="720"/>
      <c r="J488" s="718"/>
      <c r="K488" s="718"/>
      <c r="L488" s="718"/>
      <c r="M488" s="718"/>
      <c r="N488" s="718"/>
      <c r="O488" s="718"/>
    </row>
    <row r="489" spans="1:16" x14ac:dyDescent="0.25">
      <c r="A489" s="716"/>
      <c r="B489" s="723" t="s">
        <v>1330</v>
      </c>
      <c r="C489" s="718"/>
      <c r="D489" s="718"/>
      <c r="E489" s="718"/>
      <c r="F489" s="718"/>
      <c r="G489" s="718"/>
      <c r="H489" s="718"/>
      <c r="I489" s="718"/>
      <c r="J489" s="718">
        <f>SUM(C489+E489+F489+H489)</f>
        <v>0</v>
      </c>
      <c r="K489" s="718">
        <f>SUM(D489+G489+I489)</f>
        <v>0</v>
      </c>
      <c r="L489" s="718">
        <f>SUM(J489:K489)</f>
        <v>0</v>
      </c>
      <c r="M489" s="718">
        <v>2914</v>
      </c>
      <c r="N489" s="718"/>
      <c r="O489" s="718">
        <f>SUM(L489:N489)</f>
        <v>2914</v>
      </c>
    </row>
    <row r="490" spans="1:16" ht="32.25" thickBot="1" x14ac:dyDescent="0.3">
      <c r="A490" s="716"/>
      <c r="B490" s="723" t="s">
        <v>961</v>
      </c>
      <c r="C490" s="718">
        <v>14</v>
      </c>
      <c r="D490" s="718"/>
      <c r="E490" s="718"/>
      <c r="F490" s="718"/>
      <c r="G490" s="718"/>
      <c r="H490" s="718"/>
      <c r="I490" s="718"/>
      <c r="J490" s="718">
        <f t="shared" ref="J490" si="211">SUM(C490+E490+F490+H490)</f>
        <v>14</v>
      </c>
      <c r="K490" s="718">
        <f t="shared" ref="K490" si="212">SUM(D490+G490+I490)</f>
        <v>0</v>
      </c>
      <c r="L490" s="718">
        <f t="shared" ref="L490" si="213">SUM(J490:K490)</f>
        <v>14</v>
      </c>
      <c r="M490" s="718"/>
      <c r="N490" s="718"/>
      <c r="O490" s="718">
        <f t="shared" ref="O490" si="214">SUM(L490:N490)</f>
        <v>14</v>
      </c>
    </row>
    <row r="491" spans="1:16" ht="17.25" thickTop="1" thickBot="1" x14ac:dyDescent="0.3">
      <c r="A491" s="712"/>
      <c r="B491" s="725" t="s">
        <v>379</v>
      </c>
      <c r="C491" s="725">
        <f>+C478+C482+C483+C489+C484+C490+C485+C486+C487</f>
        <v>55250</v>
      </c>
      <c r="D491" s="725">
        <f t="shared" ref="D491:O491" si="215">+D478+D482+D483+D489+D484+D490+D485+D486+D487</f>
        <v>0</v>
      </c>
      <c r="E491" s="725">
        <f t="shared" si="215"/>
        <v>0</v>
      </c>
      <c r="F491" s="725">
        <f t="shared" si="215"/>
        <v>95893</v>
      </c>
      <c r="G491" s="725">
        <f t="shared" si="215"/>
        <v>0</v>
      </c>
      <c r="H491" s="725">
        <f t="shared" si="215"/>
        <v>0</v>
      </c>
      <c r="I491" s="725">
        <f t="shared" si="215"/>
        <v>0</v>
      </c>
      <c r="J491" s="725">
        <f t="shared" si="215"/>
        <v>151143</v>
      </c>
      <c r="K491" s="725">
        <f t="shared" si="215"/>
        <v>0</v>
      </c>
      <c r="L491" s="725">
        <f t="shared" si="215"/>
        <v>151143</v>
      </c>
      <c r="M491" s="725">
        <f t="shared" si="215"/>
        <v>659866</v>
      </c>
      <c r="N491" s="725">
        <f t="shared" si="215"/>
        <v>105047</v>
      </c>
      <c r="O491" s="725">
        <f t="shared" si="215"/>
        <v>916056</v>
      </c>
      <c r="P491" s="703">
        <f>O492+O493</f>
        <v>916056</v>
      </c>
    </row>
    <row r="492" spans="1:16" ht="17.25" thickTop="1" thickBot="1" x14ac:dyDescent="0.3">
      <c r="A492" s="712"/>
      <c r="B492" s="725" t="s">
        <v>378</v>
      </c>
      <c r="C492" s="725">
        <f>+C479+C482+C483+C484+C485+C486+C487</f>
        <v>55221</v>
      </c>
      <c r="D492" s="725">
        <f t="shared" ref="D492:O492" si="216">+D479+D482+D483+D484+D485+D486+D487</f>
        <v>0</v>
      </c>
      <c r="E492" s="725">
        <f t="shared" si="216"/>
        <v>0</v>
      </c>
      <c r="F492" s="725">
        <f t="shared" si="216"/>
        <v>95893</v>
      </c>
      <c r="G492" s="725">
        <f t="shared" si="216"/>
        <v>0</v>
      </c>
      <c r="H492" s="725">
        <f t="shared" si="216"/>
        <v>0</v>
      </c>
      <c r="I492" s="725">
        <f t="shared" si="216"/>
        <v>0</v>
      </c>
      <c r="J492" s="725">
        <f t="shared" si="216"/>
        <v>151114</v>
      </c>
      <c r="K492" s="725">
        <f t="shared" si="216"/>
        <v>0</v>
      </c>
      <c r="L492" s="725">
        <f t="shared" si="216"/>
        <v>151114</v>
      </c>
      <c r="M492" s="725">
        <f t="shared" si="216"/>
        <v>651379</v>
      </c>
      <c r="N492" s="725">
        <f t="shared" si="216"/>
        <v>105047</v>
      </c>
      <c r="O492" s="725">
        <f t="shared" si="216"/>
        <v>907540</v>
      </c>
    </row>
    <row r="493" spans="1:16" ht="17.25" thickTop="1" thickBot="1" x14ac:dyDescent="0.3">
      <c r="A493" s="716"/>
      <c r="B493" s="725" t="s">
        <v>377</v>
      </c>
      <c r="C493" s="725">
        <f t="shared" ref="C493:O493" si="217">+C480+C489+C490</f>
        <v>29</v>
      </c>
      <c r="D493" s="725">
        <f t="shared" si="217"/>
        <v>0</v>
      </c>
      <c r="E493" s="725">
        <f t="shared" si="217"/>
        <v>0</v>
      </c>
      <c r="F493" s="725">
        <f t="shared" si="217"/>
        <v>0</v>
      </c>
      <c r="G493" s="725">
        <f t="shared" si="217"/>
        <v>0</v>
      </c>
      <c r="H493" s="725">
        <f t="shared" si="217"/>
        <v>0</v>
      </c>
      <c r="I493" s="725">
        <f t="shared" si="217"/>
        <v>0</v>
      </c>
      <c r="J493" s="725">
        <f t="shared" si="217"/>
        <v>29</v>
      </c>
      <c r="K493" s="725">
        <f t="shared" si="217"/>
        <v>0</v>
      </c>
      <c r="L493" s="725">
        <f t="shared" si="217"/>
        <v>29</v>
      </c>
      <c r="M493" s="725">
        <f t="shared" si="217"/>
        <v>8487</v>
      </c>
      <c r="N493" s="725">
        <f t="shared" si="217"/>
        <v>0</v>
      </c>
      <c r="O493" s="725">
        <f t="shared" si="217"/>
        <v>8516</v>
      </c>
    </row>
    <row r="494" spans="1:16" ht="16.5" thickTop="1" x14ac:dyDescent="0.25">
      <c r="A494" s="727" t="s">
        <v>18</v>
      </c>
      <c r="B494" s="726" t="s">
        <v>569</v>
      </c>
      <c r="C494" s="726"/>
      <c r="D494" s="726"/>
      <c r="E494" s="726"/>
      <c r="F494" s="726"/>
      <c r="G494" s="726"/>
      <c r="H494" s="726"/>
      <c r="I494" s="726"/>
      <c r="J494" s="726"/>
      <c r="K494" s="726"/>
      <c r="L494" s="726"/>
      <c r="M494" s="726"/>
      <c r="N494" s="726"/>
      <c r="O494" s="726"/>
    </row>
    <row r="495" spans="1:16" x14ac:dyDescent="0.25">
      <c r="A495" s="727"/>
      <c r="B495" s="749" t="s">
        <v>347</v>
      </c>
      <c r="C495" s="749">
        <f t="shared" ref="C495:E495" si="218">SUM(C496)</f>
        <v>668</v>
      </c>
      <c r="D495" s="749">
        <f t="shared" si="218"/>
        <v>0</v>
      </c>
      <c r="E495" s="749">
        <f t="shared" si="218"/>
        <v>0</v>
      </c>
      <c r="F495" s="749">
        <f>SUM(F496)</f>
        <v>100</v>
      </c>
      <c r="G495" s="749">
        <f t="shared" ref="G495:I495" si="219">SUM(G496)</f>
        <v>0</v>
      </c>
      <c r="H495" s="749">
        <f t="shared" si="219"/>
        <v>0</v>
      </c>
      <c r="I495" s="749">
        <f t="shared" si="219"/>
        <v>0</v>
      </c>
      <c r="J495" s="749">
        <f>SUM(C495+E495+F495+H495)</f>
        <v>768</v>
      </c>
      <c r="K495" s="749">
        <f>SUM(D495+G495+I495)</f>
        <v>0</v>
      </c>
      <c r="L495" s="749">
        <f>SUM(J495:K495)</f>
        <v>768</v>
      </c>
      <c r="M495" s="749">
        <f>SUM(M496)</f>
        <v>48304</v>
      </c>
      <c r="N495" s="749">
        <f>SUM(N496)</f>
        <v>2163</v>
      </c>
      <c r="O495" s="749">
        <f>SUM(L495:N495)</f>
        <v>51235</v>
      </c>
    </row>
    <row r="496" spans="1:16" s="722" customFormat="1" x14ac:dyDescent="0.25">
      <c r="A496" s="728"/>
      <c r="B496" s="744" t="s">
        <v>386</v>
      </c>
      <c r="C496" s="744">
        <v>668</v>
      </c>
      <c r="D496" s="744"/>
      <c r="E496" s="744"/>
      <c r="F496" s="744">
        <v>100</v>
      </c>
      <c r="G496" s="744"/>
      <c r="H496" s="744"/>
      <c r="I496" s="744"/>
      <c r="J496" s="746">
        <f>SUM(C496+E496+F496+H496)</f>
        <v>768</v>
      </c>
      <c r="K496" s="746">
        <f>SUM(D496+G496+I496)</f>
        <v>0</v>
      </c>
      <c r="L496" s="746">
        <f>SUM(J496:K496)</f>
        <v>768</v>
      </c>
      <c r="M496" s="746">
        <v>48304</v>
      </c>
      <c r="N496" s="746">
        <v>2163</v>
      </c>
      <c r="O496" s="746">
        <f>SUM(L496:N496)</f>
        <v>51235</v>
      </c>
    </row>
    <row r="497" spans="1:15" s="722" customFormat="1" x14ac:dyDescent="0.25">
      <c r="A497" s="728"/>
      <c r="B497" s="720" t="s">
        <v>132</v>
      </c>
      <c r="C497" s="720"/>
      <c r="D497" s="720"/>
      <c r="E497" s="720"/>
      <c r="F497" s="720"/>
      <c r="G497" s="720"/>
      <c r="H497" s="720"/>
      <c r="I497" s="720"/>
      <c r="J497" s="721"/>
      <c r="K497" s="721"/>
      <c r="L497" s="721"/>
      <c r="M497" s="721"/>
      <c r="N497" s="721"/>
      <c r="O497" s="721"/>
    </row>
    <row r="498" spans="1:15" s="722" customFormat="1" ht="48.75" customHeight="1" x14ac:dyDescent="0.25">
      <c r="A498" s="728"/>
      <c r="B498" s="974" t="s">
        <v>1517</v>
      </c>
      <c r="C498" s="723"/>
      <c r="D498" s="723"/>
      <c r="E498" s="723"/>
      <c r="F498" s="723"/>
      <c r="G498" s="723"/>
      <c r="H498" s="723"/>
      <c r="I498" s="723"/>
      <c r="J498" s="723">
        <f t="shared" ref="J498:J501" si="220">SUM(C498+E498+F498+H498)</f>
        <v>0</v>
      </c>
      <c r="K498" s="723">
        <f t="shared" ref="K498:K501" si="221">SUM(D498+G498+I498)</f>
        <v>0</v>
      </c>
      <c r="L498" s="723">
        <f t="shared" ref="L498:L501" si="222">SUM(J498:K498)</f>
        <v>0</v>
      </c>
      <c r="M498" s="723">
        <v>972</v>
      </c>
      <c r="N498" s="723"/>
      <c r="O498" s="723">
        <f t="shared" ref="O498:O501" si="223">SUM(L498:N498)</f>
        <v>972</v>
      </c>
    </row>
    <row r="499" spans="1:15" s="722" customFormat="1" x14ac:dyDescent="0.25">
      <c r="A499" s="728"/>
      <c r="B499" s="723" t="s">
        <v>1330</v>
      </c>
      <c r="C499" s="723"/>
      <c r="D499" s="723"/>
      <c r="E499" s="723"/>
      <c r="F499" s="723"/>
      <c r="G499" s="723"/>
      <c r="H499" s="723"/>
      <c r="I499" s="723"/>
      <c r="J499" s="723">
        <f t="shared" si="220"/>
        <v>0</v>
      </c>
      <c r="K499" s="723">
        <f t="shared" si="221"/>
        <v>0</v>
      </c>
      <c r="L499" s="723">
        <f t="shared" si="222"/>
        <v>0</v>
      </c>
      <c r="M499" s="723">
        <v>95</v>
      </c>
      <c r="N499" s="723"/>
      <c r="O499" s="723">
        <f t="shared" si="223"/>
        <v>95</v>
      </c>
    </row>
    <row r="500" spans="1:15" s="722" customFormat="1" ht="31.5" x14ac:dyDescent="0.25">
      <c r="A500" s="728"/>
      <c r="B500" s="731" t="s">
        <v>1426</v>
      </c>
      <c r="C500" s="723"/>
      <c r="D500" s="723"/>
      <c r="E500" s="723"/>
      <c r="F500" s="723"/>
      <c r="G500" s="723"/>
      <c r="H500" s="723"/>
      <c r="I500" s="723"/>
      <c r="J500" s="723">
        <f t="shared" si="220"/>
        <v>0</v>
      </c>
      <c r="K500" s="723">
        <f t="shared" si="221"/>
        <v>0</v>
      </c>
      <c r="L500" s="723">
        <f t="shared" si="222"/>
        <v>0</v>
      </c>
      <c r="M500" s="723">
        <v>-981</v>
      </c>
      <c r="N500" s="723"/>
      <c r="O500" s="723">
        <f t="shared" si="223"/>
        <v>-981</v>
      </c>
    </row>
    <row r="501" spans="1:15" s="722" customFormat="1" ht="32.25" thickBot="1" x14ac:dyDescent="0.3">
      <c r="A501" s="728"/>
      <c r="B501" s="724" t="s">
        <v>1370</v>
      </c>
      <c r="C501" s="723"/>
      <c r="D501" s="723"/>
      <c r="E501" s="723"/>
      <c r="F501" s="723"/>
      <c r="G501" s="723"/>
      <c r="H501" s="723"/>
      <c r="I501" s="723"/>
      <c r="J501" s="723">
        <f t="shared" si="220"/>
        <v>0</v>
      </c>
      <c r="K501" s="723">
        <f t="shared" si="221"/>
        <v>0</v>
      </c>
      <c r="L501" s="723">
        <f t="shared" si="222"/>
        <v>0</v>
      </c>
      <c r="M501" s="723">
        <v>-8000</v>
      </c>
      <c r="N501" s="723"/>
      <c r="O501" s="723">
        <f t="shared" si="223"/>
        <v>-8000</v>
      </c>
    </row>
    <row r="502" spans="1:15" ht="17.25" thickTop="1" thickBot="1" x14ac:dyDescent="0.3">
      <c r="A502" s="712"/>
      <c r="B502" s="725" t="s">
        <v>379</v>
      </c>
      <c r="C502" s="725">
        <f>+C495+C498+C499+C500+C501</f>
        <v>668</v>
      </c>
      <c r="D502" s="725">
        <f t="shared" ref="D502:O502" si="224">+D495+D498+D499+D500+D501</f>
        <v>0</v>
      </c>
      <c r="E502" s="725">
        <f t="shared" si="224"/>
        <v>0</v>
      </c>
      <c r="F502" s="725">
        <f t="shared" si="224"/>
        <v>100</v>
      </c>
      <c r="G502" s="725">
        <f t="shared" si="224"/>
        <v>0</v>
      </c>
      <c r="H502" s="725">
        <f t="shared" si="224"/>
        <v>0</v>
      </c>
      <c r="I502" s="725">
        <f t="shared" si="224"/>
        <v>0</v>
      </c>
      <c r="J502" s="725">
        <f t="shared" si="224"/>
        <v>768</v>
      </c>
      <c r="K502" s="725">
        <f t="shared" si="224"/>
        <v>0</v>
      </c>
      <c r="L502" s="725">
        <f t="shared" si="224"/>
        <v>768</v>
      </c>
      <c r="M502" s="725">
        <f t="shared" si="224"/>
        <v>40390</v>
      </c>
      <c r="N502" s="725">
        <f t="shared" si="224"/>
        <v>2163</v>
      </c>
      <c r="O502" s="725">
        <f t="shared" si="224"/>
        <v>43321</v>
      </c>
    </row>
    <row r="503" spans="1:15" ht="17.25" thickTop="1" thickBot="1" x14ac:dyDescent="0.3">
      <c r="A503" s="712"/>
      <c r="B503" s="725" t="s">
        <v>385</v>
      </c>
      <c r="C503" s="725">
        <f>+C496+C498+C499+C500+C501</f>
        <v>668</v>
      </c>
      <c r="D503" s="725">
        <f t="shared" ref="D503:O503" si="225">+D496+D498+D499+D500+D501</f>
        <v>0</v>
      </c>
      <c r="E503" s="725">
        <f t="shared" si="225"/>
        <v>0</v>
      </c>
      <c r="F503" s="725">
        <f t="shared" si="225"/>
        <v>100</v>
      </c>
      <c r="G503" s="725">
        <f t="shared" si="225"/>
        <v>0</v>
      </c>
      <c r="H503" s="725">
        <f t="shared" si="225"/>
        <v>0</v>
      </c>
      <c r="I503" s="725">
        <f t="shared" si="225"/>
        <v>0</v>
      </c>
      <c r="J503" s="725">
        <f t="shared" si="225"/>
        <v>768</v>
      </c>
      <c r="K503" s="725">
        <f t="shared" si="225"/>
        <v>0</v>
      </c>
      <c r="L503" s="725">
        <f t="shared" si="225"/>
        <v>768</v>
      </c>
      <c r="M503" s="725">
        <f t="shared" si="225"/>
        <v>40390</v>
      </c>
      <c r="N503" s="725">
        <f t="shared" si="225"/>
        <v>2163</v>
      </c>
      <c r="O503" s="725">
        <f t="shared" si="225"/>
        <v>43321</v>
      </c>
    </row>
    <row r="504" spans="1:15" ht="16.5" thickTop="1" x14ac:dyDescent="0.25">
      <c r="A504" s="727" t="s">
        <v>19</v>
      </c>
      <c r="B504" s="726" t="s">
        <v>388</v>
      </c>
      <c r="C504" s="726"/>
      <c r="D504" s="726"/>
      <c r="E504" s="726"/>
      <c r="F504" s="726"/>
      <c r="G504" s="726"/>
      <c r="H504" s="726"/>
      <c r="I504" s="726"/>
      <c r="J504" s="726"/>
      <c r="K504" s="726"/>
      <c r="L504" s="726"/>
      <c r="M504" s="726"/>
      <c r="N504" s="726"/>
      <c r="O504" s="726"/>
    </row>
    <row r="505" spans="1:15" x14ac:dyDescent="0.25">
      <c r="A505" s="727"/>
      <c r="B505" s="717" t="s">
        <v>347</v>
      </c>
      <c r="C505" s="717">
        <f t="shared" ref="C505:E505" si="226">SUM(C506)</f>
        <v>19844</v>
      </c>
      <c r="D505" s="717">
        <f t="shared" si="226"/>
        <v>0</v>
      </c>
      <c r="E505" s="717">
        <f t="shared" si="226"/>
        <v>0</v>
      </c>
      <c r="F505" s="717">
        <f>SUM(F506)</f>
        <v>34300</v>
      </c>
      <c r="G505" s="717">
        <f t="shared" ref="G505:I505" si="227">SUM(G506)</f>
        <v>0</v>
      </c>
      <c r="H505" s="717">
        <f t="shared" si="227"/>
        <v>0</v>
      </c>
      <c r="I505" s="717">
        <f t="shared" si="227"/>
        <v>0</v>
      </c>
      <c r="J505" s="718">
        <f>SUM(C505+E505+F505+H505)</f>
        <v>54144</v>
      </c>
      <c r="K505" s="718">
        <f>SUM(D505+G505+I505)</f>
        <v>0</v>
      </c>
      <c r="L505" s="718">
        <f>SUM(J505:K505)</f>
        <v>54144</v>
      </c>
      <c r="M505" s="718">
        <f>SUM(M506)</f>
        <v>239680</v>
      </c>
      <c r="N505" s="718">
        <f>SUM(N506)</f>
        <v>42396</v>
      </c>
      <c r="O505" s="718">
        <f>SUM(L505:N505)</f>
        <v>336220</v>
      </c>
    </row>
    <row r="506" spans="1:15" s="722" customFormat="1" x14ac:dyDescent="0.25">
      <c r="A506" s="728"/>
      <c r="B506" s="720" t="s">
        <v>386</v>
      </c>
      <c r="C506" s="720">
        <v>19844</v>
      </c>
      <c r="D506" s="720"/>
      <c r="E506" s="720"/>
      <c r="F506" s="720">
        <v>34300</v>
      </c>
      <c r="G506" s="720"/>
      <c r="H506" s="720"/>
      <c r="I506" s="720"/>
      <c r="J506" s="721">
        <f>SUM(C506+E506+F506+H506)</f>
        <v>54144</v>
      </c>
      <c r="K506" s="721">
        <f>SUM(D506+G506+I506)</f>
        <v>0</v>
      </c>
      <c r="L506" s="721">
        <f>SUM(J506:K506)</f>
        <v>54144</v>
      </c>
      <c r="M506" s="721">
        <v>239680</v>
      </c>
      <c r="N506" s="721">
        <v>42396</v>
      </c>
      <c r="O506" s="721">
        <f>SUM(L506:N506)</f>
        <v>336220</v>
      </c>
    </row>
    <row r="507" spans="1:15" s="722" customFormat="1" x14ac:dyDescent="0.25">
      <c r="A507" s="728"/>
      <c r="B507" s="720" t="s">
        <v>132</v>
      </c>
      <c r="C507" s="720"/>
      <c r="D507" s="720"/>
      <c r="E507" s="720"/>
      <c r="F507" s="720"/>
      <c r="G507" s="720"/>
      <c r="H507" s="720"/>
      <c r="I507" s="720"/>
      <c r="J507" s="721"/>
      <c r="K507" s="721"/>
      <c r="L507" s="721"/>
      <c r="M507" s="721"/>
      <c r="N507" s="721"/>
      <c r="O507" s="721"/>
    </row>
    <row r="508" spans="1:15" s="722" customFormat="1" ht="49.5" customHeight="1" x14ac:dyDescent="0.25">
      <c r="A508" s="728"/>
      <c r="B508" s="974" t="s">
        <v>1517</v>
      </c>
      <c r="C508" s="723"/>
      <c r="D508" s="723"/>
      <c r="E508" s="723"/>
      <c r="F508" s="723"/>
      <c r="G508" s="723"/>
      <c r="H508" s="723"/>
      <c r="I508" s="723"/>
      <c r="J508" s="723">
        <f t="shared" ref="J508:J515" si="228">SUM(C508+E508+F508+H508)</f>
        <v>0</v>
      </c>
      <c r="K508" s="723">
        <f t="shared" ref="K508:K515" si="229">SUM(D508+G508+I508)</f>
        <v>0</v>
      </c>
      <c r="L508" s="723">
        <f t="shared" ref="L508:L515" si="230">SUM(J508:K508)</f>
        <v>0</v>
      </c>
      <c r="M508" s="723">
        <v>7514</v>
      </c>
      <c r="N508" s="723"/>
      <c r="O508" s="723">
        <f t="shared" ref="O508:O515" si="231">SUM(L508:N508)</f>
        <v>7514</v>
      </c>
    </row>
    <row r="509" spans="1:15" s="722" customFormat="1" x14ac:dyDescent="0.25">
      <c r="A509" s="728"/>
      <c r="B509" s="723" t="s">
        <v>1330</v>
      </c>
      <c r="C509" s="723"/>
      <c r="D509" s="723"/>
      <c r="E509" s="723"/>
      <c r="F509" s="723"/>
      <c r="G509" s="723"/>
      <c r="H509" s="723"/>
      <c r="I509" s="723"/>
      <c r="J509" s="723">
        <f t="shared" si="228"/>
        <v>0</v>
      </c>
      <c r="K509" s="723">
        <f t="shared" si="229"/>
        <v>0</v>
      </c>
      <c r="L509" s="723">
        <f t="shared" si="230"/>
        <v>0</v>
      </c>
      <c r="M509" s="723">
        <v>1055</v>
      </c>
      <c r="N509" s="723"/>
      <c r="O509" s="723">
        <f t="shared" si="231"/>
        <v>1055</v>
      </c>
    </row>
    <row r="510" spans="1:15" s="722" customFormat="1" ht="31.5" x14ac:dyDescent="0.25">
      <c r="A510" s="728"/>
      <c r="B510" s="731" t="s">
        <v>1426</v>
      </c>
      <c r="C510" s="723"/>
      <c r="D510" s="723"/>
      <c r="E510" s="723"/>
      <c r="F510" s="723"/>
      <c r="G510" s="723"/>
      <c r="H510" s="723"/>
      <c r="I510" s="723"/>
      <c r="J510" s="723">
        <f t="shared" si="228"/>
        <v>0</v>
      </c>
      <c r="K510" s="723">
        <f t="shared" si="229"/>
        <v>0</v>
      </c>
      <c r="L510" s="723">
        <f t="shared" si="230"/>
        <v>0</v>
      </c>
      <c r="M510" s="723">
        <v>-2765</v>
      </c>
      <c r="N510" s="723"/>
      <c r="O510" s="723">
        <f t="shared" si="231"/>
        <v>-2765</v>
      </c>
    </row>
    <row r="511" spans="1:15" s="722" customFormat="1" ht="31.5" x14ac:dyDescent="0.25">
      <c r="A511" s="728"/>
      <c r="B511" s="724" t="s">
        <v>1371</v>
      </c>
      <c r="C511" s="723"/>
      <c r="D511" s="723"/>
      <c r="E511" s="723"/>
      <c r="F511" s="723">
        <v>-562</v>
      </c>
      <c r="G511" s="723"/>
      <c r="H511" s="723"/>
      <c r="I511" s="723"/>
      <c r="J511" s="723">
        <f t="shared" si="228"/>
        <v>-562</v>
      </c>
      <c r="K511" s="723">
        <f t="shared" si="229"/>
        <v>0</v>
      </c>
      <c r="L511" s="723">
        <f t="shared" si="230"/>
        <v>-562</v>
      </c>
      <c r="M511" s="723">
        <v>-1378</v>
      </c>
      <c r="N511" s="723"/>
      <c r="O511" s="723">
        <f t="shared" si="231"/>
        <v>-1940</v>
      </c>
    </row>
    <row r="512" spans="1:15" s="722" customFormat="1" ht="31.5" x14ac:dyDescent="0.25">
      <c r="A512" s="728"/>
      <c r="B512" s="724" t="s">
        <v>1372</v>
      </c>
      <c r="C512" s="723">
        <v>70000</v>
      </c>
      <c r="D512" s="723"/>
      <c r="E512" s="723"/>
      <c r="F512" s="723"/>
      <c r="G512" s="723"/>
      <c r="H512" s="723"/>
      <c r="I512" s="723"/>
      <c r="J512" s="723">
        <f t="shared" si="228"/>
        <v>70000</v>
      </c>
      <c r="K512" s="723">
        <f t="shared" si="229"/>
        <v>0</v>
      </c>
      <c r="L512" s="723">
        <f t="shared" si="230"/>
        <v>70000</v>
      </c>
      <c r="M512" s="723"/>
      <c r="N512" s="723"/>
      <c r="O512" s="723">
        <f t="shared" si="231"/>
        <v>70000</v>
      </c>
    </row>
    <row r="513" spans="1:15" s="722" customFormat="1" ht="31.5" x14ac:dyDescent="0.25">
      <c r="A513" s="728"/>
      <c r="B513" s="724" t="s">
        <v>1453</v>
      </c>
      <c r="C513" s="723"/>
      <c r="D513" s="723"/>
      <c r="E513" s="723"/>
      <c r="F513" s="723"/>
      <c r="G513" s="723"/>
      <c r="H513" s="723"/>
      <c r="I513" s="723"/>
      <c r="J513" s="723">
        <f t="shared" si="228"/>
        <v>0</v>
      </c>
      <c r="K513" s="723">
        <f t="shared" si="229"/>
        <v>0</v>
      </c>
      <c r="L513" s="723">
        <f t="shared" si="230"/>
        <v>0</v>
      </c>
      <c r="M513" s="723">
        <v>-47570</v>
      </c>
      <c r="N513" s="723"/>
      <c r="O513" s="723">
        <f t="shared" si="231"/>
        <v>-47570</v>
      </c>
    </row>
    <row r="514" spans="1:15" s="722" customFormat="1" ht="49.5" customHeight="1" x14ac:dyDescent="0.25">
      <c r="A514" s="728"/>
      <c r="B514" s="734" t="s">
        <v>1454</v>
      </c>
      <c r="C514" s="731"/>
      <c r="D514" s="731"/>
      <c r="E514" s="731"/>
      <c r="F514" s="731">
        <v>-10000</v>
      </c>
      <c r="G514" s="731"/>
      <c r="H514" s="731"/>
      <c r="I514" s="731"/>
      <c r="J514" s="731">
        <f t="shared" si="228"/>
        <v>-10000</v>
      </c>
      <c r="K514" s="731">
        <f t="shared" si="229"/>
        <v>0</v>
      </c>
      <c r="L514" s="731">
        <f t="shared" si="230"/>
        <v>-10000</v>
      </c>
      <c r="M514" s="731"/>
      <c r="N514" s="731"/>
      <c r="O514" s="731">
        <f t="shared" si="231"/>
        <v>-10000</v>
      </c>
    </row>
    <row r="515" spans="1:15" s="722" customFormat="1" ht="53.25" customHeight="1" thickBot="1" x14ac:dyDescent="0.3">
      <c r="A515" s="732"/>
      <c r="B515" s="733" t="s">
        <v>961</v>
      </c>
      <c r="C515" s="733">
        <v>58</v>
      </c>
      <c r="D515" s="733"/>
      <c r="E515" s="733"/>
      <c r="F515" s="733"/>
      <c r="G515" s="733"/>
      <c r="H515" s="733"/>
      <c r="I515" s="733"/>
      <c r="J515" s="733">
        <f t="shared" si="228"/>
        <v>58</v>
      </c>
      <c r="K515" s="733">
        <f t="shared" si="229"/>
        <v>0</v>
      </c>
      <c r="L515" s="733">
        <f t="shared" si="230"/>
        <v>58</v>
      </c>
      <c r="M515" s="733"/>
      <c r="N515" s="733"/>
      <c r="O515" s="733">
        <f t="shared" si="231"/>
        <v>58</v>
      </c>
    </row>
    <row r="516" spans="1:15" ht="17.25" thickTop="1" thickBot="1" x14ac:dyDescent="0.3">
      <c r="A516" s="712"/>
      <c r="B516" s="725" t="s">
        <v>379</v>
      </c>
      <c r="C516" s="725">
        <f>+C505+C508+C509+C510+C511+C512+C513+C514+C515</f>
        <v>89902</v>
      </c>
      <c r="D516" s="725">
        <f t="shared" ref="D516:O516" si="232">+D505+D508+D509+D510+D511+D512+D513+D514+D515</f>
        <v>0</v>
      </c>
      <c r="E516" s="725">
        <f t="shared" si="232"/>
        <v>0</v>
      </c>
      <c r="F516" s="725">
        <f t="shared" si="232"/>
        <v>23738</v>
      </c>
      <c r="G516" s="725">
        <f t="shared" si="232"/>
        <v>0</v>
      </c>
      <c r="H516" s="725">
        <f t="shared" si="232"/>
        <v>0</v>
      </c>
      <c r="I516" s="725">
        <f t="shared" si="232"/>
        <v>0</v>
      </c>
      <c r="J516" s="725">
        <f t="shared" si="232"/>
        <v>113640</v>
      </c>
      <c r="K516" s="725">
        <f t="shared" si="232"/>
        <v>0</v>
      </c>
      <c r="L516" s="725">
        <f t="shared" si="232"/>
        <v>113640</v>
      </c>
      <c r="M516" s="725">
        <f t="shared" si="232"/>
        <v>196536</v>
      </c>
      <c r="N516" s="725">
        <f t="shared" si="232"/>
        <v>42396</v>
      </c>
      <c r="O516" s="725">
        <f t="shared" si="232"/>
        <v>352572</v>
      </c>
    </row>
    <row r="517" spans="1:15" ht="17.25" thickTop="1" thickBot="1" x14ac:dyDescent="0.3">
      <c r="A517" s="712"/>
      <c r="B517" s="725" t="s">
        <v>385</v>
      </c>
      <c r="C517" s="725">
        <f>+C506+C508+C509+C510+C511+C512+C513+C514+C515</f>
        <v>89902</v>
      </c>
      <c r="D517" s="725">
        <f t="shared" ref="D517:O517" si="233">+D506+D508+D509+D510+D511+D512+D513+D514+D515</f>
        <v>0</v>
      </c>
      <c r="E517" s="725">
        <f t="shared" si="233"/>
        <v>0</v>
      </c>
      <c r="F517" s="725">
        <f t="shared" si="233"/>
        <v>23738</v>
      </c>
      <c r="G517" s="725">
        <f t="shared" si="233"/>
        <v>0</v>
      </c>
      <c r="H517" s="725">
        <f t="shared" si="233"/>
        <v>0</v>
      </c>
      <c r="I517" s="725">
        <f t="shared" si="233"/>
        <v>0</v>
      </c>
      <c r="J517" s="725">
        <f t="shared" si="233"/>
        <v>113640</v>
      </c>
      <c r="K517" s="725">
        <f t="shared" si="233"/>
        <v>0</v>
      </c>
      <c r="L517" s="725">
        <f t="shared" si="233"/>
        <v>113640</v>
      </c>
      <c r="M517" s="725">
        <f t="shared" si="233"/>
        <v>196536</v>
      </c>
      <c r="N517" s="725">
        <f t="shared" si="233"/>
        <v>42396</v>
      </c>
      <c r="O517" s="725">
        <f t="shared" si="233"/>
        <v>352572</v>
      </c>
    </row>
    <row r="518" spans="1:15" ht="16.5" thickTop="1" x14ac:dyDescent="0.25">
      <c r="A518" s="716" t="s">
        <v>20</v>
      </c>
      <c r="B518" s="726" t="s">
        <v>387</v>
      </c>
      <c r="C518" s="726"/>
      <c r="D518" s="726"/>
      <c r="E518" s="726"/>
      <c r="F518" s="726"/>
      <c r="G518" s="726"/>
      <c r="H518" s="726"/>
      <c r="I518" s="726"/>
      <c r="J518" s="726"/>
      <c r="K518" s="726"/>
      <c r="L518" s="726"/>
      <c r="M518" s="726"/>
      <c r="N518" s="726"/>
      <c r="O518" s="726"/>
    </row>
    <row r="519" spans="1:15" x14ac:dyDescent="0.25">
      <c r="A519" s="735"/>
      <c r="B519" s="718" t="s">
        <v>347</v>
      </c>
      <c r="C519" s="718">
        <f t="shared" ref="C519:E519" si="234">SUM(C520)</f>
        <v>7988</v>
      </c>
      <c r="D519" s="718">
        <f t="shared" si="234"/>
        <v>0</v>
      </c>
      <c r="E519" s="718">
        <f t="shared" si="234"/>
        <v>0</v>
      </c>
      <c r="F519" s="718">
        <f>SUM(F520)</f>
        <v>220004</v>
      </c>
      <c r="G519" s="718">
        <f t="shared" ref="G519:I519" si="235">SUM(G520)</f>
        <v>0</v>
      </c>
      <c r="H519" s="718">
        <f t="shared" si="235"/>
        <v>0</v>
      </c>
      <c r="I519" s="718">
        <f t="shared" si="235"/>
        <v>0</v>
      </c>
      <c r="J519" s="718">
        <f>SUM(C519+E519+F519+H519)</f>
        <v>227992</v>
      </c>
      <c r="K519" s="718">
        <f>SUM(D519+G519+I519)</f>
        <v>0</v>
      </c>
      <c r="L519" s="718">
        <f>SUM(J519:K519)</f>
        <v>227992</v>
      </c>
      <c r="M519" s="718">
        <f>SUM(M520)</f>
        <v>978746</v>
      </c>
      <c r="N519" s="718">
        <f>SUM(N520)</f>
        <v>146573</v>
      </c>
      <c r="O519" s="718">
        <f>SUM(L519:N519)</f>
        <v>1353311</v>
      </c>
    </row>
    <row r="520" spans="1:15" s="722" customFormat="1" x14ac:dyDescent="0.25">
      <c r="A520" s="732"/>
      <c r="B520" s="720" t="s">
        <v>386</v>
      </c>
      <c r="C520" s="720">
        <v>7988</v>
      </c>
      <c r="D520" s="720"/>
      <c r="E520" s="720"/>
      <c r="F520" s="720">
        <v>220004</v>
      </c>
      <c r="G520" s="720"/>
      <c r="H520" s="720"/>
      <c r="I520" s="720"/>
      <c r="J520" s="721">
        <f>SUM(C520+E520+F520+H520)</f>
        <v>227992</v>
      </c>
      <c r="K520" s="721">
        <f>SUM(D520+G520+I520)</f>
        <v>0</v>
      </c>
      <c r="L520" s="721">
        <f>SUM(J520:K520)</f>
        <v>227992</v>
      </c>
      <c r="M520" s="721">
        <v>978746</v>
      </c>
      <c r="N520" s="721">
        <v>146573</v>
      </c>
      <c r="O520" s="721">
        <f>SUM(L520:N520)</f>
        <v>1353311</v>
      </c>
    </row>
    <row r="521" spans="1:15" s="722" customFormat="1" x14ac:dyDescent="0.25">
      <c r="A521" s="732"/>
      <c r="B521" s="720" t="s">
        <v>132</v>
      </c>
      <c r="C521" s="720"/>
      <c r="D521" s="720"/>
      <c r="E521" s="720"/>
      <c r="F521" s="720"/>
      <c r="G521" s="720"/>
      <c r="H521" s="720"/>
      <c r="I521" s="720"/>
      <c r="J521" s="721"/>
      <c r="K521" s="721"/>
      <c r="L521" s="721"/>
      <c r="M521" s="721"/>
      <c r="N521" s="721"/>
      <c r="O521" s="721"/>
    </row>
    <row r="522" spans="1:15" s="722" customFormat="1" ht="31.5" x14ac:dyDescent="0.25">
      <c r="A522" s="719"/>
      <c r="B522" s="731" t="s">
        <v>1425</v>
      </c>
      <c r="C522" s="731"/>
      <c r="D522" s="731"/>
      <c r="E522" s="731"/>
      <c r="F522" s="731"/>
      <c r="G522" s="731"/>
      <c r="H522" s="731"/>
      <c r="I522" s="731"/>
      <c r="J522" s="731">
        <f t="shared" ref="J522:J527" si="236">SUM(C522+E522+F522+H522)</f>
        <v>0</v>
      </c>
      <c r="K522" s="731">
        <f t="shared" ref="K522:K527" si="237">SUM(D522+G522+I522)</f>
        <v>0</v>
      </c>
      <c r="L522" s="731">
        <f t="shared" ref="L522:L527" si="238">SUM(J522:K522)</f>
        <v>0</v>
      </c>
      <c r="M522" s="731">
        <v>103</v>
      </c>
      <c r="N522" s="731"/>
      <c r="O522" s="731">
        <f t="shared" ref="O522:O527" si="239">SUM(L522:N522)</f>
        <v>103</v>
      </c>
    </row>
    <row r="523" spans="1:15" s="722" customFormat="1" ht="48.75" customHeight="1" x14ac:dyDescent="0.25">
      <c r="A523" s="932"/>
      <c r="B523" s="974" t="s">
        <v>1517</v>
      </c>
      <c r="C523" s="723"/>
      <c r="D523" s="723"/>
      <c r="E523" s="723"/>
      <c r="F523" s="723"/>
      <c r="G523" s="723"/>
      <c r="H523" s="723"/>
      <c r="I523" s="723"/>
      <c r="J523" s="723">
        <f t="shared" si="236"/>
        <v>0</v>
      </c>
      <c r="K523" s="723">
        <f t="shared" si="237"/>
        <v>0</v>
      </c>
      <c r="L523" s="723">
        <f t="shared" si="238"/>
        <v>0</v>
      </c>
      <c r="M523" s="723">
        <v>15326</v>
      </c>
      <c r="N523" s="723"/>
      <c r="O523" s="723">
        <f t="shared" si="239"/>
        <v>15326</v>
      </c>
    </row>
    <row r="524" spans="1:15" s="722" customFormat="1" ht="31.5" x14ac:dyDescent="0.25">
      <c r="A524" s="732"/>
      <c r="B524" s="723" t="s">
        <v>1455</v>
      </c>
      <c r="C524" s="723"/>
      <c r="D524" s="723"/>
      <c r="E524" s="723"/>
      <c r="F524" s="723"/>
      <c r="G524" s="723"/>
      <c r="H524" s="723"/>
      <c r="I524" s="723"/>
      <c r="J524" s="723">
        <f t="shared" si="236"/>
        <v>0</v>
      </c>
      <c r="K524" s="723">
        <f t="shared" si="237"/>
        <v>0</v>
      </c>
      <c r="L524" s="723">
        <f t="shared" si="238"/>
        <v>0</v>
      </c>
      <c r="M524" s="723">
        <v>4452</v>
      </c>
      <c r="N524" s="723"/>
      <c r="O524" s="723">
        <f t="shared" si="239"/>
        <v>4452</v>
      </c>
    </row>
    <row r="525" spans="1:15" s="722" customFormat="1" x14ac:dyDescent="0.25">
      <c r="A525" s="732"/>
      <c r="B525" s="723" t="s">
        <v>1375</v>
      </c>
      <c r="C525" s="723"/>
      <c r="D525" s="723"/>
      <c r="E525" s="723"/>
      <c r="F525" s="723"/>
      <c r="G525" s="723"/>
      <c r="H525" s="723"/>
      <c r="I525" s="723"/>
      <c r="J525" s="723">
        <f t="shared" si="236"/>
        <v>0</v>
      </c>
      <c r="K525" s="723">
        <f t="shared" si="237"/>
        <v>0</v>
      </c>
      <c r="L525" s="723">
        <f t="shared" si="238"/>
        <v>0</v>
      </c>
      <c r="M525" s="723">
        <v>3437</v>
      </c>
      <c r="N525" s="723"/>
      <c r="O525" s="723">
        <f t="shared" si="239"/>
        <v>3437</v>
      </c>
    </row>
    <row r="526" spans="1:15" s="722" customFormat="1" ht="31.5" x14ac:dyDescent="0.25">
      <c r="A526" s="732"/>
      <c r="B526" s="724" t="s">
        <v>1456</v>
      </c>
      <c r="C526" s="723">
        <v>16000</v>
      </c>
      <c r="D526" s="723"/>
      <c r="E526" s="723"/>
      <c r="F526" s="723"/>
      <c r="G526" s="723"/>
      <c r="H526" s="723"/>
      <c r="I526" s="723"/>
      <c r="J526" s="723">
        <f t="shared" si="236"/>
        <v>16000</v>
      </c>
      <c r="K526" s="723">
        <f t="shared" si="237"/>
        <v>0</v>
      </c>
      <c r="L526" s="723">
        <f t="shared" si="238"/>
        <v>16000</v>
      </c>
      <c r="M526" s="723"/>
      <c r="N526" s="723"/>
      <c r="O526" s="723">
        <f t="shared" si="239"/>
        <v>16000</v>
      </c>
    </row>
    <row r="527" spans="1:15" s="722" customFormat="1" ht="32.25" thickBot="1" x14ac:dyDescent="0.3">
      <c r="A527" s="732"/>
      <c r="B527" s="723" t="s">
        <v>1454</v>
      </c>
      <c r="C527" s="723"/>
      <c r="D527" s="723"/>
      <c r="E527" s="723"/>
      <c r="F527" s="723">
        <v>-100000</v>
      </c>
      <c r="G527" s="723"/>
      <c r="H527" s="723"/>
      <c r="I527" s="723"/>
      <c r="J527" s="723">
        <f t="shared" si="236"/>
        <v>-100000</v>
      </c>
      <c r="K527" s="723">
        <f t="shared" si="237"/>
        <v>0</v>
      </c>
      <c r="L527" s="723">
        <f t="shared" si="238"/>
        <v>-100000</v>
      </c>
      <c r="M527" s="723"/>
      <c r="N527" s="723"/>
      <c r="O527" s="723">
        <f t="shared" si="239"/>
        <v>-100000</v>
      </c>
    </row>
    <row r="528" spans="1:15" ht="17.25" thickTop="1" thickBot="1" x14ac:dyDescent="0.3">
      <c r="A528" s="712"/>
      <c r="B528" s="725" t="s">
        <v>379</v>
      </c>
      <c r="C528" s="725">
        <f>+C519+C522+C523+C524+C525+C526+C527</f>
        <v>23988</v>
      </c>
      <c r="D528" s="725">
        <f t="shared" ref="D528:O528" si="240">+D519+D522+D523+D524+D525+D526+D527</f>
        <v>0</v>
      </c>
      <c r="E528" s="725">
        <f t="shared" si="240"/>
        <v>0</v>
      </c>
      <c r="F528" s="725">
        <f t="shared" si="240"/>
        <v>120004</v>
      </c>
      <c r="G528" s="725">
        <f t="shared" si="240"/>
        <v>0</v>
      </c>
      <c r="H528" s="725">
        <f t="shared" si="240"/>
        <v>0</v>
      </c>
      <c r="I528" s="725">
        <f t="shared" si="240"/>
        <v>0</v>
      </c>
      <c r="J528" s="725">
        <f t="shared" si="240"/>
        <v>143992</v>
      </c>
      <c r="K528" s="725">
        <f t="shared" si="240"/>
        <v>0</v>
      </c>
      <c r="L528" s="725">
        <f t="shared" si="240"/>
        <v>143992</v>
      </c>
      <c r="M528" s="725">
        <f t="shared" si="240"/>
        <v>1002064</v>
      </c>
      <c r="N528" s="725">
        <f t="shared" si="240"/>
        <v>146573</v>
      </c>
      <c r="O528" s="725">
        <f t="shared" si="240"/>
        <v>1292629</v>
      </c>
    </row>
    <row r="529" spans="1:15" ht="17.25" thickTop="1" thickBot="1" x14ac:dyDescent="0.3">
      <c r="A529" s="712"/>
      <c r="B529" s="725" t="s">
        <v>385</v>
      </c>
      <c r="C529" s="725">
        <f>+C520+C522+C523+C524+C525+C526+C527</f>
        <v>23988</v>
      </c>
      <c r="D529" s="725">
        <f t="shared" ref="D529:O529" si="241">+D520+D522+D523+D524+D525+D526+D527</f>
        <v>0</v>
      </c>
      <c r="E529" s="725">
        <f t="shared" si="241"/>
        <v>0</v>
      </c>
      <c r="F529" s="725">
        <f t="shared" si="241"/>
        <v>120004</v>
      </c>
      <c r="G529" s="725">
        <f t="shared" si="241"/>
        <v>0</v>
      </c>
      <c r="H529" s="725">
        <f t="shared" si="241"/>
        <v>0</v>
      </c>
      <c r="I529" s="725">
        <f t="shared" si="241"/>
        <v>0</v>
      </c>
      <c r="J529" s="725">
        <f t="shared" si="241"/>
        <v>143992</v>
      </c>
      <c r="K529" s="725">
        <f t="shared" si="241"/>
        <v>0</v>
      </c>
      <c r="L529" s="725">
        <f t="shared" si="241"/>
        <v>143992</v>
      </c>
      <c r="M529" s="725">
        <f t="shared" si="241"/>
        <v>1002064</v>
      </c>
      <c r="N529" s="725">
        <f t="shared" si="241"/>
        <v>146573</v>
      </c>
      <c r="O529" s="725">
        <f t="shared" si="241"/>
        <v>1292629</v>
      </c>
    </row>
    <row r="530" spans="1:15" ht="16.5" thickTop="1" x14ac:dyDescent="0.25">
      <c r="A530" s="716" t="s">
        <v>21</v>
      </c>
      <c r="B530" s="726" t="s">
        <v>564</v>
      </c>
      <c r="C530" s="726"/>
      <c r="D530" s="726"/>
      <c r="E530" s="726"/>
      <c r="F530" s="726"/>
      <c r="G530" s="726"/>
      <c r="H530" s="726"/>
      <c r="I530" s="726"/>
      <c r="J530" s="726"/>
      <c r="K530" s="726"/>
      <c r="L530" s="726"/>
      <c r="M530" s="726"/>
      <c r="N530" s="726"/>
      <c r="O530" s="726"/>
    </row>
    <row r="531" spans="1:15" s="722" customFormat="1" x14ac:dyDescent="0.25">
      <c r="A531" s="732"/>
      <c r="B531" s="723" t="s">
        <v>347</v>
      </c>
      <c r="C531" s="720">
        <f t="shared" ref="C531:E531" si="242">SUM(C532)</f>
        <v>27422</v>
      </c>
      <c r="D531" s="720">
        <f t="shared" si="242"/>
        <v>0</v>
      </c>
      <c r="E531" s="720">
        <f t="shared" si="242"/>
        <v>0</v>
      </c>
      <c r="F531" s="720">
        <f>SUM(F532)</f>
        <v>36508</v>
      </c>
      <c r="G531" s="720">
        <f t="shared" ref="G531:I531" si="243">SUM(G532)</f>
        <v>0</v>
      </c>
      <c r="H531" s="720">
        <f t="shared" si="243"/>
        <v>0</v>
      </c>
      <c r="I531" s="720">
        <f t="shared" si="243"/>
        <v>0</v>
      </c>
      <c r="J531" s="723">
        <f t="shared" ref="J531:J539" si="244">SUM(C531+E531+F531+H531)</f>
        <v>63930</v>
      </c>
      <c r="K531" s="723">
        <f t="shared" ref="K531:K539" si="245">SUM(D531+G531+I531)</f>
        <v>0</v>
      </c>
      <c r="L531" s="723">
        <f t="shared" ref="L531:L539" si="246">SUM(J531:K531)</f>
        <v>63930</v>
      </c>
      <c r="M531" s="721">
        <f>SUM(M532)</f>
        <v>122017</v>
      </c>
      <c r="N531" s="721">
        <f>SUM(N532)</f>
        <v>64553</v>
      </c>
      <c r="O531" s="723">
        <f t="shared" ref="O531:O539" si="247">SUM(L531:N531)</f>
        <v>250500</v>
      </c>
    </row>
    <row r="532" spans="1:15" s="722" customFormat="1" x14ac:dyDescent="0.25">
      <c r="A532" s="732"/>
      <c r="B532" s="720" t="s">
        <v>664</v>
      </c>
      <c r="C532" s="723">
        <v>27422</v>
      </c>
      <c r="D532" s="723"/>
      <c r="E532" s="723"/>
      <c r="F532" s="723">
        <v>36508</v>
      </c>
      <c r="G532" s="723"/>
      <c r="H532" s="723"/>
      <c r="I532" s="723"/>
      <c r="J532" s="723">
        <f t="shared" si="244"/>
        <v>63930</v>
      </c>
      <c r="K532" s="723">
        <f t="shared" si="245"/>
        <v>0</v>
      </c>
      <c r="L532" s="723">
        <f t="shared" si="246"/>
        <v>63930</v>
      </c>
      <c r="M532" s="723">
        <v>122017</v>
      </c>
      <c r="N532" s="723">
        <v>64553</v>
      </c>
      <c r="O532" s="723">
        <f t="shared" si="247"/>
        <v>250500</v>
      </c>
    </row>
    <row r="533" spans="1:15" s="722" customFormat="1" x14ac:dyDescent="0.25">
      <c r="A533" s="732"/>
      <c r="B533" s="720" t="s">
        <v>132</v>
      </c>
      <c r="C533" s="720"/>
      <c r="D533" s="720"/>
      <c r="E533" s="720"/>
      <c r="F533" s="720"/>
      <c r="G533" s="720"/>
      <c r="H533" s="720"/>
      <c r="I533" s="720"/>
      <c r="J533" s="723"/>
      <c r="K533" s="723"/>
      <c r="L533" s="723"/>
      <c r="M533" s="721"/>
      <c r="N533" s="721"/>
      <c r="O533" s="723"/>
    </row>
    <row r="534" spans="1:15" s="722" customFormat="1" ht="49.5" customHeight="1" x14ac:dyDescent="0.25">
      <c r="A534" s="732"/>
      <c r="B534" s="974" t="s">
        <v>1517</v>
      </c>
      <c r="C534" s="720"/>
      <c r="D534" s="720"/>
      <c r="E534" s="720"/>
      <c r="F534" s="720"/>
      <c r="G534" s="720"/>
      <c r="H534" s="720"/>
      <c r="I534" s="720"/>
      <c r="J534" s="723">
        <f t="shared" si="244"/>
        <v>0</v>
      </c>
      <c r="K534" s="723">
        <f t="shared" si="245"/>
        <v>0</v>
      </c>
      <c r="L534" s="723">
        <f t="shared" si="246"/>
        <v>0</v>
      </c>
      <c r="M534" s="723">
        <v>1809</v>
      </c>
      <c r="N534" s="721"/>
      <c r="O534" s="723">
        <f t="shared" si="247"/>
        <v>1809</v>
      </c>
    </row>
    <row r="535" spans="1:15" s="722" customFormat="1" x14ac:dyDescent="0.25">
      <c r="A535" s="732"/>
      <c r="B535" s="723" t="s">
        <v>1330</v>
      </c>
      <c r="C535" s="720"/>
      <c r="D535" s="720"/>
      <c r="E535" s="720"/>
      <c r="F535" s="720"/>
      <c r="G535" s="720"/>
      <c r="H535" s="720"/>
      <c r="I535" s="720"/>
      <c r="J535" s="723">
        <f t="shared" si="244"/>
        <v>0</v>
      </c>
      <c r="K535" s="723">
        <f t="shared" si="245"/>
        <v>0</v>
      </c>
      <c r="L535" s="723">
        <f t="shared" si="246"/>
        <v>0</v>
      </c>
      <c r="M535" s="723">
        <v>450</v>
      </c>
      <c r="N535" s="721"/>
      <c r="O535" s="723">
        <f t="shared" si="247"/>
        <v>450</v>
      </c>
    </row>
    <row r="536" spans="1:15" s="722" customFormat="1" ht="31.5" x14ac:dyDescent="0.25">
      <c r="A536" s="732"/>
      <c r="B536" s="731" t="s">
        <v>1426</v>
      </c>
      <c r="C536" s="720"/>
      <c r="D536" s="720"/>
      <c r="E536" s="720"/>
      <c r="F536" s="720"/>
      <c r="G536" s="720"/>
      <c r="H536" s="720"/>
      <c r="I536" s="720"/>
      <c r="J536" s="723">
        <f t="shared" si="244"/>
        <v>0</v>
      </c>
      <c r="K536" s="723">
        <f t="shared" si="245"/>
        <v>0</v>
      </c>
      <c r="L536" s="723">
        <f t="shared" si="246"/>
        <v>0</v>
      </c>
      <c r="M536" s="723">
        <v>-2143</v>
      </c>
      <c r="N536" s="721"/>
      <c r="O536" s="723">
        <f t="shared" si="247"/>
        <v>-2143</v>
      </c>
    </row>
    <row r="537" spans="1:15" s="722" customFormat="1" ht="31.5" x14ac:dyDescent="0.25">
      <c r="A537" s="732"/>
      <c r="B537" s="724" t="s">
        <v>1372</v>
      </c>
      <c r="C537" s="723">
        <v>7432</v>
      </c>
      <c r="D537" s="720"/>
      <c r="E537" s="720"/>
      <c r="F537" s="720"/>
      <c r="G537" s="720"/>
      <c r="H537" s="720"/>
      <c r="I537" s="720"/>
      <c r="J537" s="723">
        <f t="shared" si="244"/>
        <v>7432</v>
      </c>
      <c r="K537" s="723">
        <f t="shared" si="245"/>
        <v>0</v>
      </c>
      <c r="L537" s="723">
        <f t="shared" si="246"/>
        <v>7432</v>
      </c>
      <c r="M537" s="723"/>
      <c r="N537" s="721"/>
      <c r="O537" s="723">
        <f t="shared" si="247"/>
        <v>7432</v>
      </c>
    </row>
    <row r="538" spans="1:15" s="722" customFormat="1" ht="31.5" x14ac:dyDescent="0.25">
      <c r="A538" s="732"/>
      <c r="B538" s="723" t="s">
        <v>1457</v>
      </c>
      <c r="C538" s="723">
        <v>-7432</v>
      </c>
      <c r="D538" s="720"/>
      <c r="E538" s="720"/>
      <c r="F538" s="723"/>
      <c r="G538" s="720"/>
      <c r="H538" s="720"/>
      <c r="I538" s="720"/>
      <c r="J538" s="723">
        <f t="shared" si="244"/>
        <v>-7432</v>
      </c>
      <c r="K538" s="723">
        <f t="shared" si="245"/>
        <v>0</v>
      </c>
      <c r="L538" s="723">
        <f t="shared" si="246"/>
        <v>-7432</v>
      </c>
      <c r="M538" s="723">
        <v>3716</v>
      </c>
      <c r="N538" s="721"/>
      <c r="O538" s="723">
        <f t="shared" si="247"/>
        <v>-3716</v>
      </c>
    </row>
    <row r="539" spans="1:15" s="722" customFormat="1" ht="32.25" thickBot="1" x14ac:dyDescent="0.3">
      <c r="A539" s="732"/>
      <c r="B539" s="723" t="s">
        <v>1376</v>
      </c>
      <c r="C539" s="723">
        <v>41000</v>
      </c>
      <c r="D539" s="720"/>
      <c r="E539" s="720"/>
      <c r="F539" s="720"/>
      <c r="G539" s="720"/>
      <c r="H539" s="720"/>
      <c r="I539" s="720"/>
      <c r="J539" s="723">
        <f t="shared" si="244"/>
        <v>41000</v>
      </c>
      <c r="K539" s="723">
        <f t="shared" si="245"/>
        <v>0</v>
      </c>
      <c r="L539" s="723">
        <f t="shared" si="246"/>
        <v>41000</v>
      </c>
      <c r="M539" s="723"/>
      <c r="N539" s="721"/>
      <c r="O539" s="723">
        <f t="shared" si="247"/>
        <v>41000</v>
      </c>
    </row>
    <row r="540" spans="1:15" ht="17.25" thickTop="1" thickBot="1" x14ac:dyDescent="0.3">
      <c r="A540" s="712"/>
      <c r="B540" s="725" t="s">
        <v>379</v>
      </c>
      <c r="C540" s="725">
        <f>+C531+C534+C535+C536+C537+C538+C539</f>
        <v>68422</v>
      </c>
      <c r="D540" s="725">
        <f t="shared" ref="D540:O540" si="248">+D531+D534+D535+D536+D537+D538+D539</f>
        <v>0</v>
      </c>
      <c r="E540" s="725">
        <f t="shared" si="248"/>
        <v>0</v>
      </c>
      <c r="F540" s="725">
        <f t="shared" si="248"/>
        <v>36508</v>
      </c>
      <c r="G540" s="725">
        <f t="shared" si="248"/>
        <v>0</v>
      </c>
      <c r="H540" s="725">
        <f t="shared" si="248"/>
        <v>0</v>
      </c>
      <c r="I540" s="725">
        <f t="shared" si="248"/>
        <v>0</v>
      </c>
      <c r="J540" s="725">
        <f t="shared" si="248"/>
        <v>104930</v>
      </c>
      <c r="K540" s="725">
        <f t="shared" si="248"/>
        <v>0</v>
      </c>
      <c r="L540" s="725">
        <f t="shared" si="248"/>
        <v>104930</v>
      </c>
      <c r="M540" s="725">
        <f t="shared" si="248"/>
        <v>125849</v>
      </c>
      <c r="N540" s="725">
        <f t="shared" si="248"/>
        <v>64553</v>
      </c>
      <c r="O540" s="725">
        <f t="shared" si="248"/>
        <v>295332</v>
      </c>
    </row>
    <row r="541" spans="1:15" ht="17.25" thickTop="1" thickBot="1" x14ac:dyDescent="0.3">
      <c r="A541" s="712"/>
      <c r="B541" s="725" t="s">
        <v>385</v>
      </c>
      <c r="C541" s="725">
        <f>+C532+C534+C535+C536+C537+C538+C539</f>
        <v>68422</v>
      </c>
      <c r="D541" s="725">
        <f t="shared" ref="D541:O541" si="249">+D532+D534+D535+D536+D537+D538+D539</f>
        <v>0</v>
      </c>
      <c r="E541" s="725">
        <f t="shared" si="249"/>
        <v>0</v>
      </c>
      <c r="F541" s="725">
        <f t="shared" si="249"/>
        <v>36508</v>
      </c>
      <c r="G541" s="725">
        <f t="shared" si="249"/>
        <v>0</v>
      </c>
      <c r="H541" s="725">
        <f t="shared" si="249"/>
        <v>0</v>
      </c>
      <c r="I541" s="725">
        <f t="shared" si="249"/>
        <v>0</v>
      </c>
      <c r="J541" s="725">
        <f t="shared" si="249"/>
        <v>104930</v>
      </c>
      <c r="K541" s="725">
        <f t="shared" si="249"/>
        <v>0</v>
      </c>
      <c r="L541" s="725">
        <f t="shared" si="249"/>
        <v>104930</v>
      </c>
      <c r="M541" s="725">
        <f t="shared" si="249"/>
        <v>125849</v>
      </c>
      <c r="N541" s="725">
        <f t="shared" si="249"/>
        <v>64553</v>
      </c>
      <c r="O541" s="725">
        <f t="shared" si="249"/>
        <v>295332</v>
      </c>
    </row>
    <row r="542" spans="1:15" ht="32.25" thickTop="1" x14ac:dyDescent="0.25">
      <c r="A542" s="716" t="s">
        <v>562</v>
      </c>
      <c r="B542" s="726" t="s">
        <v>793</v>
      </c>
      <c r="C542" s="726"/>
      <c r="D542" s="726"/>
      <c r="E542" s="726"/>
      <c r="F542" s="726"/>
      <c r="G542" s="726"/>
      <c r="H542" s="726"/>
      <c r="I542" s="726"/>
      <c r="J542" s="726"/>
      <c r="K542" s="726"/>
      <c r="L542" s="726"/>
      <c r="M542" s="726"/>
      <c r="N542" s="726"/>
      <c r="O542" s="726"/>
    </row>
    <row r="543" spans="1:15" x14ac:dyDescent="0.25">
      <c r="A543" s="716"/>
      <c r="B543" s="718" t="s">
        <v>347</v>
      </c>
      <c r="C543" s="718">
        <f t="shared" ref="C543:E543" si="250">SUM(C544:C545)</f>
        <v>12456</v>
      </c>
      <c r="D543" s="718">
        <f t="shared" si="250"/>
        <v>0</v>
      </c>
      <c r="E543" s="718">
        <f t="shared" si="250"/>
        <v>0</v>
      </c>
      <c r="F543" s="718">
        <f>SUM(F544:F545)</f>
        <v>17076</v>
      </c>
      <c r="G543" s="718">
        <f t="shared" ref="G543:I543" si="251">SUM(G544:G545)</f>
        <v>0</v>
      </c>
      <c r="H543" s="718">
        <f t="shared" si="251"/>
        <v>0</v>
      </c>
      <c r="I543" s="718">
        <f t="shared" si="251"/>
        <v>0</v>
      </c>
      <c r="J543" s="718">
        <f t="shared" ref="J543:J560" si="252">SUM(C543+E543+F543+H543)</f>
        <v>29532</v>
      </c>
      <c r="K543" s="718">
        <f t="shared" ref="K543:K560" si="253">SUM(D543+G543+I543)</f>
        <v>0</v>
      </c>
      <c r="L543" s="718">
        <f t="shared" ref="L543:L560" si="254">SUM(J543:K543)</f>
        <v>29532</v>
      </c>
      <c r="M543" s="718">
        <f>SUM(M544:M545)</f>
        <v>154385</v>
      </c>
      <c r="N543" s="718">
        <f>SUM(N544:N545)</f>
        <v>5771</v>
      </c>
      <c r="O543" s="718">
        <f t="shared" ref="O543:O560" si="255">SUM(L543:N543)</f>
        <v>189688</v>
      </c>
    </row>
    <row r="544" spans="1:15" s="722" customFormat="1" x14ac:dyDescent="0.25">
      <c r="A544" s="719"/>
      <c r="B544" s="720" t="s">
        <v>381</v>
      </c>
      <c r="C544" s="720">
        <v>12156</v>
      </c>
      <c r="D544" s="720"/>
      <c r="E544" s="720"/>
      <c r="F544" s="720">
        <v>17076</v>
      </c>
      <c r="G544" s="720"/>
      <c r="H544" s="720"/>
      <c r="I544" s="720"/>
      <c r="J544" s="721">
        <f t="shared" si="252"/>
        <v>29232</v>
      </c>
      <c r="K544" s="721">
        <f t="shared" si="253"/>
        <v>0</v>
      </c>
      <c r="L544" s="721">
        <f t="shared" si="254"/>
        <v>29232</v>
      </c>
      <c r="M544" s="721">
        <v>152585</v>
      </c>
      <c r="N544" s="721">
        <v>5771</v>
      </c>
      <c r="O544" s="721">
        <f t="shared" si="255"/>
        <v>187588</v>
      </c>
    </row>
    <row r="545" spans="1:15" s="722" customFormat="1" x14ac:dyDescent="0.25">
      <c r="A545" s="719"/>
      <c r="B545" s="720" t="s">
        <v>380</v>
      </c>
      <c r="C545" s="720">
        <v>300</v>
      </c>
      <c r="D545" s="720"/>
      <c r="E545" s="720"/>
      <c r="F545" s="720"/>
      <c r="G545" s="720"/>
      <c r="H545" s="720"/>
      <c r="I545" s="720"/>
      <c r="J545" s="720">
        <f t="shared" si="252"/>
        <v>300</v>
      </c>
      <c r="K545" s="720">
        <f t="shared" si="253"/>
        <v>0</v>
      </c>
      <c r="L545" s="720">
        <f t="shared" si="254"/>
        <v>300</v>
      </c>
      <c r="M545" s="720">
        <v>1800</v>
      </c>
      <c r="N545" s="720"/>
      <c r="O545" s="720">
        <f t="shared" si="255"/>
        <v>2100</v>
      </c>
    </row>
    <row r="546" spans="1:15" s="722" customFormat="1" x14ac:dyDescent="0.25">
      <c r="A546" s="719"/>
      <c r="B546" s="720" t="s">
        <v>131</v>
      </c>
      <c r="C546" s="723"/>
      <c r="D546" s="723"/>
      <c r="E546" s="723"/>
      <c r="F546" s="723"/>
      <c r="G546" s="723"/>
      <c r="H546" s="723"/>
      <c r="I546" s="723"/>
      <c r="J546" s="723"/>
      <c r="K546" s="723"/>
      <c r="L546" s="723"/>
      <c r="M546" s="723"/>
      <c r="N546" s="723"/>
      <c r="O546" s="723"/>
    </row>
    <row r="547" spans="1:15" s="722" customFormat="1" ht="49.5" customHeight="1" x14ac:dyDescent="0.25">
      <c r="A547" s="719"/>
      <c r="B547" s="974" t="s">
        <v>1517</v>
      </c>
      <c r="C547" s="723"/>
      <c r="D547" s="723"/>
      <c r="E547" s="723"/>
      <c r="F547" s="723"/>
      <c r="G547" s="723"/>
      <c r="H547" s="723"/>
      <c r="I547" s="723"/>
      <c r="J547" s="723">
        <f t="shared" si="252"/>
        <v>0</v>
      </c>
      <c r="K547" s="723">
        <f t="shared" si="253"/>
        <v>0</v>
      </c>
      <c r="L547" s="723">
        <f t="shared" si="254"/>
        <v>0</v>
      </c>
      <c r="M547" s="723">
        <v>4703</v>
      </c>
      <c r="N547" s="723"/>
      <c r="O547" s="723">
        <f t="shared" si="255"/>
        <v>4703</v>
      </c>
    </row>
    <row r="548" spans="1:15" s="722" customFormat="1" ht="78.75" x14ac:dyDescent="0.25">
      <c r="A548" s="719"/>
      <c r="B548" s="723" t="s">
        <v>1449</v>
      </c>
      <c r="C548" s="723"/>
      <c r="D548" s="723"/>
      <c r="E548" s="723"/>
      <c r="F548" s="723"/>
      <c r="G548" s="723"/>
      <c r="H548" s="723"/>
      <c r="I548" s="723"/>
      <c r="J548" s="723">
        <f t="shared" si="252"/>
        <v>0</v>
      </c>
      <c r="K548" s="723">
        <f t="shared" si="253"/>
        <v>0</v>
      </c>
      <c r="L548" s="723">
        <f t="shared" si="254"/>
        <v>0</v>
      </c>
      <c r="M548" s="723">
        <v>1539</v>
      </c>
      <c r="N548" s="723"/>
      <c r="O548" s="723">
        <f t="shared" si="255"/>
        <v>1539</v>
      </c>
    </row>
    <row r="549" spans="1:15" s="722" customFormat="1" x14ac:dyDescent="0.25">
      <c r="A549" s="719"/>
      <c r="B549" s="720" t="s">
        <v>132</v>
      </c>
      <c r="C549" s="723"/>
      <c r="D549" s="723"/>
      <c r="E549" s="723"/>
      <c r="F549" s="723"/>
      <c r="G549" s="723"/>
      <c r="H549" s="723"/>
      <c r="I549" s="723"/>
      <c r="J549" s="723"/>
      <c r="K549" s="723"/>
      <c r="L549" s="723"/>
      <c r="M549" s="723"/>
      <c r="N549" s="723"/>
      <c r="O549" s="723"/>
    </row>
    <row r="550" spans="1:15" s="722" customFormat="1" x14ac:dyDescent="0.25">
      <c r="A550" s="719"/>
      <c r="B550" s="723" t="s">
        <v>1330</v>
      </c>
      <c r="C550" s="723"/>
      <c r="D550" s="723"/>
      <c r="E550" s="723"/>
      <c r="F550" s="723"/>
      <c r="G550" s="723"/>
      <c r="H550" s="723"/>
      <c r="I550" s="723"/>
      <c r="J550" s="723">
        <f t="shared" si="252"/>
        <v>0</v>
      </c>
      <c r="K550" s="723">
        <f t="shared" si="253"/>
        <v>0</v>
      </c>
      <c r="L550" s="723">
        <f t="shared" si="254"/>
        <v>0</v>
      </c>
      <c r="M550" s="723">
        <v>813</v>
      </c>
      <c r="N550" s="723"/>
      <c r="O550" s="723">
        <f t="shared" si="255"/>
        <v>813</v>
      </c>
    </row>
    <row r="551" spans="1:15" ht="78.75" x14ac:dyDescent="0.25">
      <c r="A551" s="716"/>
      <c r="B551" s="723" t="s">
        <v>1458</v>
      </c>
      <c r="C551" s="718"/>
      <c r="D551" s="718"/>
      <c r="E551" s="718"/>
      <c r="F551" s="718"/>
      <c r="G551" s="718"/>
      <c r="H551" s="718"/>
      <c r="I551" s="718"/>
      <c r="J551" s="718">
        <f t="shared" si="252"/>
        <v>0</v>
      </c>
      <c r="K551" s="718">
        <f t="shared" si="253"/>
        <v>0</v>
      </c>
      <c r="L551" s="718">
        <f t="shared" si="254"/>
        <v>0</v>
      </c>
      <c r="M551" s="718">
        <v>40</v>
      </c>
      <c r="N551" s="718"/>
      <c r="O551" s="718">
        <f t="shared" si="255"/>
        <v>40</v>
      </c>
    </row>
    <row r="552" spans="1:15" ht="63" x14ac:dyDescent="0.25">
      <c r="A552" s="716"/>
      <c r="B552" s="723" t="s">
        <v>1459</v>
      </c>
      <c r="C552" s="718"/>
      <c r="D552" s="718"/>
      <c r="E552" s="718"/>
      <c r="F552" s="718"/>
      <c r="G552" s="718"/>
      <c r="H552" s="718"/>
      <c r="I552" s="718"/>
      <c r="J552" s="718">
        <f t="shared" si="252"/>
        <v>0</v>
      </c>
      <c r="K552" s="718">
        <f t="shared" si="253"/>
        <v>0</v>
      </c>
      <c r="L552" s="718">
        <f t="shared" si="254"/>
        <v>0</v>
      </c>
      <c r="M552" s="718">
        <v>30</v>
      </c>
      <c r="N552" s="718"/>
      <c r="O552" s="718">
        <f t="shared" si="255"/>
        <v>30</v>
      </c>
    </row>
    <row r="553" spans="1:15" ht="78.75" customHeight="1" x14ac:dyDescent="0.25">
      <c r="A553" s="716"/>
      <c r="B553" s="723" t="s">
        <v>1460</v>
      </c>
      <c r="C553" s="718"/>
      <c r="D553" s="718"/>
      <c r="E553" s="718"/>
      <c r="F553" s="718"/>
      <c r="G553" s="718"/>
      <c r="H553" s="718"/>
      <c r="I553" s="718"/>
      <c r="J553" s="718">
        <f t="shared" si="252"/>
        <v>0</v>
      </c>
      <c r="K553" s="718">
        <f t="shared" si="253"/>
        <v>0</v>
      </c>
      <c r="L553" s="718">
        <f t="shared" si="254"/>
        <v>0</v>
      </c>
      <c r="M553" s="718">
        <v>200</v>
      </c>
      <c r="N553" s="718"/>
      <c r="O553" s="718">
        <f t="shared" si="255"/>
        <v>200</v>
      </c>
    </row>
    <row r="554" spans="1:15" ht="94.5" x14ac:dyDescent="0.25">
      <c r="A554" s="727"/>
      <c r="B554" s="731" t="s">
        <v>1461</v>
      </c>
      <c r="C554" s="717"/>
      <c r="D554" s="717"/>
      <c r="E554" s="717"/>
      <c r="F554" s="717"/>
      <c r="G554" s="717"/>
      <c r="H554" s="717"/>
      <c r="I554" s="717"/>
      <c r="J554" s="717">
        <f t="shared" si="252"/>
        <v>0</v>
      </c>
      <c r="K554" s="717">
        <f t="shared" si="253"/>
        <v>0</v>
      </c>
      <c r="L554" s="717">
        <f t="shared" si="254"/>
        <v>0</v>
      </c>
      <c r="M554" s="717">
        <v>250</v>
      </c>
      <c r="N554" s="717"/>
      <c r="O554" s="717">
        <f t="shared" si="255"/>
        <v>250</v>
      </c>
    </row>
    <row r="555" spans="1:15" ht="94.5" x14ac:dyDescent="0.25">
      <c r="A555" s="727"/>
      <c r="B555" s="731" t="s">
        <v>1462</v>
      </c>
      <c r="C555" s="717"/>
      <c r="D555" s="717"/>
      <c r="E555" s="717"/>
      <c r="F555" s="717"/>
      <c r="G555" s="717"/>
      <c r="H555" s="717"/>
      <c r="I555" s="717"/>
      <c r="J555" s="717">
        <f t="shared" si="252"/>
        <v>0</v>
      </c>
      <c r="K555" s="717">
        <f t="shared" si="253"/>
        <v>0</v>
      </c>
      <c r="L555" s="717">
        <f t="shared" si="254"/>
        <v>0</v>
      </c>
      <c r="M555" s="717">
        <v>100</v>
      </c>
      <c r="N555" s="717"/>
      <c r="O555" s="717">
        <f t="shared" si="255"/>
        <v>100</v>
      </c>
    </row>
    <row r="556" spans="1:15" ht="63" x14ac:dyDescent="0.25">
      <c r="A556" s="716"/>
      <c r="B556" s="723" t="s">
        <v>1463</v>
      </c>
      <c r="C556" s="718"/>
      <c r="D556" s="718"/>
      <c r="E556" s="718"/>
      <c r="F556" s="718"/>
      <c r="G556" s="718"/>
      <c r="H556" s="718"/>
      <c r="I556" s="718"/>
      <c r="J556" s="718">
        <f t="shared" si="252"/>
        <v>0</v>
      </c>
      <c r="K556" s="718">
        <f t="shared" si="253"/>
        <v>0</v>
      </c>
      <c r="L556" s="718">
        <f t="shared" si="254"/>
        <v>0</v>
      </c>
      <c r="M556" s="718">
        <v>90</v>
      </c>
      <c r="N556" s="718"/>
      <c r="O556" s="718">
        <f t="shared" si="255"/>
        <v>90</v>
      </c>
    </row>
    <row r="557" spans="1:15" ht="78.75" x14ac:dyDescent="0.25">
      <c r="A557" s="716"/>
      <c r="B557" s="723" t="s">
        <v>1464</v>
      </c>
      <c r="C557" s="718"/>
      <c r="D557" s="718"/>
      <c r="E557" s="718"/>
      <c r="F557" s="718"/>
      <c r="G557" s="718"/>
      <c r="H557" s="718"/>
      <c r="I557" s="718"/>
      <c r="J557" s="718">
        <f t="shared" si="252"/>
        <v>0</v>
      </c>
      <c r="K557" s="718">
        <f t="shared" si="253"/>
        <v>0</v>
      </c>
      <c r="L557" s="718">
        <f t="shared" si="254"/>
        <v>0</v>
      </c>
      <c r="M557" s="718">
        <v>150</v>
      </c>
      <c r="N557" s="718"/>
      <c r="O557" s="718">
        <f t="shared" si="255"/>
        <v>150</v>
      </c>
    </row>
    <row r="558" spans="1:15" ht="114.75" customHeight="1" x14ac:dyDescent="0.25">
      <c r="A558" s="716"/>
      <c r="B558" s="723" t="s">
        <v>1465</v>
      </c>
      <c r="C558" s="718"/>
      <c r="D558" s="718"/>
      <c r="E558" s="718"/>
      <c r="F558" s="718"/>
      <c r="G558" s="718"/>
      <c r="H558" s="718"/>
      <c r="I558" s="718"/>
      <c r="J558" s="718">
        <f t="shared" si="252"/>
        <v>0</v>
      </c>
      <c r="K558" s="718">
        <f t="shared" si="253"/>
        <v>0</v>
      </c>
      <c r="L558" s="718">
        <f t="shared" si="254"/>
        <v>0</v>
      </c>
      <c r="M558" s="718">
        <v>50</v>
      </c>
      <c r="N558" s="718"/>
      <c r="O558" s="718">
        <f t="shared" si="255"/>
        <v>50</v>
      </c>
    </row>
    <row r="559" spans="1:15" ht="117" customHeight="1" x14ac:dyDescent="0.25">
      <c r="A559" s="716"/>
      <c r="B559" s="723" t="s">
        <v>1466</v>
      </c>
      <c r="C559" s="718"/>
      <c r="D559" s="718"/>
      <c r="E559" s="718"/>
      <c r="F559" s="718"/>
      <c r="G559" s="718"/>
      <c r="H559" s="718"/>
      <c r="I559" s="718"/>
      <c r="J559" s="718">
        <f t="shared" si="252"/>
        <v>0</v>
      </c>
      <c r="K559" s="718">
        <f t="shared" si="253"/>
        <v>0</v>
      </c>
      <c r="L559" s="718">
        <f t="shared" si="254"/>
        <v>0</v>
      </c>
      <c r="M559" s="718">
        <v>200</v>
      </c>
      <c r="N559" s="718"/>
      <c r="O559" s="718">
        <f t="shared" si="255"/>
        <v>200</v>
      </c>
    </row>
    <row r="560" spans="1:15" ht="79.5" thickBot="1" x14ac:dyDescent="0.3">
      <c r="A560" s="716"/>
      <c r="B560" s="724" t="s">
        <v>1467</v>
      </c>
      <c r="C560" s="718"/>
      <c r="D560" s="718"/>
      <c r="E560" s="718"/>
      <c r="F560" s="718"/>
      <c r="G560" s="718"/>
      <c r="H560" s="718"/>
      <c r="I560" s="718"/>
      <c r="J560" s="718">
        <f t="shared" si="252"/>
        <v>0</v>
      </c>
      <c r="K560" s="718">
        <f t="shared" si="253"/>
        <v>0</v>
      </c>
      <c r="L560" s="718">
        <f t="shared" si="254"/>
        <v>0</v>
      </c>
      <c r="M560" s="718">
        <v>400</v>
      </c>
      <c r="N560" s="718"/>
      <c r="O560" s="718">
        <f t="shared" si="255"/>
        <v>400</v>
      </c>
    </row>
    <row r="561" spans="1:16" ht="17.25" thickTop="1" thickBot="1" x14ac:dyDescent="0.3">
      <c r="A561" s="712"/>
      <c r="B561" s="725" t="s">
        <v>379</v>
      </c>
      <c r="C561" s="725">
        <f>+C543+C547+C548+C550+C551+C552+C560+C553+C554+C555+C556+C557+C558+C559</f>
        <v>12456</v>
      </c>
      <c r="D561" s="725">
        <f t="shared" ref="D561:O561" si="256">+D543+D547+D548+D550+D551+D552+D560+D553+D554+D555+D556+D557+D558+D559</f>
        <v>0</v>
      </c>
      <c r="E561" s="725">
        <f t="shared" si="256"/>
        <v>0</v>
      </c>
      <c r="F561" s="725">
        <f t="shared" si="256"/>
        <v>17076</v>
      </c>
      <c r="G561" s="725">
        <f t="shared" si="256"/>
        <v>0</v>
      </c>
      <c r="H561" s="725">
        <f t="shared" si="256"/>
        <v>0</v>
      </c>
      <c r="I561" s="725">
        <f t="shared" si="256"/>
        <v>0</v>
      </c>
      <c r="J561" s="725">
        <f t="shared" si="256"/>
        <v>29532</v>
      </c>
      <c r="K561" s="725">
        <f t="shared" si="256"/>
        <v>0</v>
      </c>
      <c r="L561" s="725">
        <f t="shared" si="256"/>
        <v>29532</v>
      </c>
      <c r="M561" s="725">
        <f t="shared" si="256"/>
        <v>162950</v>
      </c>
      <c r="N561" s="725">
        <f t="shared" si="256"/>
        <v>5771</v>
      </c>
      <c r="O561" s="725">
        <f t="shared" si="256"/>
        <v>198253</v>
      </c>
      <c r="P561" s="703">
        <f>O562+O563</f>
        <v>198253</v>
      </c>
    </row>
    <row r="562" spans="1:16" ht="17.25" thickTop="1" thickBot="1" x14ac:dyDescent="0.3">
      <c r="A562" s="712"/>
      <c r="B562" s="725" t="s">
        <v>378</v>
      </c>
      <c r="C562" s="725">
        <f>+C544+C547+C548</f>
        <v>12156</v>
      </c>
      <c r="D562" s="725">
        <f t="shared" ref="D562:O562" si="257">+D544+D547+D548</f>
        <v>0</v>
      </c>
      <c r="E562" s="725">
        <f t="shared" si="257"/>
        <v>0</v>
      </c>
      <c r="F562" s="725">
        <f t="shared" si="257"/>
        <v>17076</v>
      </c>
      <c r="G562" s="725">
        <f t="shared" si="257"/>
        <v>0</v>
      </c>
      <c r="H562" s="725">
        <f t="shared" si="257"/>
        <v>0</v>
      </c>
      <c r="I562" s="725">
        <f t="shared" si="257"/>
        <v>0</v>
      </c>
      <c r="J562" s="725">
        <f t="shared" si="257"/>
        <v>29232</v>
      </c>
      <c r="K562" s="725">
        <f t="shared" si="257"/>
        <v>0</v>
      </c>
      <c r="L562" s="725">
        <f t="shared" si="257"/>
        <v>29232</v>
      </c>
      <c r="M562" s="725">
        <f t="shared" si="257"/>
        <v>158827</v>
      </c>
      <c r="N562" s="725">
        <f t="shared" si="257"/>
        <v>5771</v>
      </c>
      <c r="O562" s="725">
        <f t="shared" si="257"/>
        <v>193830</v>
      </c>
    </row>
    <row r="563" spans="1:16" ht="17.25" thickTop="1" thickBot="1" x14ac:dyDescent="0.3">
      <c r="A563" s="712"/>
      <c r="B563" s="725" t="s">
        <v>377</v>
      </c>
      <c r="C563" s="725">
        <f t="shared" ref="C563:O563" si="258">+C545+C550+C551+C552+C560+C553+C554+C555+C556+C557+C558+C559</f>
        <v>300</v>
      </c>
      <c r="D563" s="725">
        <f t="shared" si="258"/>
        <v>0</v>
      </c>
      <c r="E563" s="725">
        <f t="shared" si="258"/>
        <v>0</v>
      </c>
      <c r="F563" s="725">
        <f t="shared" si="258"/>
        <v>0</v>
      </c>
      <c r="G563" s="725">
        <f t="shared" si="258"/>
        <v>0</v>
      </c>
      <c r="H563" s="725">
        <f t="shared" si="258"/>
        <v>0</v>
      </c>
      <c r="I563" s="725">
        <f t="shared" si="258"/>
        <v>0</v>
      </c>
      <c r="J563" s="725">
        <f t="shared" si="258"/>
        <v>300</v>
      </c>
      <c r="K563" s="725">
        <f t="shared" si="258"/>
        <v>0</v>
      </c>
      <c r="L563" s="725">
        <f t="shared" si="258"/>
        <v>300</v>
      </c>
      <c r="M563" s="725">
        <f t="shared" si="258"/>
        <v>4123</v>
      </c>
      <c r="N563" s="725">
        <f t="shared" si="258"/>
        <v>0</v>
      </c>
      <c r="O563" s="725">
        <f t="shared" si="258"/>
        <v>4423</v>
      </c>
    </row>
    <row r="564" spans="1:16" ht="17.25" thickTop="1" thickBot="1" x14ac:dyDescent="0.3">
      <c r="A564" s="712"/>
      <c r="B564" s="725" t="s">
        <v>384</v>
      </c>
      <c r="C564" s="725">
        <f t="shared" ref="C564:O564" si="259">SUM(C456+C474+C491+C516+C528+C540+C561+C502)</f>
        <v>282726</v>
      </c>
      <c r="D564" s="725">
        <f t="shared" si="259"/>
        <v>2866</v>
      </c>
      <c r="E564" s="725">
        <f t="shared" si="259"/>
        <v>0</v>
      </c>
      <c r="F564" s="725">
        <f t="shared" si="259"/>
        <v>302639</v>
      </c>
      <c r="G564" s="725">
        <f t="shared" si="259"/>
        <v>0</v>
      </c>
      <c r="H564" s="725">
        <f t="shared" si="259"/>
        <v>120</v>
      </c>
      <c r="I564" s="725">
        <f t="shared" si="259"/>
        <v>0</v>
      </c>
      <c r="J564" s="725">
        <f t="shared" si="259"/>
        <v>585485</v>
      </c>
      <c r="K564" s="725">
        <f t="shared" si="259"/>
        <v>2866</v>
      </c>
      <c r="L564" s="725">
        <f t="shared" si="259"/>
        <v>588351</v>
      </c>
      <c r="M564" s="725">
        <f t="shared" si="259"/>
        <v>2730032</v>
      </c>
      <c r="N564" s="725">
        <f t="shared" si="259"/>
        <v>395917</v>
      </c>
      <c r="O564" s="725">
        <f t="shared" si="259"/>
        <v>3714300</v>
      </c>
    </row>
    <row r="565" spans="1:16" ht="17.25" thickTop="1" thickBot="1" x14ac:dyDescent="0.3">
      <c r="A565" s="712"/>
      <c r="B565" s="725" t="s">
        <v>383</v>
      </c>
      <c r="C565" s="725">
        <f t="shared" ref="C565:O565" si="260">SUM(C383+C435+C446+C564)</f>
        <v>1283534</v>
      </c>
      <c r="D565" s="725">
        <f t="shared" si="260"/>
        <v>2866</v>
      </c>
      <c r="E565" s="725">
        <f t="shared" si="260"/>
        <v>0</v>
      </c>
      <c r="F565" s="725">
        <f t="shared" si="260"/>
        <v>1178686</v>
      </c>
      <c r="G565" s="725">
        <f t="shared" si="260"/>
        <v>0</v>
      </c>
      <c r="H565" s="725">
        <f t="shared" si="260"/>
        <v>1920</v>
      </c>
      <c r="I565" s="725">
        <f t="shared" si="260"/>
        <v>1951</v>
      </c>
      <c r="J565" s="725">
        <f t="shared" si="260"/>
        <v>2464140</v>
      </c>
      <c r="K565" s="725">
        <f t="shared" si="260"/>
        <v>4817</v>
      </c>
      <c r="L565" s="725">
        <f t="shared" si="260"/>
        <v>2468957</v>
      </c>
      <c r="M565" s="725">
        <f t="shared" si="260"/>
        <v>9088329</v>
      </c>
      <c r="N565" s="725">
        <f t="shared" si="260"/>
        <v>818265</v>
      </c>
      <c r="O565" s="725">
        <f t="shared" si="260"/>
        <v>12375551</v>
      </c>
    </row>
    <row r="566" spans="1:16" ht="16.5" thickTop="1" x14ac:dyDescent="0.25">
      <c r="A566" s="716" t="s">
        <v>563</v>
      </c>
      <c r="B566" s="726" t="s">
        <v>382</v>
      </c>
      <c r="C566" s="726"/>
      <c r="D566" s="726"/>
      <c r="E566" s="726"/>
      <c r="F566" s="726"/>
      <c r="G566" s="726"/>
      <c r="H566" s="726"/>
      <c r="I566" s="726"/>
      <c r="J566" s="726"/>
      <c r="K566" s="726"/>
      <c r="L566" s="726"/>
      <c r="M566" s="726"/>
      <c r="N566" s="726"/>
      <c r="O566" s="726"/>
    </row>
    <row r="567" spans="1:16" x14ac:dyDescent="0.25">
      <c r="A567" s="727"/>
      <c r="B567" s="749" t="s">
        <v>347</v>
      </c>
      <c r="C567" s="749">
        <f>SUM(C568:C570)</f>
        <v>199489</v>
      </c>
      <c r="D567" s="749">
        <f t="shared" ref="D567:I567" si="261">SUM(D568:D570)</f>
        <v>0</v>
      </c>
      <c r="E567" s="749">
        <f t="shared" si="261"/>
        <v>350</v>
      </c>
      <c r="F567" s="749">
        <f t="shared" si="261"/>
        <v>11185</v>
      </c>
      <c r="G567" s="749">
        <f t="shared" si="261"/>
        <v>0</v>
      </c>
      <c r="H567" s="749">
        <f t="shared" si="261"/>
        <v>0</v>
      </c>
      <c r="I567" s="749">
        <f t="shared" si="261"/>
        <v>0</v>
      </c>
      <c r="J567" s="749">
        <f>SUM(C567+E567+F567+H567)</f>
        <v>211024</v>
      </c>
      <c r="K567" s="749">
        <f>SUM(D567+G567+I567)</f>
        <v>0</v>
      </c>
      <c r="L567" s="749">
        <f>SUM(J567:K567)</f>
        <v>211024</v>
      </c>
      <c r="M567" s="749">
        <f>SUM(M568:M570)</f>
        <v>2589104</v>
      </c>
      <c r="N567" s="749">
        <f>SUM(N568:N570)</f>
        <v>30195</v>
      </c>
      <c r="O567" s="749">
        <f>SUM(L567:N567)</f>
        <v>2830323</v>
      </c>
    </row>
    <row r="568" spans="1:16" s="722" customFormat="1" x14ac:dyDescent="0.25">
      <c r="A568" s="728"/>
      <c r="B568" s="744" t="s">
        <v>381</v>
      </c>
      <c r="C568" s="744">
        <v>87378</v>
      </c>
      <c r="D568" s="744"/>
      <c r="E568" s="744">
        <v>0</v>
      </c>
      <c r="F568" s="744">
        <v>149</v>
      </c>
      <c r="G568" s="744"/>
      <c r="H568" s="744"/>
      <c r="I568" s="744"/>
      <c r="J568" s="746">
        <f>SUM(C568+E568+F568+H568)</f>
        <v>87527</v>
      </c>
      <c r="K568" s="746">
        <f>SUM(D568+G568+I568)</f>
        <v>0</v>
      </c>
      <c r="L568" s="746">
        <f>SUM(J568:K568)</f>
        <v>87527</v>
      </c>
      <c r="M568" s="746">
        <v>1333220</v>
      </c>
      <c r="N568" s="746">
        <v>30195</v>
      </c>
      <c r="O568" s="746">
        <f>SUM(L568:N568)</f>
        <v>1450942</v>
      </c>
    </row>
    <row r="569" spans="1:16" s="722" customFormat="1" x14ac:dyDescent="0.25">
      <c r="A569" s="719"/>
      <c r="B569" s="720" t="s">
        <v>380</v>
      </c>
      <c r="C569" s="720">
        <v>37794</v>
      </c>
      <c r="D569" s="720"/>
      <c r="E569" s="720">
        <v>0</v>
      </c>
      <c r="F569" s="720">
        <v>11036</v>
      </c>
      <c r="G569" s="720"/>
      <c r="H569" s="720"/>
      <c r="I569" s="720"/>
      <c r="J569" s="721">
        <f>SUM(C569+E569+F569+H569)</f>
        <v>48830</v>
      </c>
      <c r="K569" s="721">
        <f>SUM(D569+G569+I569)</f>
        <v>0</v>
      </c>
      <c r="L569" s="721">
        <f>SUM(J569:K569)</f>
        <v>48830</v>
      </c>
      <c r="M569" s="721">
        <v>346146</v>
      </c>
      <c r="N569" s="721"/>
      <c r="O569" s="721">
        <f>SUM(L569:N569)</f>
        <v>394976</v>
      </c>
    </row>
    <row r="570" spans="1:16" s="722" customFormat="1" x14ac:dyDescent="0.25">
      <c r="A570" s="728"/>
      <c r="B570" s="721" t="s">
        <v>447</v>
      </c>
      <c r="C570" s="721">
        <v>74317</v>
      </c>
      <c r="D570" s="721"/>
      <c r="E570" s="721">
        <v>350</v>
      </c>
      <c r="F570" s="721">
        <v>0</v>
      </c>
      <c r="G570" s="721"/>
      <c r="H570" s="721"/>
      <c r="I570" s="721"/>
      <c r="J570" s="721">
        <f>SUM(C570+E570+F570+H570)</f>
        <v>74667</v>
      </c>
      <c r="K570" s="721">
        <f>SUM(D570+G570+I570)</f>
        <v>0</v>
      </c>
      <c r="L570" s="721">
        <f>SUM(J570:K570)</f>
        <v>74667</v>
      </c>
      <c r="M570" s="721">
        <v>909738</v>
      </c>
      <c r="N570" s="721"/>
      <c r="O570" s="721">
        <f>SUM(L570:N570)</f>
        <v>984405</v>
      </c>
    </row>
    <row r="571" spans="1:16" s="722" customFormat="1" x14ac:dyDescent="0.25">
      <c r="A571" s="728"/>
      <c r="B571" s="721" t="s">
        <v>131</v>
      </c>
      <c r="C571" s="723"/>
      <c r="D571" s="723"/>
      <c r="E571" s="723"/>
      <c r="F571" s="723"/>
      <c r="G571" s="723"/>
      <c r="H571" s="723"/>
      <c r="I571" s="723"/>
      <c r="J571" s="723"/>
      <c r="K571" s="723"/>
      <c r="L571" s="723"/>
      <c r="M571" s="723"/>
      <c r="N571" s="723"/>
      <c r="O571" s="723"/>
    </row>
    <row r="572" spans="1:16" s="722" customFormat="1" ht="31.5" x14ac:dyDescent="0.25">
      <c r="A572" s="728"/>
      <c r="B572" s="723" t="s">
        <v>1425</v>
      </c>
      <c r="C572" s="723"/>
      <c r="D572" s="723"/>
      <c r="E572" s="723"/>
      <c r="F572" s="723"/>
      <c r="G572" s="723"/>
      <c r="H572" s="723"/>
      <c r="I572" s="723"/>
      <c r="J572" s="723">
        <f t="shared" ref="J572:J575" si="262">SUM(C572+E572+F572+H572)</f>
        <v>0</v>
      </c>
      <c r="K572" s="723">
        <f t="shared" ref="K572:K575" si="263">SUM(D572+G572+I572)</f>
        <v>0</v>
      </c>
      <c r="L572" s="723">
        <f t="shared" ref="L572:L575" si="264">SUM(J572:K572)</f>
        <v>0</v>
      </c>
      <c r="M572" s="723">
        <v>797</v>
      </c>
      <c r="N572" s="723"/>
      <c r="O572" s="723">
        <f t="shared" ref="O572:O575" si="265">SUM(L572:N572)</f>
        <v>797</v>
      </c>
    </row>
    <row r="573" spans="1:16" s="722" customFormat="1" ht="31.5" x14ac:dyDescent="0.25">
      <c r="A573" s="728"/>
      <c r="B573" s="723" t="s">
        <v>1388</v>
      </c>
      <c r="C573" s="723">
        <v>427</v>
      </c>
      <c r="D573" s="723"/>
      <c r="E573" s="723"/>
      <c r="F573" s="723">
        <v>1852</v>
      </c>
      <c r="G573" s="723">
        <v>2750</v>
      </c>
      <c r="H573" s="723"/>
      <c r="I573" s="723"/>
      <c r="J573" s="723">
        <f t="shared" si="262"/>
        <v>2279</v>
      </c>
      <c r="K573" s="723">
        <f t="shared" si="263"/>
        <v>2750</v>
      </c>
      <c r="L573" s="723">
        <f t="shared" si="264"/>
        <v>5029</v>
      </c>
      <c r="M573" s="723"/>
      <c r="N573" s="723"/>
      <c r="O573" s="723">
        <f t="shared" si="265"/>
        <v>5029</v>
      </c>
    </row>
    <row r="574" spans="1:16" s="722" customFormat="1" x14ac:dyDescent="0.25">
      <c r="A574" s="728"/>
      <c r="B574" s="721" t="s">
        <v>132</v>
      </c>
      <c r="C574" s="723"/>
      <c r="D574" s="723"/>
      <c r="E574" s="723"/>
      <c r="F574" s="723"/>
      <c r="G574" s="723"/>
      <c r="H574" s="723"/>
      <c r="I574" s="723"/>
      <c r="J574" s="723"/>
      <c r="K574" s="723"/>
      <c r="L574" s="723"/>
      <c r="M574" s="723"/>
      <c r="N574" s="723"/>
      <c r="O574" s="723"/>
    </row>
    <row r="575" spans="1:16" s="722" customFormat="1" x14ac:dyDescent="0.25">
      <c r="A575" s="728"/>
      <c r="B575" s="723" t="s">
        <v>962</v>
      </c>
      <c r="C575" s="723"/>
      <c r="D575" s="723"/>
      <c r="E575" s="723"/>
      <c r="F575" s="723"/>
      <c r="G575" s="723"/>
      <c r="H575" s="723"/>
      <c r="I575" s="723"/>
      <c r="J575" s="723">
        <f t="shared" si="262"/>
        <v>0</v>
      </c>
      <c r="K575" s="723">
        <f t="shared" si="263"/>
        <v>0</v>
      </c>
      <c r="L575" s="723">
        <f t="shared" si="264"/>
        <v>0</v>
      </c>
      <c r="M575" s="723">
        <v>-156692</v>
      </c>
      <c r="N575" s="723"/>
      <c r="O575" s="723">
        <f t="shared" si="265"/>
        <v>-156692</v>
      </c>
    </row>
    <row r="576" spans="1:16" s="722" customFormat="1" x14ac:dyDescent="0.25">
      <c r="A576" s="728"/>
      <c r="B576" s="721" t="s">
        <v>333</v>
      </c>
      <c r="C576" s="723"/>
      <c r="D576" s="723"/>
      <c r="E576" s="723"/>
      <c r="F576" s="723"/>
      <c r="G576" s="723"/>
      <c r="H576" s="723"/>
      <c r="I576" s="723"/>
      <c r="J576" s="723"/>
      <c r="K576" s="723"/>
      <c r="L576" s="723"/>
      <c r="M576" s="723"/>
      <c r="N576" s="723"/>
      <c r="O576" s="723"/>
    </row>
    <row r="577" spans="1:16" s="722" customFormat="1" x14ac:dyDescent="0.25">
      <c r="A577" s="728"/>
      <c r="B577" s="723" t="s">
        <v>1468</v>
      </c>
      <c r="C577" s="723"/>
      <c r="D577" s="723"/>
      <c r="E577" s="723">
        <v>190</v>
      </c>
      <c r="F577" s="723"/>
      <c r="G577" s="723"/>
      <c r="H577" s="723"/>
      <c r="I577" s="723"/>
      <c r="J577" s="723">
        <f t="shared" ref="J577:J578" si="266">SUM(C577+E577+F577+H577)</f>
        <v>190</v>
      </c>
      <c r="K577" s="723">
        <f t="shared" ref="K577:K578" si="267">SUM(D577+G577+I577)</f>
        <v>0</v>
      </c>
      <c r="L577" s="723">
        <f t="shared" ref="L577:L578" si="268">SUM(J577:K577)</f>
        <v>190</v>
      </c>
      <c r="M577" s="723">
        <v>-190</v>
      </c>
      <c r="N577" s="723"/>
      <c r="O577" s="723">
        <f t="shared" ref="O577:O578" si="269">SUM(L577:N577)</f>
        <v>0</v>
      </c>
    </row>
    <row r="578" spans="1:16" s="722" customFormat="1" ht="32.25" thickBot="1" x14ac:dyDescent="0.3">
      <c r="A578" s="728"/>
      <c r="B578" s="723" t="s">
        <v>1388</v>
      </c>
      <c r="C578" s="723">
        <v>307</v>
      </c>
      <c r="D578" s="723"/>
      <c r="E578" s="723"/>
      <c r="F578" s="723">
        <v>1322</v>
      </c>
      <c r="G578" s="723">
        <v>1975</v>
      </c>
      <c r="H578" s="723"/>
      <c r="I578" s="723"/>
      <c r="J578" s="723">
        <f t="shared" si="266"/>
        <v>1629</v>
      </c>
      <c r="K578" s="723">
        <f t="shared" si="267"/>
        <v>1975</v>
      </c>
      <c r="L578" s="723">
        <f t="shared" si="268"/>
        <v>3604</v>
      </c>
      <c r="M578" s="723"/>
      <c r="N578" s="723"/>
      <c r="O578" s="723">
        <f t="shared" si="269"/>
        <v>3604</v>
      </c>
    </row>
    <row r="579" spans="1:16" ht="17.25" thickTop="1" thickBot="1" x14ac:dyDescent="0.3">
      <c r="A579" s="712"/>
      <c r="B579" s="725" t="s">
        <v>379</v>
      </c>
      <c r="C579" s="725">
        <f>+C567+C572+C577+C573+C575+C578</f>
        <v>200223</v>
      </c>
      <c r="D579" s="725">
        <f t="shared" ref="D579:O579" si="270">+D567+D572+D577+D573+D575+D578</f>
        <v>0</v>
      </c>
      <c r="E579" s="725">
        <f t="shared" si="270"/>
        <v>540</v>
      </c>
      <c r="F579" s="725">
        <f t="shared" si="270"/>
        <v>14359</v>
      </c>
      <c r="G579" s="725">
        <f t="shared" si="270"/>
        <v>4725</v>
      </c>
      <c r="H579" s="725">
        <f t="shared" si="270"/>
        <v>0</v>
      </c>
      <c r="I579" s="725">
        <f t="shared" si="270"/>
        <v>0</v>
      </c>
      <c r="J579" s="725">
        <f t="shared" si="270"/>
        <v>215122</v>
      </c>
      <c r="K579" s="725">
        <f t="shared" si="270"/>
        <v>4725</v>
      </c>
      <c r="L579" s="725">
        <f t="shared" si="270"/>
        <v>219847</v>
      </c>
      <c r="M579" s="725">
        <f t="shared" si="270"/>
        <v>2433019</v>
      </c>
      <c r="N579" s="725">
        <f t="shared" si="270"/>
        <v>30195</v>
      </c>
      <c r="O579" s="725">
        <f t="shared" si="270"/>
        <v>2683061</v>
      </c>
      <c r="P579" s="703">
        <f>O580+O581+O582</f>
        <v>2683061</v>
      </c>
    </row>
    <row r="580" spans="1:16" ht="17.25" thickTop="1" thickBot="1" x14ac:dyDescent="0.3">
      <c r="A580" s="712"/>
      <c r="B580" s="725" t="s">
        <v>378</v>
      </c>
      <c r="C580" s="725">
        <f>+C568+C572+C573</f>
        <v>87805</v>
      </c>
      <c r="D580" s="725">
        <f t="shared" ref="D580:O580" si="271">+D568+D572+D573</f>
        <v>0</v>
      </c>
      <c r="E580" s="725">
        <f t="shared" si="271"/>
        <v>0</v>
      </c>
      <c r="F580" s="725">
        <f t="shared" si="271"/>
        <v>2001</v>
      </c>
      <c r="G580" s="725">
        <f t="shared" si="271"/>
        <v>2750</v>
      </c>
      <c r="H580" s="725">
        <f t="shared" si="271"/>
        <v>0</v>
      </c>
      <c r="I580" s="725">
        <f t="shared" si="271"/>
        <v>0</v>
      </c>
      <c r="J580" s="725">
        <f t="shared" si="271"/>
        <v>89806</v>
      </c>
      <c r="K580" s="725">
        <f t="shared" si="271"/>
        <v>2750</v>
      </c>
      <c r="L580" s="725">
        <f t="shared" si="271"/>
        <v>92556</v>
      </c>
      <c r="M580" s="725">
        <f t="shared" si="271"/>
        <v>1334017</v>
      </c>
      <c r="N580" s="725">
        <f t="shared" si="271"/>
        <v>30195</v>
      </c>
      <c r="O580" s="725">
        <f t="shared" si="271"/>
        <v>1456768</v>
      </c>
    </row>
    <row r="581" spans="1:16" ht="17.25" thickTop="1" thickBot="1" x14ac:dyDescent="0.3">
      <c r="A581" s="712"/>
      <c r="B581" s="725" t="s">
        <v>377</v>
      </c>
      <c r="C581" s="725">
        <f>+C569+C575</f>
        <v>37794</v>
      </c>
      <c r="D581" s="725">
        <f t="shared" ref="D581:O581" si="272">+D569+D575</f>
        <v>0</v>
      </c>
      <c r="E581" s="725">
        <f t="shared" si="272"/>
        <v>0</v>
      </c>
      <c r="F581" s="725">
        <f t="shared" si="272"/>
        <v>11036</v>
      </c>
      <c r="G581" s="725">
        <f t="shared" si="272"/>
        <v>0</v>
      </c>
      <c r="H581" s="725">
        <f t="shared" si="272"/>
        <v>0</v>
      </c>
      <c r="I581" s="725">
        <f t="shared" si="272"/>
        <v>0</v>
      </c>
      <c r="J581" s="725">
        <f t="shared" si="272"/>
        <v>48830</v>
      </c>
      <c r="K581" s="725">
        <f t="shared" si="272"/>
        <v>0</v>
      </c>
      <c r="L581" s="725">
        <f t="shared" si="272"/>
        <v>48830</v>
      </c>
      <c r="M581" s="725">
        <f t="shared" si="272"/>
        <v>189454</v>
      </c>
      <c r="N581" s="725">
        <f t="shared" si="272"/>
        <v>0</v>
      </c>
      <c r="O581" s="725">
        <f t="shared" si="272"/>
        <v>238284</v>
      </c>
    </row>
    <row r="582" spans="1:16" ht="33" thickTop="1" thickBot="1" x14ac:dyDescent="0.3">
      <c r="A582" s="712"/>
      <c r="B582" s="725" t="s">
        <v>446</v>
      </c>
      <c r="C582" s="725">
        <f t="shared" ref="C582:O582" si="273">SUM(C570+C577+C578)</f>
        <v>74624</v>
      </c>
      <c r="D582" s="725">
        <f t="shared" si="273"/>
        <v>0</v>
      </c>
      <c r="E582" s="725">
        <f t="shared" si="273"/>
        <v>540</v>
      </c>
      <c r="F582" s="725">
        <f t="shared" si="273"/>
        <v>1322</v>
      </c>
      <c r="G582" s="725">
        <f t="shared" si="273"/>
        <v>1975</v>
      </c>
      <c r="H582" s="725">
        <f t="shared" si="273"/>
        <v>0</v>
      </c>
      <c r="I582" s="725">
        <f t="shared" si="273"/>
        <v>0</v>
      </c>
      <c r="J582" s="725">
        <f t="shared" si="273"/>
        <v>76486</v>
      </c>
      <c r="K582" s="725">
        <f t="shared" si="273"/>
        <v>1975</v>
      </c>
      <c r="L582" s="725">
        <f t="shared" si="273"/>
        <v>78461</v>
      </c>
      <c r="M582" s="725">
        <f t="shared" si="273"/>
        <v>909548</v>
      </c>
      <c r="N582" s="725">
        <f t="shared" si="273"/>
        <v>0</v>
      </c>
      <c r="O582" s="725">
        <f t="shared" si="273"/>
        <v>988009</v>
      </c>
    </row>
    <row r="583" spans="1:16" ht="17.25" thickTop="1" thickBot="1" x14ac:dyDescent="0.3">
      <c r="A583" s="712"/>
      <c r="B583" s="725" t="s">
        <v>375</v>
      </c>
      <c r="C583" s="725">
        <f t="shared" ref="C583:O583" si="274">SUM(C565+C579)</f>
        <v>1483757</v>
      </c>
      <c r="D583" s="725">
        <f t="shared" si="274"/>
        <v>2866</v>
      </c>
      <c r="E583" s="725">
        <f t="shared" si="274"/>
        <v>540</v>
      </c>
      <c r="F583" s="725">
        <f t="shared" si="274"/>
        <v>1193045</v>
      </c>
      <c r="G583" s="725">
        <f t="shared" si="274"/>
        <v>4725</v>
      </c>
      <c r="H583" s="725">
        <f t="shared" si="274"/>
        <v>1920</v>
      </c>
      <c r="I583" s="725">
        <f t="shared" si="274"/>
        <v>1951</v>
      </c>
      <c r="J583" s="725">
        <f t="shared" si="274"/>
        <v>2679262</v>
      </c>
      <c r="K583" s="725">
        <f t="shared" si="274"/>
        <v>9542</v>
      </c>
      <c r="L583" s="725">
        <f t="shared" si="274"/>
        <v>2688804</v>
      </c>
      <c r="M583" s="725">
        <f t="shared" si="274"/>
        <v>11521348</v>
      </c>
      <c r="N583" s="725">
        <f t="shared" si="274"/>
        <v>848460</v>
      </c>
      <c r="O583" s="725">
        <f t="shared" si="274"/>
        <v>15058612</v>
      </c>
    </row>
    <row r="584" spans="1:16" ht="17.25" thickTop="1" thickBot="1" x14ac:dyDescent="0.3">
      <c r="A584" s="747"/>
      <c r="B584" s="725" t="s">
        <v>24</v>
      </c>
      <c r="C584" s="725">
        <f t="shared" ref="C584:O584" si="275">SUM(C8+C24+C40+C59+C78+C96+C114+C133+C151+C169+C188+C207+C233+C253+C271+C291+C313+C324+C342+C363+C385+C403+C418+C437+C450+C459+C478+C505+C519+C531+C543+C567+C495)</f>
        <v>1284893</v>
      </c>
      <c r="D584" s="725">
        <f t="shared" si="275"/>
        <v>0</v>
      </c>
      <c r="E584" s="725">
        <f t="shared" si="275"/>
        <v>350</v>
      </c>
      <c r="F584" s="725">
        <f t="shared" si="275"/>
        <v>1392333</v>
      </c>
      <c r="G584" s="725">
        <f t="shared" si="275"/>
        <v>0</v>
      </c>
      <c r="H584" s="725">
        <f t="shared" si="275"/>
        <v>50</v>
      </c>
      <c r="I584" s="725">
        <f t="shared" si="275"/>
        <v>0</v>
      </c>
      <c r="J584" s="725">
        <f t="shared" si="275"/>
        <v>2677626</v>
      </c>
      <c r="K584" s="725">
        <f t="shared" si="275"/>
        <v>0</v>
      </c>
      <c r="L584" s="725">
        <f t="shared" si="275"/>
        <v>2677626</v>
      </c>
      <c r="M584" s="725">
        <f t="shared" si="275"/>
        <v>11621659</v>
      </c>
      <c r="N584" s="725">
        <f t="shared" si="275"/>
        <v>848460</v>
      </c>
      <c r="O584" s="725">
        <f t="shared" si="275"/>
        <v>15147745</v>
      </c>
    </row>
    <row r="585" spans="1:16" ht="16.5" thickTop="1" x14ac:dyDescent="0.25">
      <c r="A585" s="750"/>
      <c r="B585" s="751" t="s">
        <v>131</v>
      </c>
      <c r="C585" s="751"/>
      <c r="D585" s="751"/>
      <c r="E585" s="751"/>
      <c r="F585" s="751"/>
      <c r="G585" s="751"/>
      <c r="H585" s="751"/>
      <c r="I585" s="751"/>
      <c r="J585" s="751"/>
      <c r="K585" s="751"/>
      <c r="L585" s="751"/>
      <c r="M585" s="751"/>
      <c r="N585" s="751"/>
      <c r="O585" s="751"/>
    </row>
    <row r="586" spans="1:16" s="755" customFormat="1" ht="47.25" x14ac:dyDescent="0.25">
      <c r="A586" s="752"/>
      <c r="B586" s="753" t="s">
        <v>1425</v>
      </c>
      <c r="C586" s="754">
        <f t="shared" ref="C586:O586" si="276">C12+C28+C44+C63+C82+C100+C118+C137+C155+C173+C192+C211+C275+C295+C346+C367+C389+C407+C422+C441+C463+C482+C572</f>
        <v>0</v>
      </c>
      <c r="D586" s="754">
        <f t="shared" si="276"/>
        <v>0</v>
      </c>
      <c r="E586" s="754">
        <f t="shared" si="276"/>
        <v>0</v>
      </c>
      <c r="F586" s="754">
        <f t="shared" si="276"/>
        <v>0</v>
      </c>
      <c r="G586" s="754">
        <f t="shared" si="276"/>
        <v>0</v>
      </c>
      <c r="H586" s="754">
        <f t="shared" si="276"/>
        <v>0</v>
      </c>
      <c r="I586" s="754">
        <f t="shared" si="276"/>
        <v>0</v>
      </c>
      <c r="J586" s="754">
        <f t="shared" si="276"/>
        <v>0</v>
      </c>
      <c r="K586" s="754">
        <f t="shared" si="276"/>
        <v>0</v>
      </c>
      <c r="L586" s="754">
        <f t="shared" si="276"/>
        <v>0</v>
      </c>
      <c r="M586" s="754">
        <f t="shared" si="276"/>
        <v>4866</v>
      </c>
      <c r="N586" s="754">
        <f t="shared" si="276"/>
        <v>0</v>
      </c>
      <c r="O586" s="754">
        <f t="shared" si="276"/>
        <v>4866</v>
      </c>
    </row>
    <row r="587" spans="1:16" s="755" customFormat="1" ht="47.25" x14ac:dyDescent="0.25">
      <c r="A587" s="750"/>
      <c r="B587" s="933" t="s">
        <v>1429</v>
      </c>
      <c r="C587" s="934">
        <f t="shared" ref="C587:O587" si="277">C29+C45+C64+C83+C101+C119+C138+C390+C408+C423</f>
        <v>0</v>
      </c>
      <c r="D587" s="934">
        <f t="shared" si="277"/>
        <v>0</v>
      </c>
      <c r="E587" s="934">
        <f t="shared" si="277"/>
        <v>0</v>
      </c>
      <c r="F587" s="934">
        <f t="shared" si="277"/>
        <v>0</v>
      </c>
      <c r="G587" s="934">
        <f t="shared" si="277"/>
        <v>0</v>
      </c>
      <c r="H587" s="934">
        <f t="shared" si="277"/>
        <v>0</v>
      </c>
      <c r="I587" s="934">
        <f t="shared" si="277"/>
        <v>0</v>
      </c>
      <c r="J587" s="934">
        <f t="shared" si="277"/>
        <v>0</v>
      </c>
      <c r="K587" s="934">
        <f t="shared" si="277"/>
        <v>0</v>
      </c>
      <c r="L587" s="934">
        <f t="shared" si="277"/>
        <v>0</v>
      </c>
      <c r="M587" s="934">
        <f t="shared" si="277"/>
        <v>169953</v>
      </c>
      <c r="N587" s="934">
        <f t="shared" si="277"/>
        <v>0</v>
      </c>
      <c r="O587" s="934">
        <f t="shared" si="277"/>
        <v>169953</v>
      </c>
    </row>
    <row r="588" spans="1:16" s="755" customFormat="1" ht="47.25" x14ac:dyDescent="0.25">
      <c r="A588" s="750"/>
      <c r="B588" s="933" t="s">
        <v>1446</v>
      </c>
      <c r="C588" s="934">
        <f t="shared" ref="C588:O588" si="278">C391</f>
        <v>0</v>
      </c>
      <c r="D588" s="934">
        <f t="shared" si="278"/>
        <v>0</v>
      </c>
      <c r="E588" s="934">
        <f t="shared" si="278"/>
        <v>0</v>
      </c>
      <c r="F588" s="934">
        <f t="shared" si="278"/>
        <v>0</v>
      </c>
      <c r="G588" s="934">
        <f t="shared" si="278"/>
        <v>0</v>
      </c>
      <c r="H588" s="934">
        <f t="shared" si="278"/>
        <v>0</v>
      </c>
      <c r="I588" s="934">
        <f t="shared" si="278"/>
        <v>0</v>
      </c>
      <c r="J588" s="934">
        <f t="shared" si="278"/>
        <v>0</v>
      </c>
      <c r="K588" s="934">
        <f t="shared" si="278"/>
        <v>0</v>
      </c>
      <c r="L588" s="934">
        <f t="shared" si="278"/>
        <v>0</v>
      </c>
      <c r="M588" s="934">
        <f t="shared" si="278"/>
        <v>4984</v>
      </c>
      <c r="N588" s="934">
        <f t="shared" si="278"/>
        <v>0</v>
      </c>
      <c r="O588" s="934">
        <f t="shared" si="278"/>
        <v>4984</v>
      </c>
    </row>
    <row r="589" spans="1:16" s="755" customFormat="1" ht="47.25" x14ac:dyDescent="0.25">
      <c r="A589" s="750"/>
      <c r="B589" s="933" t="s">
        <v>1517</v>
      </c>
      <c r="C589" s="934">
        <f t="shared" ref="C589:O589" si="279">C464+C483+C547</f>
        <v>0</v>
      </c>
      <c r="D589" s="934">
        <f t="shared" si="279"/>
        <v>0</v>
      </c>
      <c r="E589" s="934">
        <f t="shared" si="279"/>
        <v>0</v>
      </c>
      <c r="F589" s="934">
        <f t="shared" si="279"/>
        <v>0</v>
      </c>
      <c r="G589" s="934">
        <f t="shared" si="279"/>
        <v>0</v>
      </c>
      <c r="H589" s="934">
        <f t="shared" si="279"/>
        <v>0</v>
      </c>
      <c r="I589" s="934">
        <f t="shared" si="279"/>
        <v>0</v>
      </c>
      <c r="J589" s="934">
        <f t="shared" si="279"/>
        <v>0</v>
      </c>
      <c r="K589" s="934">
        <f t="shared" si="279"/>
        <v>0</v>
      </c>
      <c r="L589" s="934">
        <f t="shared" si="279"/>
        <v>0</v>
      </c>
      <c r="M589" s="934">
        <f t="shared" si="279"/>
        <v>36753</v>
      </c>
      <c r="N589" s="934">
        <f t="shared" si="279"/>
        <v>0</v>
      </c>
      <c r="O589" s="934">
        <f t="shared" si="279"/>
        <v>36753</v>
      </c>
    </row>
    <row r="590" spans="1:16" s="755" customFormat="1" ht="84.75" customHeight="1" x14ac:dyDescent="0.25">
      <c r="A590" s="752"/>
      <c r="B590" s="753" t="s">
        <v>1326</v>
      </c>
      <c r="C590" s="754">
        <f t="shared" ref="C590:O590" si="280">C13+C65+C120+C174+C193+C237+C257+C276+C296+C328+C347+C368+C442+C465</f>
        <v>0</v>
      </c>
      <c r="D590" s="754">
        <f t="shared" si="280"/>
        <v>0</v>
      </c>
      <c r="E590" s="754">
        <f t="shared" si="280"/>
        <v>0</v>
      </c>
      <c r="F590" s="754">
        <f t="shared" si="280"/>
        <v>0</v>
      </c>
      <c r="G590" s="754">
        <f t="shared" si="280"/>
        <v>0</v>
      </c>
      <c r="H590" s="754">
        <f t="shared" si="280"/>
        <v>0</v>
      </c>
      <c r="I590" s="754">
        <f t="shared" si="280"/>
        <v>0</v>
      </c>
      <c r="J590" s="754">
        <f t="shared" si="280"/>
        <v>0</v>
      </c>
      <c r="K590" s="754">
        <f t="shared" si="280"/>
        <v>0</v>
      </c>
      <c r="L590" s="754">
        <f t="shared" si="280"/>
        <v>0</v>
      </c>
      <c r="M590" s="754">
        <f t="shared" si="280"/>
        <v>29229</v>
      </c>
      <c r="N590" s="754">
        <f t="shared" si="280"/>
        <v>0</v>
      </c>
      <c r="O590" s="754">
        <f t="shared" si="280"/>
        <v>29229</v>
      </c>
    </row>
    <row r="591" spans="1:16" s="755" customFormat="1" x14ac:dyDescent="0.25">
      <c r="A591" s="752"/>
      <c r="B591" s="753" t="s">
        <v>1365</v>
      </c>
      <c r="C591" s="754">
        <f t="shared" ref="C591:O591" si="281">C424</f>
        <v>0</v>
      </c>
      <c r="D591" s="754">
        <f t="shared" si="281"/>
        <v>0</v>
      </c>
      <c r="E591" s="754">
        <f t="shared" si="281"/>
        <v>0</v>
      </c>
      <c r="F591" s="754">
        <f t="shared" si="281"/>
        <v>0</v>
      </c>
      <c r="G591" s="754">
        <f t="shared" si="281"/>
        <v>0</v>
      </c>
      <c r="H591" s="754">
        <f t="shared" si="281"/>
        <v>0</v>
      </c>
      <c r="I591" s="754">
        <f t="shared" si="281"/>
        <v>0</v>
      </c>
      <c r="J591" s="754">
        <f t="shared" si="281"/>
        <v>0</v>
      </c>
      <c r="K591" s="754">
        <f t="shared" si="281"/>
        <v>0</v>
      </c>
      <c r="L591" s="754">
        <f t="shared" si="281"/>
        <v>0</v>
      </c>
      <c r="M591" s="754">
        <f t="shared" si="281"/>
        <v>244</v>
      </c>
      <c r="N591" s="754">
        <f t="shared" si="281"/>
        <v>0</v>
      </c>
      <c r="O591" s="754">
        <f t="shared" si="281"/>
        <v>244</v>
      </c>
    </row>
    <row r="592" spans="1:16" s="755" customFormat="1" ht="31.5" x14ac:dyDescent="0.25">
      <c r="A592" s="752"/>
      <c r="B592" s="753" t="s">
        <v>960</v>
      </c>
      <c r="C592" s="754">
        <f t="shared" ref="C592:O592" si="282">C466</f>
        <v>0</v>
      </c>
      <c r="D592" s="754">
        <f t="shared" si="282"/>
        <v>0</v>
      </c>
      <c r="E592" s="754">
        <f t="shared" si="282"/>
        <v>0</v>
      </c>
      <c r="F592" s="754">
        <f t="shared" si="282"/>
        <v>0</v>
      </c>
      <c r="G592" s="754">
        <f t="shared" si="282"/>
        <v>0</v>
      </c>
      <c r="H592" s="754">
        <f t="shared" si="282"/>
        <v>0</v>
      </c>
      <c r="I592" s="754">
        <f t="shared" si="282"/>
        <v>0</v>
      </c>
      <c r="J592" s="754">
        <f t="shared" si="282"/>
        <v>0</v>
      </c>
      <c r="K592" s="754">
        <f t="shared" si="282"/>
        <v>0</v>
      </c>
      <c r="L592" s="754">
        <f t="shared" si="282"/>
        <v>0</v>
      </c>
      <c r="M592" s="754">
        <f t="shared" si="282"/>
        <v>60562</v>
      </c>
      <c r="N592" s="754">
        <f t="shared" si="282"/>
        <v>0</v>
      </c>
      <c r="O592" s="754">
        <f t="shared" si="282"/>
        <v>60562</v>
      </c>
    </row>
    <row r="593" spans="1:15" s="755" customFormat="1" ht="78.75" x14ac:dyDescent="0.25">
      <c r="A593" s="752"/>
      <c r="B593" s="753" t="s">
        <v>1469</v>
      </c>
      <c r="C593" s="754">
        <f t="shared" ref="C593:O593" si="283">C46+C66+C84+C102+C121+C139+C156+C175+C194+C212+C238+C258+C277+C297+C329+C348+C369+C217</f>
        <v>0</v>
      </c>
      <c r="D593" s="754">
        <f t="shared" si="283"/>
        <v>0</v>
      </c>
      <c r="E593" s="754">
        <f t="shared" si="283"/>
        <v>0</v>
      </c>
      <c r="F593" s="754">
        <f t="shared" si="283"/>
        <v>0</v>
      </c>
      <c r="G593" s="754">
        <f t="shared" si="283"/>
        <v>0</v>
      </c>
      <c r="H593" s="754">
        <f t="shared" si="283"/>
        <v>0</v>
      </c>
      <c r="I593" s="754">
        <f t="shared" si="283"/>
        <v>0</v>
      </c>
      <c r="J593" s="754">
        <f t="shared" si="283"/>
        <v>0</v>
      </c>
      <c r="K593" s="754">
        <f t="shared" si="283"/>
        <v>0</v>
      </c>
      <c r="L593" s="754">
        <f t="shared" si="283"/>
        <v>0</v>
      </c>
      <c r="M593" s="754">
        <f t="shared" si="283"/>
        <v>64256</v>
      </c>
      <c r="N593" s="754">
        <f t="shared" si="283"/>
        <v>0</v>
      </c>
      <c r="O593" s="754">
        <f t="shared" si="283"/>
        <v>64256</v>
      </c>
    </row>
    <row r="594" spans="1:15" s="755" customFormat="1" ht="47.25" x14ac:dyDescent="0.25">
      <c r="A594" s="752"/>
      <c r="B594" s="753" t="s">
        <v>1470</v>
      </c>
      <c r="C594" s="754">
        <f t="shared" ref="C594:O594" si="284">C157+C176+C195+C213+C239+C259+C278+C298+C330+C349+C370+C218</f>
        <v>0</v>
      </c>
      <c r="D594" s="754">
        <f t="shared" si="284"/>
        <v>0</v>
      </c>
      <c r="E594" s="754">
        <f t="shared" si="284"/>
        <v>0</v>
      </c>
      <c r="F594" s="754">
        <f t="shared" si="284"/>
        <v>0</v>
      </c>
      <c r="G594" s="754">
        <f t="shared" si="284"/>
        <v>0</v>
      </c>
      <c r="H594" s="754">
        <f t="shared" si="284"/>
        <v>0</v>
      </c>
      <c r="I594" s="754">
        <f t="shared" si="284"/>
        <v>0</v>
      </c>
      <c r="J594" s="754">
        <f t="shared" si="284"/>
        <v>0</v>
      </c>
      <c r="K594" s="754">
        <f t="shared" si="284"/>
        <v>0</v>
      </c>
      <c r="L594" s="754">
        <f t="shared" si="284"/>
        <v>0</v>
      </c>
      <c r="M594" s="754">
        <f t="shared" si="284"/>
        <v>18106</v>
      </c>
      <c r="N594" s="754">
        <f t="shared" si="284"/>
        <v>0</v>
      </c>
      <c r="O594" s="754">
        <f t="shared" si="284"/>
        <v>18106</v>
      </c>
    </row>
    <row r="595" spans="1:15" s="755" customFormat="1" ht="31.5" x14ac:dyDescent="0.25">
      <c r="A595" s="752"/>
      <c r="B595" s="753" t="s">
        <v>1426</v>
      </c>
      <c r="C595" s="754">
        <f t="shared" ref="C595:O595" si="285">C14+C47+C67+C85+C122+C177+C196+C214+C240+C260+C279+C299+C331+C350+C371+C392+C409+C425+C467+C484+C219</f>
        <v>0</v>
      </c>
      <c r="D595" s="754">
        <f t="shared" si="285"/>
        <v>0</v>
      </c>
      <c r="E595" s="754">
        <f t="shared" si="285"/>
        <v>0</v>
      </c>
      <c r="F595" s="754">
        <f t="shared" si="285"/>
        <v>0</v>
      </c>
      <c r="G595" s="754">
        <f t="shared" si="285"/>
        <v>0</v>
      </c>
      <c r="H595" s="754">
        <f t="shared" si="285"/>
        <v>0</v>
      </c>
      <c r="I595" s="754">
        <f t="shared" si="285"/>
        <v>0</v>
      </c>
      <c r="J595" s="754">
        <f t="shared" si="285"/>
        <v>0</v>
      </c>
      <c r="K595" s="754">
        <f t="shared" si="285"/>
        <v>0</v>
      </c>
      <c r="L595" s="754">
        <f t="shared" si="285"/>
        <v>0</v>
      </c>
      <c r="M595" s="754">
        <f t="shared" si="285"/>
        <v>-155961</v>
      </c>
      <c r="N595" s="754">
        <f t="shared" si="285"/>
        <v>0</v>
      </c>
      <c r="O595" s="754">
        <f t="shared" si="285"/>
        <v>-155961</v>
      </c>
    </row>
    <row r="596" spans="1:15" s="755" customFormat="1" ht="31.5" x14ac:dyDescent="0.25">
      <c r="A596" s="752"/>
      <c r="B596" s="753" t="s">
        <v>961</v>
      </c>
      <c r="C596" s="754">
        <f t="shared" ref="C596:O596" si="286">C15+C30+C123+C140+C158+C178+C197+C215+C300+C426+C48+C68+C103+C242+C262+C281+C333+C352+C373+C86</f>
        <v>68500</v>
      </c>
      <c r="D596" s="754">
        <f t="shared" si="286"/>
        <v>0</v>
      </c>
      <c r="E596" s="754">
        <f t="shared" si="286"/>
        <v>0</v>
      </c>
      <c r="F596" s="754">
        <f t="shared" si="286"/>
        <v>25277</v>
      </c>
      <c r="G596" s="754">
        <f t="shared" si="286"/>
        <v>0</v>
      </c>
      <c r="H596" s="754">
        <f t="shared" si="286"/>
        <v>1800</v>
      </c>
      <c r="I596" s="754">
        <f t="shared" si="286"/>
        <v>1951</v>
      </c>
      <c r="J596" s="754">
        <f t="shared" si="286"/>
        <v>95577</v>
      </c>
      <c r="K596" s="754">
        <f t="shared" si="286"/>
        <v>1951</v>
      </c>
      <c r="L596" s="754">
        <f t="shared" si="286"/>
        <v>97528</v>
      </c>
      <c r="M596" s="754">
        <f t="shared" si="286"/>
        <v>0</v>
      </c>
      <c r="N596" s="754">
        <f t="shared" si="286"/>
        <v>0</v>
      </c>
      <c r="O596" s="754">
        <f t="shared" si="286"/>
        <v>97528</v>
      </c>
    </row>
    <row r="597" spans="1:15" s="755" customFormat="1" ht="31.5" x14ac:dyDescent="0.25">
      <c r="A597" s="752"/>
      <c r="B597" s="753" t="s">
        <v>1346</v>
      </c>
      <c r="C597" s="754">
        <f t="shared" ref="C597:O597" si="287">C220</f>
        <v>0</v>
      </c>
      <c r="D597" s="754">
        <f t="shared" si="287"/>
        <v>0</v>
      </c>
      <c r="E597" s="754">
        <f t="shared" si="287"/>
        <v>0</v>
      </c>
      <c r="F597" s="754">
        <f t="shared" si="287"/>
        <v>285</v>
      </c>
      <c r="G597" s="754">
        <f t="shared" si="287"/>
        <v>0</v>
      </c>
      <c r="H597" s="754">
        <f t="shared" si="287"/>
        <v>0</v>
      </c>
      <c r="I597" s="754">
        <f t="shared" si="287"/>
        <v>0</v>
      </c>
      <c r="J597" s="754">
        <f t="shared" si="287"/>
        <v>285</v>
      </c>
      <c r="K597" s="754">
        <f t="shared" si="287"/>
        <v>0</v>
      </c>
      <c r="L597" s="754">
        <f t="shared" si="287"/>
        <v>285</v>
      </c>
      <c r="M597" s="754">
        <f t="shared" si="287"/>
        <v>0</v>
      </c>
      <c r="N597" s="754">
        <f t="shared" si="287"/>
        <v>0</v>
      </c>
      <c r="O597" s="754">
        <f t="shared" si="287"/>
        <v>285</v>
      </c>
    </row>
    <row r="598" spans="1:15" s="755" customFormat="1" ht="47.25" x14ac:dyDescent="0.25">
      <c r="A598" s="752"/>
      <c r="B598" s="753" t="s">
        <v>1471</v>
      </c>
      <c r="C598" s="754">
        <f t="shared" ref="C598:O598" si="288">C317</f>
        <v>0</v>
      </c>
      <c r="D598" s="754">
        <f t="shared" si="288"/>
        <v>0</v>
      </c>
      <c r="E598" s="754">
        <f t="shared" si="288"/>
        <v>0</v>
      </c>
      <c r="F598" s="754">
        <f t="shared" si="288"/>
        <v>285</v>
      </c>
      <c r="G598" s="754">
        <f t="shared" si="288"/>
        <v>0</v>
      </c>
      <c r="H598" s="754">
        <f t="shared" si="288"/>
        <v>0</v>
      </c>
      <c r="I598" s="754">
        <f t="shared" si="288"/>
        <v>0</v>
      </c>
      <c r="J598" s="754">
        <f t="shared" si="288"/>
        <v>285</v>
      </c>
      <c r="K598" s="754">
        <f t="shared" si="288"/>
        <v>0</v>
      </c>
      <c r="L598" s="754">
        <f t="shared" si="288"/>
        <v>285</v>
      </c>
      <c r="M598" s="754">
        <f t="shared" si="288"/>
        <v>-31508</v>
      </c>
      <c r="N598" s="754">
        <f t="shared" si="288"/>
        <v>0</v>
      </c>
      <c r="O598" s="754">
        <f t="shared" si="288"/>
        <v>-31223</v>
      </c>
    </row>
    <row r="599" spans="1:15" s="755" customFormat="1" ht="47.25" x14ac:dyDescent="0.25">
      <c r="A599" s="752"/>
      <c r="B599" s="753" t="s">
        <v>1472</v>
      </c>
      <c r="C599" s="754">
        <f t="shared" ref="C599:O599" si="289">C216</f>
        <v>0</v>
      </c>
      <c r="D599" s="754">
        <f t="shared" si="289"/>
        <v>0</v>
      </c>
      <c r="E599" s="754">
        <f t="shared" si="289"/>
        <v>0</v>
      </c>
      <c r="F599" s="754">
        <f t="shared" si="289"/>
        <v>-285</v>
      </c>
      <c r="G599" s="754">
        <f t="shared" si="289"/>
        <v>0</v>
      </c>
      <c r="H599" s="754">
        <f t="shared" si="289"/>
        <v>0</v>
      </c>
      <c r="I599" s="754">
        <f t="shared" si="289"/>
        <v>0</v>
      </c>
      <c r="J599" s="754">
        <f t="shared" si="289"/>
        <v>-285</v>
      </c>
      <c r="K599" s="754">
        <f t="shared" si="289"/>
        <v>0</v>
      </c>
      <c r="L599" s="754">
        <f t="shared" si="289"/>
        <v>-285</v>
      </c>
      <c r="M599" s="754">
        <f t="shared" si="289"/>
        <v>31508</v>
      </c>
      <c r="N599" s="754">
        <f t="shared" si="289"/>
        <v>0</v>
      </c>
      <c r="O599" s="754">
        <f t="shared" si="289"/>
        <v>31223</v>
      </c>
    </row>
    <row r="600" spans="1:15" s="755" customFormat="1" ht="31.5" x14ac:dyDescent="0.25">
      <c r="A600" s="752"/>
      <c r="B600" s="753" t="s">
        <v>1432</v>
      </c>
      <c r="C600" s="754">
        <f t="shared" ref="C600:O600" si="290">C159+C179+C198+C241+C261+C280+C332+C351+C372+C443</f>
        <v>0</v>
      </c>
      <c r="D600" s="754">
        <f t="shared" si="290"/>
        <v>0</v>
      </c>
      <c r="E600" s="754">
        <f t="shared" si="290"/>
        <v>0</v>
      </c>
      <c r="F600" s="754">
        <f t="shared" si="290"/>
        <v>-127357</v>
      </c>
      <c r="G600" s="754">
        <f t="shared" si="290"/>
        <v>0</v>
      </c>
      <c r="H600" s="754">
        <f t="shared" si="290"/>
        <v>0</v>
      </c>
      <c r="I600" s="754">
        <f t="shared" si="290"/>
        <v>0</v>
      </c>
      <c r="J600" s="754">
        <f t="shared" si="290"/>
        <v>-127357</v>
      </c>
      <c r="K600" s="754">
        <f t="shared" si="290"/>
        <v>0</v>
      </c>
      <c r="L600" s="754">
        <f t="shared" si="290"/>
        <v>-127357</v>
      </c>
      <c r="M600" s="754">
        <f t="shared" si="290"/>
        <v>-218221</v>
      </c>
      <c r="N600" s="754">
        <f t="shared" si="290"/>
        <v>0</v>
      </c>
      <c r="O600" s="754">
        <f t="shared" si="290"/>
        <v>-345578</v>
      </c>
    </row>
    <row r="601" spans="1:15" s="755" customFormat="1" ht="78.75" x14ac:dyDescent="0.25">
      <c r="A601" s="752"/>
      <c r="B601" s="753" t="s">
        <v>1473</v>
      </c>
      <c r="C601" s="754">
        <f t="shared" ref="C601:O601" si="291">C485+C468+C548</f>
        <v>0</v>
      </c>
      <c r="D601" s="754">
        <f t="shared" si="291"/>
        <v>0</v>
      </c>
      <c r="E601" s="754">
        <f t="shared" si="291"/>
        <v>0</v>
      </c>
      <c r="F601" s="754">
        <f t="shared" si="291"/>
        <v>0</v>
      </c>
      <c r="G601" s="754">
        <f t="shared" si="291"/>
        <v>0</v>
      </c>
      <c r="H601" s="754">
        <f t="shared" si="291"/>
        <v>0</v>
      </c>
      <c r="I601" s="754">
        <f t="shared" si="291"/>
        <v>0</v>
      </c>
      <c r="J601" s="754">
        <f t="shared" si="291"/>
        <v>0</v>
      </c>
      <c r="K601" s="754">
        <f t="shared" si="291"/>
        <v>0</v>
      </c>
      <c r="L601" s="754">
        <f t="shared" si="291"/>
        <v>0</v>
      </c>
      <c r="M601" s="754">
        <f t="shared" si="291"/>
        <v>29016</v>
      </c>
      <c r="N601" s="754">
        <f t="shared" si="291"/>
        <v>0</v>
      </c>
      <c r="O601" s="754">
        <f t="shared" si="291"/>
        <v>29016</v>
      </c>
    </row>
    <row r="602" spans="1:15" s="755" customFormat="1" ht="47.25" x14ac:dyDescent="0.25">
      <c r="A602" s="752"/>
      <c r="B602" s="753" t="s">
        <v>1474</v>
      </c>
      <c r="C602" s="754">
        <f t="shared" ref="C602:O602" si="292">C221+C301</f>
        <v>0</v>
      </c>
      <c r="D602" s="754">
        <f t="shared" si="292"/>
        <v>0</v>
      </c>
      <c r="E602" s="754">
        <f t="shared" si="292"/>
        <v>0</v>
      </c>
      <c r="F602" s="754">
        <f t="shared" si="292"/>
        <v>0</v>
      </c>
      <c r="G602" s="754">
        <f t="shared" si="292"/>
        <v>0</v>
      </c>
      <c r="H602" s="754">
        <f t="shared" si="292"/>
        <v>0</v>
      </c>
      <c r="I602" s="754">
        <f t="shared" si="292"/>
        <v>0</v>
      </c>
      <c r="J602" s="754">
        <f t="shared" si="292"/>
        <v>0</v>
      </c>
      <c r="K602" s="754">
        <f t="shared" si="292"/>
        <v>0</v>
      </c>
      <c r="L602" s="754">
        <f t="shared" si="292"/>
        <v>0</v>
      </c>
      <c r="M602" s="754">
        <f t="shared" si="292"/>
        <v>0</v>
      </c>
      <c r="N602" s="754">
        <f t="shared" si="292"/>
        <v>0</v>
      </c>
      <c r="O602" s="754">
        <f t="shared" si="292"/>
        <v>0</v>
      </c>
    </row>
    <row r="603" spans="1:15" s="755" customFormat="1" ht="31.5" x14ac:dyDescent="0.25">
      <c r="A603" s="752"/>
      <c r="B603" s="753" t="s">
        <v>1475</v>
      </c>
      <c r="C603" s="754">
        <f t="shared" ref="C603:O603" si="293">C16</f>
        <v>0</v>
      </c>
      <c r="D603" s="754">
        <f t="shared" si="293"/>
        <v>0</v>
      </c>
      <c r="E603" s="754">
        <f t="shared" si="293"/>
        <v>0</v>
      </c>
      <c r="F603" s="754">
        <f t="shared" si="293"/>
        <v>0</v>
      </c>
      <c r="G603" s="754">
        <f t="shared" si="293"/>
        <v>0</v>
      </c>
      <c r="H603" s="754">
        <f t="shared" si="293"/>
        <v>0</v>
      </c>
      <c r="I603" s="754">
        <f t="shared" si="293"/>
        <v>0</v>
      </c>
      <c r="J603" s="754">
        <f t="shared" si="293"/>
        <v>0</v>
      </c>
      <c r="K603" s="754">
        <f t="shared" si="293"/>
        <v>0</v>
      </c>
      <c r="L603" s="754">
        <f t="shared" si="293"/>
        <v>0</v>
      </c>
      <c r="M603" s="754">
        <f t="shared" si="293"/>
        <v>-10000</v>
      </c>
      <c r="N603" s="754">
        <f t="shared" si="293"/>
        <v>0</v>
      </c>
      <c r="O603" s="754">
        <f t="shared" si="293"/>
        <v>-10000</v>
      </c>
    </row>
    <row r="604" spans="1:15" s="755" customFormat="1" ht="31.5" x14ac:dyDescent="0.25">
      <c r="A604" s="752"/>
      <c r="B604" s="753" t="s">
        <v>1402</v>
      </c>
      <c r="C604" s="754">
        <f t="shared" ref="C604:O604" si="294">C393</f>
        <v>0</v>
      </c>
      <c r="D604" s="754">
        <f t="shared" si="294"/>
        <v>0</v>
      </c>
      <c r="E604" s="754">
        <f t="shared" si="294"/>
        <v>0</v>
      </c>
      <c r="F604" s="754">
        <f t="shared" si="294"/>
        <v>0</v>
      </c>
      <c r="G604" s="754">
        <f t="shared" si="294"/>
        <v>0</v>
      </c>
      <c r="H604" s="754">
        <f t="shared" si="294"/>
        <v>0</v>
      </c>
      <c r="I604" s="754">
        <f t="shared" si="294"/>
        <v>0</v>
      </c>
      <c r="J604" s="754">
        <f t="shared" si="294"/>
        <v>0</v>
      </c>
      <c r="K604" s="754">
        <f t="shared" si="294"/>
        <v>0</v>
      </c>
      <c r="L604" s="754">
        <f t="shared" si="294"/>
        <v>0</v>
      </c>
      <c r="M604" s="754">
        <f t="shared" si="294"/>
        <v>10000</v>
      </c>
      <c r="N604" s="754">
        <f t="shared" si="294"/>
        <v>0</v>
      </c>
      <c r="O604" s="754">
        <f t="shared" si="294"/>
        <v>10000</v>
      </c>
    </row>
    <row r="605" spans="1:15" s="755" customFormat="1" ht="47.25" x14ac:dyDescent="0.25">
      <c r="A605" s="752"/>
      <c r="B605" s="753" t="s">
        <v>1404</v>
      </c>
      <c r="C605" s="754">
        <f t="shared" ref="C605:O606" si="295">C486</f>
        <v>0</v>
      </c>
      <c r="D605" s="754">
        <f t="shared" si="295"/>
        <v>0</v>
      </c>
      <c r="E605" s="754">
        <f t="shared" si="295"/>
        <v>0</v>
      </c>
      <c r="F605" s="754">
        <f t="shared" si="295"/>
        <v>0</v>
      </c>
      <c r="G605" s="754">
        <f t="shared" si="295"/>
        <v>0</v>
      </c>
      <c r="H605" s="754">
        <f t="shared" si="295"/>
        <v>0</v>
      </c>
      <c r="I605" s="754">
        <f t="shared" si="295"/>
        <v>0</v>
      </c>
      <c r="J605" s="754">
        <f t="shared" si="295"/>
        <v>0</v>
      </c>
      <c r="K605" s="754">
        <f t="shared" si="295"/>
        <v>0</v>
      </c>
      <c r="L605" s="754">
        <f t="shared" si="295"/>
        <v>0</v>
      </c>
      <c r="M605" s="754">
        <f t="shared" si="295"/>
        <v>-57404</v>
      </c>
      <c r="N605" s="754">
        <f t="shared" si="295"/>
        <v>0</v>
      </c>
      <c r="O605" s="754">
        <f t="shared" si="295"/>
        <v>-57404</v>
      </c>
    </row>
    <row r="606" spans="1:15" s="755" customFormat="1" ht="47.25" x14ac:dyDescent="0.25">
      <c r="A606" s="752"/>
      <c r="B606" s="753" t="s">
        <v>1476</v>
      </c>
      <c r="C606" s="754">
        <f t="shared" si="295"/>
        <v>0</v>
      </c>
      <c r="D606" s="754">
        <f t="shared" si="295"/>
        <v>0</v>
      </c>
      <c r="E606" s="754">
        <f t="shared" si="295"/>
        <v>0</v>
      </c>
      <c r="F606" s="754">
        <f t="shared" si="295"/>
        <v>9895</v>
      </c>
      <c r="G606" s="754">
        <f t="shared" si="295"/>
        <v>0</v>
      </c>
      <c r="H606" s="754">
        <f t="shared" si="295"/>
        <v>0</v>
      </c>
      <c r="I606" s="754">
        <f t="shared" si="295"/>
        <v>0</v>
      </c>
      <c r="J606" s="754">
        <f t="shared" si="295"/>
        <v>9895</v>
      </c>
      <c r="K606" s="754">
        <f t="shared" si="295"/>
        <v>0</v>
      </c>
      <c r="L606" s="754">
        <f t="shared" si="295"/>
        <v>9895</v>
      </c>
      <c r="M606" s="754">
        <f t="shared" si="295"/>
        <v>-9895</v>
      </c>
      <c r="N606" s="754">
        <f t="shared" si="295"/>
        <v>0</v>
      </c>
      <c r="O606" s="754">
        <f t="shared" si="295"/>
        <v>0</v>
      </c>
    </row>
    <row r="607" spans="1:15" s="755" customFormat="1" ht="47.25" x14ac:dyDescent="0.25">
      <c r="A607" s="752"/>
      <c r="B607" s="753" t="s">
        <v>1406</v>
      </c>
      <c r="C607" s="754">
        <f t="shared" ref="C607:O607" si="296">C573</f>
        <v>427</v>
      </c>
      <c r="D607" s="754">
        <f t="shared" si="296"/>
        <v>0</v>
      </c>
      <c r="E607" s="754">
        <f t="shared" si="296"/>
        <v>0</v>
      </c>
      <c r="F607" s="754">
        <f t="shared" si="296"/>
        <v>1852</v>
      </c>
      <c r="G607" s="754">
        <f t="shared" si="296"/>
        <v>2750</v>
      </c>
      <c r="H607" s="754">
        <f t="shared" si="296"/>
        <v>0</v>
      </c>
      <c r="I607" s="754">
        <f t="shared" si="296"/>
        <v>0</v>
      </c>
      <c r="J607" s="754">
        <f t="shared" si="296"/>
        <v>2279</v>
      </c>
      <c r="K607" s="754">
        <f t="shared" si="296"/>
        <v>2750</v>
      </c>
      <c r="L607" s="754">
        <f t="shared" si="296"/>
        <v>5029</v>
      </c>
      <c r="M607" s="754">
        <f t="shared" si="296"/>
        <v>0</v>
      </c>
      <c r="N607" s="754">
        <f t="shared" si="296"/>
        <v>0</v>
      </c>
      <c r="O607" s="754">
        <f t="shared" si="296"/>
        <v>5029</v>
      </c>
    </row>
    <row r="608" spans="1:15" s="755" customFormat="1" x14ac:dyDescent="0.25">
      <c r="A608" s="752"/>
      <c r="B608" s="756" t="s">
        <v>132</v>
      </c>
      <c r="C608" s="756"/>
      <c r="D608" s="756"/>
      <c r="E608" s="756"/>
      <c r="F608" s="756"/>
      <c r="G608" s="756"/>
      <c r="H608" s="756"/>
      <c r="I608" s="756"/>
      <c r="J608" s="756"/>
      <c r="K608" s="756"/>
      <c r="L608" s="756"/>
      <c r="M608" s="756"/>
      <c r="N608" s="756"/>
      <c r="O608" s="756"/>
    </row>
    <row r="609" spans="1:16" s="755" customFormat="1" ht="47.25" x14ac:dyDescent="0.25">
      <c r="A609" s="752"/>
      <c r="B609" s="753" t="s">
        <v>1425</v>
      </c>
      <c r="C609" s="754">
        <f t="shared" ref="C609:O609" si="297">C522</f>
        <v>0</v>
      </c>
      <c r="D609" s="754">
        <f t="shared" si="297"/>
        <v>0</v>
      </c>
      <c r="E609" s="754">
        <f t="shared" si="297"/>
        <v>0</v>
      </c>
      <c r="F609" s="754">
        <f t="shared" si="297"/>
        <v>0</v>
      </c>
      <c r="G609" s="754">
        <f t="shared" si="297"/>
        <v>0</v>
      </c>
      <c r="H609" s="754">
        <f t="shared" si="297"/>
        <v>0</v>
      </c>
      <c r="I609" s="754">
        <f t="shared" si="297"/>
        <v>0</v>
      </c>
      <c r="J609" s="754">
        <f t="shared" si="297"/>
        <v>0</v>
      </c>
      <c r="K609" s="754">
        <f t="shared" si="297"/>
        <v>0</v>
      </c>
      <c r="L609" s="754">
        <f t="shared" si="297"/>
        <v>0</v>
      </c>
      <c r="M609" s="754">
        <f t="shared" si="297"/>
        <v>103</v>
      </c>
      <c r="N609" s="754">
        <f t="shared" si="297"/>
        <v>0</v>
      </c>
      <c r="O609" s="754">
        <f t="shared" si="297"/>
        <v>103</v>
      </c>
    </row>
    <row r="610" spans="1:16" s="755" customFormat="1" ht="47.25" x14ac:dyDescent="0.25">
      <c r="A610" s="752"/>
      <c r="B610" s="753" t="s">
        <v>1517</v>
      </c>
      <c r="C610" s="754">
        <f t="shared" ref="C610:O610" si="298">C453+C498+C508+C523+C534</f>
        <v>0</v>
      </c>
      <c r="D610" s="754">
        <f t="shared" si="298"/>
        <v>0</v>
      </c>
      <c r="E610" s="754">
        <f t="shared" si="298"/>
        <v>0</v>
      </c>
      <c r="F610" s="754">
        <f t="shared" si="298"/>
        <v>0</v>
      </c>
      <c r="G610" s="754">
        <f t="shared" si="298"/>
        <v>0</v>
      </c>
      <c r="H610" s="754">
        <f t="shared" si="298"/>
        <v>0</v>
      </c>
      <c r="I610" s="754">
        <f t="shared" si="298"/>
        <v>0</v>
      </c>
      <c r="J610" s="754">
        <f t="shared" si="298"/>
        <v>0</v>
      </c>
      <c r="K610" s="754">
        <f t="shared" si="298"/>
        <v>0</v>
      </c>
      <c r="L610" s="754">
        <f t="shared" si="298"/>
        <v>0</v>
      </c>
      <c r="M610" s="754">
        <f t="shared" si="298"/>
        <v>28275</v>
      </c>
      <c r="N610" s="754">
        <f t="shared" si="298"/>
        <v>0</v>
      </c>
      <c r="O610" s="754">
        <f t="shared" si="298"/>
        <v>28275</v>
      </c>
    </row>
    <row r="611" spans="1:16" s="755" customFormat="1" ht="63" x14ac:dyDescent="0.25">
      <c r="A611" s="752"/>
      <c r="B611" s="753" t="s">
        <v>1428</v>
      </c>
      <c r="C611" s="754">
        <f t="shared" ref="C611:O611" si="299">C18+C32+C395+C411+C428</f>
        <v>0</v>
      </c>
      <c r="D611" s="754">
        <f t="shared" si="299"/>
        <v>0</v>
      </c>
      <c r="E611" s="754">
        <f t="shared" si="299"/>
        <v>0</v>
      </c>
      <c r="F611" s="754">
        <f t="shared" si="299"/>
        <v>0</v>
      </c>
      <c r="G611" s="754">
        <f t="shared" si="299"/>
        <v>0</v>
      </c>
      <c r="H611" s="754">
        <f t="shared" si="299"/>
        <v>0</v>
      </c>
      <c r="I611" s="754">
        <f t="shared" si="299"/>
        <v>0</v>
      </c>
      <c r="J611" s="754">
        <f t="shared" si="299"/>
        <v>0</v>
      </c>
      <c r="K611" s="754">
        <f t="shared" si="299"/>
        <v>0</v>
      </c>
      <c r="L611" s="754">
        <f t="shared" si="299"/>
        <v>0</v>
      </c>
      <c r="M611" s="754">
        <f t="shared" si="299"/>
        <v>32973</v>
      </c>
      <c r="N611" s="754">
        <f t="shared" si="299"/>
        <v>0</v>
      </c>
      <c r="O611" s="754">
        <f t="shared" si="299"/>
        <v>32973</v>
      </c>
    </row>
    <row r="612" spans="1:16" s="755" customFormat="1" x14ac:dyDescent="0.25">
      <c r="A612" s="752"/>
      <c r="B612" s="753" t="s">
        <v>1330</v>
      </c>
      <c r="C612" s="754">
        <f t="shared" ref="C612:O612" si="300">C50+C70+C88+C105+C125+C142+C161+C181+C200+C223+C244+C264+C283+C303+C335+C354+C375+C445+C454+C470+C489+C499+C509+C535+C550+C19+C33+C396+C412+C429</f>
        <v>0</v>
      </c>
      <c r="D612" s="754">
        <f t="shared" si="300"/>
        <v>0</v>
      </c>
      <c r="E612" s="754">
        <f t="shared" si="300"/>
        <v>0</v>
      </c>
      <c r="F612" s="754">
        <f t="shared" si="300"/>
        <v>0</v>
      </c>
      <c r="G612" s="754">
        <f t="shared" si="300"/>
        <v>0</v>
      </c>
      <c r="H612" s="754">
        <f t="shared" si="300"/>
        <v>0</v>
      </c>
      <c r="I612" s="754">
        <f t="shared" si="300"/>
        <v>0</v>
      </c>
      <c r="J612" s="754">
        <f t="shared" si="300"/>
        <v>0</v>
      </c>
      <c r="K612" s="754">
        <f t="shared" si="300"/>
        <v>0</v>
      </c>
      <c r="L612" s="754">
        <f t="shared" si="300"/>
        <v>0</v>
      </c>
      <c r="M612" s="754">
        <f t="shared" si="300"/>
        <v>34404</v>
      </c>
      <c r="N612" s="754">
        <f t="shared" si="300"/>
        <v>0</v>
      </c>
      <c r="O612" s="754">
        <f t="shared" si="300"/>
        <v>34404</v>
      </c>
    </row>
    <row r="613" spans="1:16" s="755" customFormat="1" ht="30.75" customHeight="1" x14ac:dyDescent="0.25">
      <c r="A613" s="750"/>
      <c r="B613" s="933" t="s">
        <v>1477</v>
      </c>
      <c r="C613" s="934">
        <f t="shared" ref="C613:O613" si="301">C225</f>
        <v>0</v>
      </c>
      <c r="D613" s="934">
        <f t="shared" si="301"/>
        <v>0</v>
      </c>
      <c r="E613" s="934">
        <f t="shared" si="301"/>
        <v>0</v>
      </c>
      <c r="F613" s="934">
        <f t="shared" si="301"/>
        <v>0</v>
      </c>
      <c r="G613" s="934">
        <f t="shared" si="301"/>
        <v>0</v>
      </c>
      <c r="H613" s="934">
        <f t="shared" si="301"/>
        <v>0</v>
      </c>
      <c r="I613" s="934">
        <f t="shared" si="301"/>
        <v>0</v>
      </c>
      <c r="J613" s="934">
        <f t="shared" si="301"/>
        <v>0</v>
      </c>
      <c r="K613" s="934">
        <f t="shared" si="301"/>
        <v>0</v>
      </c>
      <c r="L613" s="934">
        <f t="shared" si="301"/>
        <v>0</v>
      </c>
      <c r="M613" s="934">
        <f t="shared" si="301"/>
        <v>328</v>
      </c>
      <c r="N613" s="934">
        <f t="shared" si="301"/>
        <v>0</v>
      </c>
      <c r="O613" s="934">
        <f t="shared" si="301"/>
        <v>328</v>
      </c>
    </row>
    <row r="614" spans="1:16" s="755" customFormat="1" x14ac:dyDescent="0.25">
      <c r="A614" s="750"/>
      <c r="B614" s="933" t="s">
        <v>964</v>
      </c>
      <c r="C614" s="934">
        <f t="shared" ref="C614:O614" si="302">C34+C51+C71+C89+C106+C126+C143+C162+C284+C304+C471+C413+C305+C430+C551+C552+C224+C245+C246+C306+C376+C397+C553+C554+C555+C556+C557+C558+C559+C560+C473+C52+C108+C163+C182+C201+C226+C247+C265+C285+C307+C336+C355+C356+C357+C377+C431</f>
        <v>0</v>
      </c>
      <c r="D614" s="934">
        <f t="shared" si="302"/>
        <v>0</v>
      </c>
      <c r="E614" s="934">
        <f t="shared" si="302"/>
        <v>0</v>
      </c>
      <c r="F614" s="934">
        <f t="shared" si="302"/>
        <v>0</v>
      </c>
      <c r="G614" s="934">
        <f t="shared" si="302"/>
        <v>0</v>
      </c>
      <c r="H614" s="934">
        <f t="shared" si="302"/>
        <v>0</v>
      </c>
      <c r="I614" s="934">
        <f t="shared" si="302"/>
        <v>0</v>
      </c>
      <c r="J614" s="934">
        <f t="shared" si="302"/>
        <v>0</v>
      </c>
      <c r="K614" s="934">
        <f t="shared" si="302"/>
        <v>0</v>
      </c>
      <c r="L614" s="934">
        <f t="shared" si="302"/>
        <v>0</v>
      </c>
      <c r="M614" s="934">
        <f t="shared" si="302"/>
        <v>3750</v>
      </c>
      <c r="N614" s="934">
        <f t="shared" si="302"/>
        <v>0</v>
      </c>
      <c r="O614" s="934">
        <f t="shared" si="302"/>
        <v>3750</v>
      </c>
    </row>
    <row r="615" spans="1:16" s="755" customFormat="1" ht="31.5" x14ac:dyDescent="0.25">
      <c r="A615" s="752"/>
      <c r="B615" s="753" t="s">
        <v>1426</v>
      </c>
      <c r="C615" s="754">
        <f t="shared" ref="C615:O615" si="303">C455+C500+C510+C536</f>
        <v>0</v>
      </c>
      <c r="D615" s="754">
        <f t="shared" si="303"/>
        <v>0</v>
      </c>
      <c r="E615" s="754">
        <f t="shared" si="303"/>
        <v>0</v>
      </c>
      <c r="F615" s="754">
        <f t="shared" si="303"/>
        <v>0</v>
      </c>
      <c r="G615" s="754">
        <f t="shared" si="303"/>
        <v>0</v>
      </c>
      <c r="H615" s="754">
        <f t="shared" si="303"/>
        <v>0</v>
      </c>
      <c r="I615" s="754">
        <f t="shared" si="303"/>
        <v>0</v>
      </c>
      <c r="J615" s="754">
        <f t="shared" si="303"/>
        <v>0</v>
      </c>
      <c r="K615" s="754">
        <f t="shared" si="303"/>
        <v>0</v>
      </c>
      <c r="L615" s="754">
        <f t="shared" si="303"/>
        <v>0</v>
      </c>
      <c r="M615" s="754">
        <f t="shared" si="303"/>
        <v>-6625</v>
      </c>
      <c r="N615" s="754">
        <f t="shared" si="303"/>
        <v>0</v>
      </c>
      <c r="O615" s="754">
        <f t="shared" si="303"/>
        <v>-6625</v>
      </c>
    </row>
    <row r="616" spans="1:16" s="755" customFormat="1" ht="70.5" customHeight="1" x14ac:dyDescent="0.25">
      <c r="A616" s="752"/>
      <c r="B616" s="753" t="s">
        <v>1410</v>
      </c>
      <c r="C616" s="754">
        <f t="shared" ref="C616:O616" si="304">C511</f>
        <v>0</v>
      </c>
      <c r="D616" s="754">
        <f t="shared" si="304"/>
        <v>0</v>
      </c>
      <c r="E616" s="754">
        <f t="shared" si="304"/>
        <v>0</v>
      </c>
      <c r="F616" s="754">
        <f t="shared" si="304"/>
        <v>-562</v>
      </c>
      <c r="G616" s="754">
        <f t="shared" si="304"/>
        <v>0</v>
      </c>
      <c r="H616" s="754">
        <f t="shared" si="304"/>
        <v>0</v>
      </c>
      <c r="I616" s="754">
        <f t="shared" si="304"/>
        <v>0</v>
      </c>
      <c r="J616" s="754">
        <f t="shared" si="304"/>
        <v>-562</v>
      </c>
      <c r="K616" s="754">
        <f t="shared" si="304"/>
        <v>0</v>
      </c>
      <c r="L616" s="754">
        <f t="shared" si="304"/>
        <v>-562</v>
      </c>
      <c r="M616" s="754">
        <f t="shared" si="304"/>
        <v>-1378</v>
      </c>
      <c r="N616" s="754">
        <f t="shared" si="304"/>
        <v>0</v>
      </c>
      <c r="O616" s="754">
        <f t="shared" si="304"/>
        <v>-1940</v>
      </c>
    </row>
    <row r="617" spans="1:16" s="755" customFormat="1" ht="63" x14ac:dyDescent="0.25">
      <c r="A617" s="752"/>
      <c r="B617" s="753" t="s">
        <v>1411</v>
      </c>
      <c r="C617" s="754">
        <f t="shared" ref="C617:O617" si="305">C472+C490+C515</f>
        <v>2630</v>
      </c>
      <c r="D617" s="754">
        <f t="shared" si="305"/>
        <v>2866</v>
      </c>
      <c r="E617" s="754">
        <f t="shared" si="305"/>
        <v>0</v>
      </c>
      <c r="F617" s="754">
        <f t="shared" si="305"/>
        <v>0</v>
      </c>
      <c r="G617" s="754">
        <f t="shared" si="305"/>
        <v>0</v>
      </c>
      <c r="H617" s="754">
        <f t="shared" si="305"/>
        <v>70</v>
      </c>
      <c r="I617" s="754">
        <f t="shared" si="305"/>
        <v>0</v>
      </c>
      <c r="J617" s="754">
        <f t="shared" si="305"/>
        <v>2700</v>
      </c>
      <c r="K617" s="754">
        <f t="shared" si="305"/>
        <v>2866</v>
      </c>
      <c r="L617" s="754">
        <f t="shared" si="305"/>
        <v>5566</v>
      </c>
      <c r="M617" s="754">
        <f t="shared" si="305"/>
        <v>0</v>
      </c>
      <c r="N617" s="754">
        <f t="shared" si="305"/>
        <v>0</v>
      </c>
      <c r="O617" s="754">
        <f t="shared" si="305"/>
        <v>5566</v>
      </c>
    </row>
    <row r="618" spans="1:16" s="755" customFormat="1" ht="96" customHeight="1" x14ac:dyDescent="0.25">
      <c r="A618" s="752"/>
      <c r="B618" s="753" t="s">
        <v>1430</v>
      </c>
      <c r="C618" s="754">
        <f t="shared" ref="C618:O618" si="306">C53+C72+C90+C107+C127+C144</f>
        <v>0</v>
      </c>
      <c r="D618" s="754">
        <f t="shared" si="306"/>
        <v>0</v>
      </c>
      <c r="E618" s="754">
        <f t="shared" si="306"/>
        <v>0</v>
      </c>
      <c r="F618" s="754">
        <f t="shared" si="306"/>
        <v>0</v>
      </c>
      <c r="G618" s="754">
        <f t="shared" si="306"/>
        <v>0</v>
      </c>
      <c r="H618" s="754">
        <f t="shared" si="306"/>
        <v>0</v>
      </c>
      <c r="I618" s="754">
        <f t="shared" si="306"/>
        <v>0</v>
      </c>
      <c r="J618" s="754">
        <f t="shared" si="306"/>
        <v>0</v>
      </c>
      <c r="K618" s="754">
        <f t="shared" si="306"/>
        <v>0</v>
      </c>
      <c r="L618" s="754">
        <f t="shared" si="306"/>
        <v>0</v>
      </c>
      <c r="M618" s="754">
        <f t="shared" si="306"/>
        <v>1424</v>
      </c>
      <c r="N618" s="754">
        <f t="shared" si="306"/>
        <v>0</v>
      </c>
      <c r="O618" s="754">
        <f t="shared" si="306"/>
        <v>1424</v>
      </c>
    </row>
    <row r="619" spans="1:16" s="755" customFormat="1" ht="78.75" x14ac:dyDescent="0.25">
      <c r="A619" s="752"/>
      <c r="B619" s="753" t="s">
        <v>1473</v>
      </c>
      <c r="C619" s="754">
        <f t="shared" ref="C619:O619" si="307">C524</f>
        <v>0</v>
      </c>
      <c r="D619" s="754">
        <f t="shared" si="307"/>
        <v>0</v>
      </c>
      <c r="E619" s="754">
        <f t="shared" si="307"/>
        <v>0</v>
      </c>
      <c r="F619" s="754">
        <f t="shared" si="307"/>
        <v>0</v>
      </c>
      <c r="G619" s="754">
        <f t="shared" si="307"/>
        <v>0</v>
      </c>
      <c r="H619" s="754">
        <f t="shared" si="307"/>
        <v>0</v>
      </c>
      <c r="I619" s="754">
        <f t="shared" si="307"/>
        <v>0</v>
      </c>
      <c r="J619" s="754">
        <f t="shared" si="307"/>
        <v>0</v>
      </c>
      <c r="K619" s="754">
        <f t="shared" si="307"/>
        <v>0</v>
      </c>
      <c r="L619" s="754">
        <f t="shared" si="307"/>
        <v>0</v>
      </c>
      <c r="M619" s="754">
        <f t="shared" si="307"/>
        <v>4452</v>
      </c>
      <c r="N619" s="754">
        <f t="shared" si="307"/>
        <v>0</v>
      </c>
      <c r="O619" s="754">
        <f t="shared" si="307"/>
        <v>4452</v>
      </c>
    </row>
    <row r="620" spans="1:16" s="755" customFormat="1" ht="94.5" x14ac:dyDescent="0.25">
      <c r="A620" s="752"/>
      <c r="B620" s="753" t="s">
        <v>1431</v>
      </c>
      <c r="C620" s="754">
        <f t="shared" ref="C620:O620" si="308">C54+C73+C91+C109+C128+C145+C164+C183+C202+C227+C248+C266+C286+C308+C337+C358+C378</f>
        <v>0</v>
      </c>
      <c r="D620" s="754">
        <f t="shared" si="308"/>
        <v>0</v>
      </c>
      <c r="E620" s="754">
        <f t="shared" si="308"/>
        <v>0</v>
      </c>
      <c r="F620" s="754">
        <f t="shared" si="308"/>
        <v>0</v>
      </c>
      <c r="G620" s="754">
        <f t="shared" si="308"/>
        <v>0</v>
      </c>
      <c r="H620" s="754">
        <f t="shared" si="308"/>
        <v>0</v>
      </c>
      <c r="I620" s="754">
        <f t="shared" si="308"/>
        <v>0</v>
      </c>
      <c r="J620" s="754">
        <f t="shared" si="308"/>
        <v>0</v>
      </c>
      <c r="K620" s="754">
        <f t="shared" si="308"/>
        <v>0</v>
      </c>
      <c r="L620" s="754">
        <f t="shared" si="308"/>
        <v>0</v>
      </c>
      <c r="M620" s="754">
        <f t="shared" si="308"/>
        <v>22709</v>
      </c>
      <c r="N620" s="754">
        <f t="shared" si="308"/>
        <v>0</v>
      </c>
      <c r="O620" s="754">
        <f t="shared" si="308"/>
        <v>22709</v>
      </c>
      <c r="P620" s="755" t="s">
        <v>1478</v>
      </c>
    </row>
    <row r="621" spans="1:16" s="755" customFormat="1" ht="47.25" x14ac:dyDescent="0.25">
      <c r="A621" s="752"/>
      <c r="B621" s="753" t="s">
        <v>1414</v>
      </c>
      <c r="C621" s="754">
        <f t="shared" ref="C621:O621" si="309">C501</f>
        <v>0</v>
      </c>
      <c r="D621" s="754">
        <f t="shared" si="309"/>
        <v>0</v>
      </c>
      <c r="E621" s="754">
        <f t="shared" si="309"/>
        <v>0</v>
      </c>
      <c r="F621" s="754">
        <f t="shared" si="309"/>
        <v>0</v>
      </c>
      <c r="G621" s="754">
        <f t="shared" si="309"/>
        <v>0</v>
      </c>
      <c r="H621" s="754">
        <f t="shared" si="309"/>
        <v>0</v>
      </c>
      <c r="I621" s="754">
        <f t="shared" si="309"/>
        <v>0</v>
      </c>
      <c r="J621" s="754">
        <f t="shared" si="309"/>
        <v>0</v>
      </c>
      <c r="K621" s="754">
        <f t="shared" si="309"/>
        <v>0</v>
      </c>
      <c r="L621" s="754">
        <f t="shared" si="309"/>
        <v>0</v>
      </c>
      <c r="M621" s="754">
        <f t="shared" si="309"/>
        <v>-8000</v>
      </c>
      <c r="N621" s="754">
        <f t="shared" si="309"/>
        <v>0</v>
      </c>
      <c r="O621" s="754">
        <f t="shared" si="309"/>
        <v>-8000</v>
      </c>
    </row>
    <row r="622" spans="1:16" s="755" customFormat="1" ht="47.25" x14ac:dyDescent="0.25">
      <c r="A622" s="752"/>
      <c r="B622" s="753" t="s">
        <v>1415</v>
      </c>
      <c r="C622" s="754">
        <f t="shared" ref="C622:O623" si="310">C537</f>
        <v>7432</v>
      </c>
      <c r="D622" s="754">
        <f t="shared" si="310"/>
        <v>0</v>
      </c>
      <c r="E622" s="754">
        <f t="shared" si="310"/>
        <v>0</v>
      </c>
      <c r="F622" s="754">
        <f t="shared" si="310"/>
        <v>0</v>
      </c>
      <c r="G622" s="754">
        <f t="shared" si="310"/>
        <v>0</v>
      </c>
      <c r="H622" s="754">
        <f t="shared" si="310"/>
        <v>0</v>
      </c>
      <c r="I622" s="754">
        <f t="shared" si="310"/>
        <v>0</v>
      </c>
      <c r="J622" s="754">
        <f t="shared" si="310"/>
        <v>7432</v>
      </c>
      <c r="K622" s="754">
        <f t="shared" si="310"/>
        <v>0</v>
      </c>
      <c r="L622" s="754">
        <f t="shared" si="310"/>
        <v>7432</v>
      </c>
      <c r="M622" s="754">
        <f t="shared" si="310"/>
        <v>0</v>
      </c>
      <c r="N622" s="754">
        <f t="shared" si="310"/>
        <v>0</v>
      </c>
      <c r="O622" s="754">
        <f t="shared" si="310"/>
        <v>7432</v>
      </c>
    </row>
    <row r="623" spans="1:16" s="755" customFormat="1" ht="47.25" x14ac:dyDescent="0.25">
      <c r="A623" s="752"/>
      <c r="B623" s="753" t="s">
        <v>1479</v>
      </c>
      <c r="C623" s="754">
        <f t="shared" si="310"/>
        <v>-7432</v>
      </c>
      <c r="D623" s="754">
        <f t="shared" si="310"/>
        <v>0</v>
      </c>
      <c r="E623" s="754">
        <f t="shared" si="310"/>
        <v>0</v>
      </c>
      <c r="F623" s="754">
        <f t="shared" si="310"/>
        <v>0</v>
      </c>
      <c r="G623" s="754">
        <f t="shared" si="310"/>
        <v>0</v>
      </c>
      <c r="H623" s="754">
        <f t="shared" si="310"/>
        <v>0</v>
      </c>
      <c r="I623" s="754">
        <f t="shared" si="310"/>
        <v>0</v>
      </c>
      <c r="J623" s="754">
        <f t="shared" si="310"/>
        <v>-7432</v>
      </c>
      <c r="K623" s="754">
        <f t="shared" si="310"/>
        <v>0</v>
      </c>
      <c r="L623" s="754">
        <f t="shared" si="310"/>
        <v>-7432</v>
      </c>
      <c r="M623" s="754">
        <f t="shared" si="310"/>
        <v>3716</v>
      </c>
      <c r="N623" s="754">
        <f t="shared" si="310"/>
        <v>0</v>
      </c>
      <c r="O623" s="754">
        <f t="shared" si="310"/>
        <v>-3716</v>
      </c>
    </row>
    <row r="624" spans="1:16" s="755" customFormat="1" ht="47.25" x14ac:dyDescent="0.25">
      <c r="A624" s="752"/>
      <c r="B624" s="753" t="s">
        <v>1417</v>
      </c>
      <c r="C624" s="754">
        <f t="shared" ref="C624:O625" si="311">C512</f>
        <v>70000</v>
      </c>
      <c r="D624" s="754">
        <f t="shared" si="311"/>
        <v>0</v>
      </c>
      <c r="E624" s="754">
        <f t="shared" si="311"/>
        <v>0</v>
      </c>
      <c r="F624" s="754">
        <f t="shared" si="311"/>
        <v>0</v>
      </c>
      <c r="G624" s="754">
        <f t="shared" si="311"/>
        <v>0</v>
      </c>
      <c r="H624" s="754">
        <f t="shared" si="311"/>
        <v>0</v>
      </c>
      <c r="I624" s="754">
        <f t="shared" si="311"/>
        <v>0</v>
      </c>
      <c r="J624" s="754">
        <f t="shared" si="311"/>
        <v>70000</v>
      </c>
      <c r="K624" s="754">
        <f t="shared" si="311"/>
        <v>0</v>
      </c>
      <c r="L624" s="754">
        <f t="shared" si="311"/>
        <v>70000</v>
      </c>
      <c r="M624" s="754">
        <f t="shared" si="311"/>
        <v>0</v>
      </c>
      <c r="N624" s="754">
        <f t="shared" si="311"/>
        <v>0</v>
      </c>
      <c r="O624" s="754">
        <f t="shared" si="311"/>
        <v>70000</v>
      </c>
    </row>
    <row r="625" spans="1:16" s="755" customFormat="1" ht="47.25" x14ac:dyDescent="0.25">
      <c r="A625" s="752"/>
      <c r="B625" s="753" t="s">
        <v>1480</v>
      </c>
      <c r="C625" s="754">
        <f t="shared" si="311"/>
        <v>0</v>
      </c>
      <c r="D625" s="754">
        <f t="shared" si="311"/>
        <v>0</v>
      </c>
      <c r="E625" s="754">
        <f t="shared" si="311"/>
        <v>0</v>
      </c>
      <c r="F625" s="754">
        <f t="shared" si="311"/>
        <v>0</v>
      </c>
      <c r="G625" s="754">
        <f t="shared" si="311"/>
        <v>0</v>
      </c>
      <c r="H625" s="754">
        <f t="shared" si="311"/>
        <v>0</v>
      </c>
      <c r="I625" s="754">
        <f t="shared" si="311"/>
        <v>0</v>
      </c>
      <c r="J625" s="754">
        <f t="shared" si="311"/>
        <v>0</v>
      </c>
      <c r="K625" s="754">
        <f t="shared" si="311"/>
        <v>0</v>
      </c>
      <c r="L625" s="754">
        <f t="shared" si="311"/>
        <v>0</v>
      </c>
      <c r="M625" s="754">
        <f t="shared" si="311"/>
        <v>-47570</v>
      </c>
      <c r="N625" s="754">
        <f t="shared" si="311"/>
        <v>0</v>
      </c>
      <c r="O625" s="754">
        <f t="shared" si="311"/>
        <v>-47570</v>
      </c>
    </row>
    <row r="626" spans="1:16" s="755" customFormat="1" ht="31.5" x14ac:dyDescent="0.25">
      <c r="A626" s="752"/>
      <c r="B626" s="753" t="s">
        <v>1481</v>
      </c>
      <c r="C626" s="754">
        <f t="shared" ref="C626:O626" si="312">C525</f>
        <v>0</v>
      </c>
      <c r="D626" s="754">
        <f t="shared" si="312"/>
        <v>0</v>
      </c>
      <c r="E626" s="754">
        <f t="shared" si="312"/>
        <v>0</v>
      </c>
      <c r="F626" s="754">
        <f t="shared" si="312"/>
        <v>0</v>
      </c>
      <c r="G626" s="754">
        <f t="shared" si="312"/>
        <v>0</v>
      </c>
      <c r="H626" s="754">
        <f t="shared" si="312"/>
        <v>0</v>
      </c>
      <c r="I626" s="754">
        <f t="shared" si="312"/>
        <v>0</v>
      </c>
      <c r="J626" s="754">
        <f t="shared" si="312"/>
        <v>0</v>
      </c>
      <c r="K626" s="754">
        <f t="shared" si="312"/>
        <v>0</v>
      </c>
      <c r="L626" s="754">
        <f t="shared" si="312"/>
        <v>0</v>
      </c>
      <c r="M626" s="754">
        <f t="shared" si="312"/>
        <v>3437</v>
      </c>
      <c r="N626" s="754">
        <f t="shared" si="312"/>
        <v>0</v>
      </c>
      <c r="O626" s="754">
        <f t="shared" si="312"/>
        <v>3437</v>
      </c>
    </row>
    <row r="627" spans="1:16" s="755" customFormat="1" ht="47.25" x14ac:dyDescent="0.25">
      <c r="A627" s="752"/>
      <c r="B627" s="753" t="s">
        <v>1482</v>
      </c>
      <c r="C627" s="754">
        <f t="shared" ref="C627:O627" si="313">C539+C526</f>
        <v>57000</v>
      </c>
      <c r="D627" s="754">
        <f t="shared" si="313"/>
        <v>0</v>
      </c>
      <c r="E627" s="754">
        <f t="shared" si="313"/>
        <v>0</v>
      </c>
      <c r="F627" s="754">
        <f t="shared" si="313"/>
        <v>0</v>
      </c>
      <c r="G627" s="754">
        <f t="shared" si="313"/>
        <v>0</v>
      </c>
      <c r="H627" s="754">
        <f t="shared" si="313"/>
        <v>0</v>
      </c>
      <c r="I627" s="754">
        <f t="shared" si="313"/>
        <v>0</v>
      </c>
      <c r="J627" s="754">
        <f t="shared" si="313"/>
        <v>57000</v>
      </c>
      <c r="K627" s="754">
        <f t="shared" si="313"/>
        <v>0</v>
      </c>
      <c r="L627" s="754">
        <f t="shared" si="313"/>
        <v>57000</v>
      </c>
      <c r="M627" s="754">
        <f t="shared" si="313"/>
        <v>0</v>
      </c>
      <c r="N627" s="754">
        <f t="shared" si="313"/>
        <v>0</v>
      </c>
      <c r="O627" s="754">
        <f t="shared" si="313"/>
        <v>57000</v>
      </c>
    </row>
    <row r="628" spans="1:16" s="755" customFormat="1" ht="63" x14ac:dyDescent="0.25">
      <c r="A628" s="752"/>
      <c r="B628" s="753" t="s">
        <v>1483</v>
      </c>
      <c r="C628" s="754">
        <f t="shared" ref="C628:O628" si="314">C514+C527</f>
        <v>0</v>
      </c>
      <c r="D628" s="754">
        <f t="shared" si="314"/>
        <v>0</v>
      </c>
      <c r="E628" s="754">
        <f t="shared" si="314"/>
        <v>0</v>
      </c>
      <c r="F628" s="754">
        <f t="shared" si="314"/>
        <v>-110000</v>
      </c>
      <c r="G628" s="754">
        <f t="shared" si="314"/>
        <v>0</v>
      </c>
      <c r="H628" s="754">
        <f t="shared" si="314"/>
        <v>0</v>
      </c>
      <c r="I628" s="754">
        <f t="shared" si="314"/>
        <v>0</v>
      </c>
      <c r="J628" s="754">
        <f t="shared" si="314"/>
        <v>-110000</v>
      </c>
      <c r="K628" s="754">
        <f t="shared" si="314"/>
        <v>0</v>
      </c>
      <c r="L628" s="754">
        <f t="shared" si="314"/>
        <v>-110000</v>
      </c>
      <c r="M628" s="754">
        <f t="shared" si="314"/>
        <v>0</v>
      </c>
      <c r="N628" s="754">
        <f t="shared" si="314"/>
        <v>0</v>
      </c>
      <c r="O628" s="754">
        <f t="shared" si="314"/>
        <v>-110000</v>
      </c>
    </row>
    <row r="629" spans="1:16" s="755" customFormat="1" ht="47.25" x14ac:dyDescent="0.25">
      <c r="A629" s="752"/>
      <c r="B629" s="753" t="s">
        <v>1471</v>
      </c>
      <c r="C629" s="754">
        <f t="shared" ref="C629:O629" si="315">C319</f>
        <v>0</v>
      </c>
      <c r="D629" s="754">
        <f t="shared" si="315"/>
        <v>0</v>
      </c>
      <c r="E629" s="754">
        <f t="shared" si="315"/>
        <v>0</v>
      </c>
      <c r="F629" s="754">
        <f t="shared" si="315"/>
        <v>0</v>
      </c>
      <c r="G629" s="754">
        <f t="shared" si="315"/>
        <v>0</v>
      </c>
      <c r="H629" s="754">
        <f t="shared" si="315"/>
        <v>0</v>
      </c>
      <c r="I629" s="754">
        <f t="shared" si="315"/>
        <v>0</v>
      </c>
      <c r="J629" s="754">
        <f t="shared" si="315"/>
        <v>0</v>
      </c>
      <c r="K629" s="754">
        <f t="shared" si="315"/>
        <v>0</v>
      </c>
      <c r="L629" s="754">
        <f t="shared" si="315"/>
        <v>0</v>
      </c>
      <c r="M629" s="754">
        <f t="shared" si="315"/>
        <v>328</v>
      </c>
      <c r="N629" s="754">
        <f t="shared" si="315"/>
        <v>0</v>
      </c>
      <c r="O629" s="754">
        <f t="shared" si="315"/>
        <v>328</v>
      </c>
    </row>
    <row r="630" spans="1:16" s="755" customFormat="1" ht="47.25" x14ac:dyDescent="0.25">
      <c r="A630" s="752"/>
      <c r="B630" s="753" t="s">
        <v>1472</v>
      </c>
      <c r="C630" s="754">
        <f t="shared" ref="C630:O630" si="316">C228</f>
        <v>0</v>
      </c>
      <c r="D630" s="754">
        <f t="shared" si="316"/>
        <v>0</v>
      </c>
      <c r="E630" s="754">
        <f t="shared" si="316"/>
        <v>0</v>
      </c>
      <c r="F630" s="754">
        <f t="shared" si="316"/>
        <v>0</v>
      </c>
      <c r="G630" s="754">
        <f t="shared" si="316"/>
        <v>0</v>
      </c>
      <c r="H630" s="754">
        <f t="shared" si="316"/>
        <v>0</v>
      </c>
      <c r="I630" s="754">
        <f t="shared" si="316"/>
        <v>0</v>
      </c>
      <c r="J630" s="754">
        <f t="shared" si="316"/>
        <v>0</v>
      </c>
      <c r="K630" s="754">
        <f t="shared" si="316"/>
        <v>0</v>
      </c>
      <c r="L630" s="754">
        <f t="shared" si="316"/>
        <v>0</v>
      </c>
      <c r="M630" s="754">
        <f t="shared" si="316"/>
        <v>-328</v>
      </c>
      <c r="N630" s="754">
        <f t="shared" si="316"/>
        <v>0</v>
      </c>
      <c r="O630" s="754">
        <f t="shared" si="316"/>
        <v>-328</v>
      </c>
    </row>
    <row r="631" spans="1:16" s="755" customFormat="1" ht="63" x14ac:dyDescent="0.25">
      <c r="A631" s="752"/>
      <c r="B631" s="753" t="s">
        <v>1423</v>
      </c>
      <c r="C631" s="754">
        <f t="shared" ref="C631:O631" si="317">C398</f>
        <v>0</v>
      </c>
      <c r="D631" s="754">
        <f t="shared" si="317"/>
        <v>0</v>
      </c>
      <c r="E631" s="754">
        <f t="shared" si="317"/>
        <v>0</v>
      </c>
      <c r="F631" s="754">
        <f t="shared" si="317"/>
        <v>0</v>
      </c>
      <c r="G631" s="754">
        <f t="shared" si="317"/>
        <v>0</v>
      </c>
      <c r="H631" s="754">
        <f t="shared" si="317"/>
        <v>0</v>
      </c>
      <c r="I631" s="754">
        <f t="shared" si="317"/>
        <v>0</v>
      </c>
      <c r="J631" s="754">
        <f t="shared" si="317"/>
        <v>0</v>
      </c>
      <c r="K631" s="754">
        <f t="shared" si="317"/>
        <v>0</v>
      </c>
      <c r="L631" s="754">
        <f t="shared" si="317"/>
        <v>0</v>
      </c>
      <c r="M631" s="754">
        <f t="shared" si="317"/>
        <v>8085</v>
      </c>
      <c r="N631" s="754">
        <f t="shared" si="317"/>
        <v>0</v>
      </c>
      <c r="O631" s="754">
        <f t="shared" si="317"/>
        <v>8085</v>
      </c>
    </row>
    <row r="632" spans="1:16" s="755" customFormat="1" ht="31.5" x14ac:dyDescent="0.25">
      <c r="A632" s="752"/>
      <c r="B632" s="753" t="s">
        <v>963</v>
      </c>
      <c r="C632" s="754">
        <f t="shared" ref="C632:O632" si="318">C575</f>
        <v>0</v>
      </c>
      <c r="D632" s="754">
        <f t="shared" si="318"/>
        <v>0</v>
      </c>
      <c r="E632" s="754">
        <f t="shared" si="318"/>
        <v>0</v>
      </c>
      <c r="F632" s="754">
        <f t="shared" si="318"/>
        <v>0</v>
      </c>
      <c r="G632" s="754">
        <f t="shared" si="318"/>
        <v>0</v>
      </c>
      <c r="H632" s="754">
        <f t="shared" si="318"/>
        <v>0</v>
      </c>
      <c r="I632" s="754">
        <f t="shared" si="318"/>
        <v>0</v>
      </c>
      <c r="J632" s="754">
        <f t="shared" si="318"/>
        <v>0</v>
      </c>
      <c r="K632" s="754">
        <f t="shared" si="318"/>
        <v>0</v>
      </c>
      <c r="L632" s="754">
        <f t="shared" si="318"/>
        <v>0</v>
      </c>
      <c r="M632" s="754">
        <f t="shared" si="318"/>
        <v>-156692</v>
      </c>
      <c r="N632" s="754">
        <f t="shared" si="318"/>
        <v>0</v>
      </c>
      <c r="O632" s="754">
        <f t="shared" si="318"/>
        <v>-156692</v>
      </c>
    </row>
    <row r="633" spans="1:16" s="755" customFormat="1" x14ac:dyDescent="0.25">
      <c r="A633" s="752"/>
      <c r="B633" s="756" t="s">
        <v>333</v>
      </c>
      <c r="C633" s="754"/>
      <c r="D633" s="754"/>
      <c r="E633" s="754"/>
      <c r="F633" s="754"/>
      <c r="G633" s="754"/>
      <c r="H633" s="754"/>
      <c r="I633" s="754"/>
      <c r="J633" s="754"/>
      <c r="K633" s="754"/>
      <c r="L633" s="754"/>
      <c r="M633" s="754"/>
      <c r="N633" s="754"/>
      <c r="O633" s="754"/>
    </row>
    <row r="634" spans="1:16" s="755" customFormat="1" ht="31.5" x14ac:dyDescent="0.25">
      <c r="A634" s="752"/>
      <c r="B634" s="753" t="s">
        <v>1484</v>
      </c>
      <c r="C634" s="754">
        <f t="shared" ref="C634:O635" si="319">C577</f>
        <v>0</v>
      </c>
      <c r="D634" s="754">
        <f t="shared" si="319"/>
        <v>0</v>
      </c>
      <c r="E634" s="754">
        <f t="shared" si="319"/>
        <v>190</v>
      </c>
      <c r="F634" s="754">
        <f t="shared" si="319"/>
        <v>0</v>
      </c>
      <c r="G634" s="754">
        <f t="shared" si="319"/>
        <v>0</v>
      </c>
      <c r="H634" s="754">
        <f t="shared" si="319"/>
        <v>0</v>
      </c>
      <c r="I634" s="754">
        <f t="shared" si="319"/>
        <v>0</v>
      </c>
      <c r="J634" s="754">
        <f t="shared" si="319"/>
        <v>190</v>
      </c>
      <c r="K634" s="754">
        <f t="shared" si="319"/>
        <v>0</v>
      </c>
      <c r="L634" s="754">
        <f t="shared" si="319"/>
        <v>190</v>
      </c>
      <c r="M634" s="754">
        <f t="shared" si="319"/>
        <v>-190</v>
      </c>
      <c r="N634" s="754">
        <f t="shared" si="319"/>
        <v>0</v>
      </c>
      <c r="O634" s="754">
        <f t="shared" si="319"/>
        <v>0</v>
      </c>
    </row>
    <row r="635" spans="1:16" s="755" customFormat="1" ht="48" thickBot="1" x14ac:dyDescent="0.3">
      <c r="A635" s="752"/>
      <c r="B635" s="753" t="s">
        <v>1406</v>
      </c>
      <c r="C635" s="754">
        <f t="shared" si="319"/>
        <v>307</v>
      </c>
      <c r="D635" s="754">
        <f t="shared" si="319"/>
        <v>0</v>
      </c>
      <c r="E635" s="754">
        <f t="shared" si="319"/>
        <v>0</v>
      </c>
      <c r="F635" s="754">
        <f t="shared" si="319"/>
        <v>1322</v>
      </c>
      <c r="G635" s="754">
        <f t="shared" si="319"/>
        <v>1975</v>
      </c>
      <c r="H635" s="754">
        <f t="shared" si="319"/>
        <v>0</v>
      </c>
      <c r="I635" s="754">
        <f t="shared" si="319"/>
        <v>0</v>
      </c>
      <c r="J635" s="754">
        <f t="shared" si="319"/>
        <v>1629</v>
      </c>
      <c r="K635" s="754">
        <f t="shared" si="319"/>
        <v>1975</v>
      </c>
      <c r="L635" s="754">
        <f t="shared" si="319"/>
        <v>3604</v>
      </c>
      <c r="M635" s="754">
        <f t="shared" si="319"/>
        <v>0</v>
      </c>
      <c r="N635" s="754">
        <f t="shared" si="319"/>
        <v>0</v>
      </c>
      <c r="O635" s="754">
        <f t="shared" si="319"/>
        <v>3604</v>
      </c>
    </row>
    <row r="636" spans="1:16" ht="17.25" thickTop="1" thickBot="1" x14ac:dyDescent="0.3">
      <c r="A636" s="712"/>
      <c r="B636" s="725" t="s">
        <v>375</v>
      </c>
      <c r="C636" s="725">
        <f t="shared" ref="C636:O636" si="320">SUM(C584:C635)</f>
        <v>1483757</v>
      </c>
      <c r="D636" s="725">
        <f t="shared" si="320"/>
        <v>2866</v>
      </c>
      <c r="E636" s="725">
        <f t="shared" si="320"/>
        <v>540</v>
      </c>
      <c r="F636" s="725">
        <f t="shared" si="320"/>
        <v>1193045</v>
      </c>
      <c r="G636" s="725">
        <f t="shared" si="320"/>
        <v>4725</v>
      </c>
      <c r="H636" s="725">
        <f t="shared" si="320"/>
        <v>1920</v>
      </c>
      <c r="I636" s="725">
        <f t="shared" si="320"/>
        <v>1951</v>
      </c>
      <c r="J636" s="725">
        <f t="shared" si="320"/>
        <v>2679262</v>
      </c>
      <c r="K636" s="725">
        <f t="shared" si="320"/>
        <v>9542</v>
      </c>
      <c r="L636" s="725">
        <f t="shared" si="320"/>
        <v>2688804</v>
      </c>
      <c r="M636" s="725">
        <f t="shared" si="320"/>
        <v>11521348</v>
      </c>
      <c r="N636" s="725">
        <f t="shared" si="320"/>
        <v>848460</v>
      </c>
      <c r="O636" s="725">
        <f t="shared" si="320"/>
        <v>15058612</v>
      </c>
      <c r="P636" s="703">
        <f>O637+O638+O639</f>
        <v>15058612</v>
      </c>
    </row>
    <row r="637" spans="1:16" ht="17.25" thickTop="1" thickBot="1" x14ac:dyDescent="0.3">
      <c r="A637" s="712"/>
      <c r="B637" s="725" t="s">
        <v>378</v>
      </c>
      <c r="C637" s="725">
        <f t="shared" ref="C637:O637" si="321">SUM(C21+C36+C56+C75+C93+C111+C130+C147+C166+C185+C204+C230+C250+C268+C288+C310+C321+C339+C360+C380+C400+C415+C433+C447+C475+C492+C562+C580)</f>
        <v>1047031</v>
      </c>
      <c r="D637" s="725">
        <f t="shared" si="321"/>
        <v>0</v>
      </c>
      <c r="E637" s="725">
        <f t="shared" si="321"/>
        <v>0</v>
      </c>
      <c r="F637" s="725">
        <f t="shared" si="321"/>
        <v>990770</v>
      </c>
      <c r="G637" s="725">
        <f t="shared" si="321"/>
        <v>2750</v>
      </c>
      <c r="H637" s="725">
        <f t="shared" si="321"/>
        <v>1800</v>
      </c>
      <c r="I637" s="725">
        <f t="shared" si="321"/>
        <v>1951</v>
      </c>
      <c r="J637" s="725">
        <f t="shared" si="321"/>
        <v>2039601</v>
      </c>
      <c r="K637" s="725">
        <f t="shared" si="321"/>
        <v>4701</v>
      </c>
      <c r="L637" s="725">
        <f t="shared" si="321"/>
        <v>2044302</v>
      </c>
      <c r="M637" s="725">
        <f t="shared" si="321"/>
        <v>8662161</v>
      </c>
      <c r="N637" s="725">
        <f t="shared" si="321"/>
        <v>591270</v>
      </c>
      <c r="O637" s="725">
        <f t="shared" si="321"/>
        <v>11297733</v>
      </c>
    </row>
    <row r="638" spans="1:16" ht="17.25" thickTop="1" thickBot="1" x14ac:dyDescent="0.3">
      <c r="A638" s="712"/>
      <c r="B638" s="725" t="s">
        <v>377</v>
      </c>
      <c r="C638" s="725">
        <f t="shared" ref="C638:O638" si="322">SUM(C22+C37+C57+C76+C94+C112+C131+C148+C167+C186+C205+C231+C251+C269+C289+C311+C322+C340+C361+C381+C401+C416+C434+C448+C457+C476+C493+C517+C529+C541+C563+C581+C503)</f>
        <v>362102</v>
      </c>
      <c r="D638" s="725">
        <f t="shared" si="322"/>
        <v>2866</v>
      </c>
      <c r="E638" s="725">
        <f t="shared" si="322"/>
        <v>0</v>
      </c>
      <c r="F638" s="725">
        <f t="shared" si="322"/>
        <v>200953</v>
      </c>
      <c r="G638" s="725">
        <f t="shared" si="322"/>
        <v>0</v>
      </c>
      <c r="H638" s="725">
        <f t="shared" si="322"/>
        <v>120</v>
      </c>
      <c r="I638" s="725">
        <f t="shared" si="322"/>
        <v>0</v>
      </c>
      <c r="J638" s="725">
        <f t="shared" si="322"/>
        <v>563175</v>
      </c>
      <c r="K638" s="725">
        <f t="shared" si="322"/>
        <v>2866</v>
      </c>
      <c r="L638" s="725">
        <f t="shared" si="322"/>
        <v>566041</v>
      </c>
      <c r="M638" s="725">
        <f t="shared" si="322"/>
        <v>1949639</v>
      </c>
      <c r="N638" s="725">
        <f t="shared" si="322"/>
        <v>257190</v>
      </c>
      <c r="O638" s="725">
        <f t="shared" si="322"/>
        <v>2772870</v>
      </c>
    </row>
    <row r="639" spans="1:16" ht="33" thickTop="1" thickBot="1" x14ac:dyDescent="0.3">
      <c r="A639" s="712"/>
      <c r="B639" s="725" t="s">
        <v>446</v>
      </c>
      <c r="C639" s="725">
        <f t="shared" ref="C639:O639" si="323">SUM(C582)</f>
        <v>74624</v>
      </c>
      <c r="D639" s="725">
        <f t="shared" si="323"/>
        <v>0</v>
      </c>
      <c r="E639" s="725">
        <f t="shared" si="323"/>
        <v>540</v>
      </c>
      <c r="F639" s="725">
        <f t="shared" si="323"/>
        <v>1322</v>
      </c>
      <c r="G639" s="725">
        <f t="shared" si="323"/>
        <v>1975</v>
      </c>
      <c r="H639" s="725">
        <f t="shared" si="323"/>
        <v>0</v>
      </c>
      <c r="I639" s="725">
        <f t="shared" si="323"/>
        <v>0</v>
      </c>
      <c r="J639" s="725">
        <f t="shared" si="323"/>
        <v>76486</v>
      </c>
      <c r="K639" s="725">
        <f t="shared" si="323"/>
        <v>1975</v>
      </c>
      <c r="L639" s="725">
        <f t="shared" si="323"/>
        <v>78461</v>
      </c>
      <c r="M639" s="725">
        <f t="shared" si="323"/>
        <v>909548</v>
      </c>
      <c r="N639" s="725">
        <f t="shared" si="323"/>
        <v>0</v>
      </c>
      <c r="O639" s="725">
        <f t="shared" si="323"/>
        <v>988009</v>
      </c>
    </row>
    <row r="640" spans="1:16" ht="16.5" thickTop="1" x14ac:dyDescent="0.25"/>
    <row r="641" spans="2:15" hidden="1" x14ac:dyDescent="0.25"/>
    <row r="642" spans="2:15" hidden="1" x14ac:dyDescent="0.25">
      <c r="C642" s="703">
        <f t="shared" ref="C642:O642" si="324">SUM(C636-C584)</f>
        <v>198864</v>
      </c>
      <c r="D642" s="703">
        <f t="shared" si="324"/>
        <v>2866</v>
      </c>
      <c r="E642" s="703">
        <f t="shared" si="324"/>
        <v>190</v>
      </c>
      <c r="F642" s="703">
        <f t="shared" si="324"/>
        <v>-199288</v>
      </c>
      <c r="G642" s="703">
        <f t="shared" si="324"/>
        <v>4725</v>
      </c>
      <c r="H642" s="703">
        <f t="shared" si="324"/>
        <v>1870</v>
      </c>
      <c r="I642" s="703">
        <f t="shared" si="324"/>
        <v>1951</v>
      </c>
      <c r="J642" s="703">
        <f t="shared" si="324"/>
        <v>1636</v>
      </c>
      <c r="K642" s="703">
        <f t="shared" si="324"/>
        <v>9542</v>
      </c>
      <c r="L642" s="703">
        <f t="shared" si="324"/>
        <v>11178</v>
      </c>
      <c r="M642" s="703">
        <f t="shared" si="324"/>
        <v>-100311</v>
      </c>
      <c r="N642" s="703">
        <f t="shared" si="324"/>
        <v>0</v>
      </c>
      <c r="O642" s="703">
        <f t="shared" si="324"/>
        <v>-89133</v>
      </c>
    </row>
    <row r="643" spans="2:15" hidden="1" x14ac:dyDescent="0.25"/>
    <row r="644" spans="2:15" hidden="1" x14ac:dyDescent="0.25">
      <c r="B644" s="698" t="s">
        <v>665</v>
      </c>
      <c r="C644" s="703">
        <f t="shared" ref="C644:O647" si="325">+C636</f>
        <v>1483757</v>
      </c>
      <c r="D644" s="703">
        <f t="shared" si="325"/>
        <v>2866</v>
      </c>
      <c r="E644" s="703">
        <f t="shared" si="325"/>
        <v>540</v>
      </c>
      <c r="F644" s="703">
        <f t="shared" si="325"/>
        <v>1193045</v>
      </c>
      <c r="G644" s="703">
        <f t="shared" si="325"/>
        <v>4725</v>
      </c>
      <c r="H644" s="703">
        <f t="shared" si="325"/>
        <v>1920</v>
      </c>
      <c r="I644" s="703">
        <f t="shared" si="325"/>
        <v>1951</v>
      </c>
      <c r="J644" s="703">
        <f t="shared" si="325"/>
        <v>2679262</v>
      </c>
      <c r="K644" s="703">
        <f t="shared" si="325"/>
        <v>9542</v>
      </c>
      <c r="L644" s="703">
        <f t="shared" si="325"/>
        <v>2688804</v>
      </c>
      <c r="M644" s="703">
        <f t="shared" si="325"/>
        <v>11521348</v>
      </c>
      <c r="N644" s="703">
        <f t="shared" si="325"/>
        <v>848460</v>
      </c>
      <c r="O644" s="703">
        <f t="shared" si="325"/>
        <v>15058612</v>
      </c>
    </row>
    <row r="645" spans="2:15" hidden="1" x14ac:dyDescent="0.25">
      <c r="B645" s="698" t="s">
        <v>668</v>
      </c>
      <c r="C645" s="703">
        <f>+C637</f>
        <v>1047031</v>
      </c>
      <c r="D645" s="703">
        <f>+D637</f>
        <v>0</v>
      </c>
      <c r="F645" s="703">
        <f>+F637</f>
        <v>990770</v>
      </c>
      <c r="G645" s="703">
        <f t="shared" si="325"/>
        <v>2750</v>
      </c>
      <c r="H645" s="703">
        <f t="shared" si="325"/>
        <v>1800</v>
      </c>
      <c r="I645" s="703">
        <f t="shared" si="325"/>
        <v>1951</v>
      </c>
      <c r="J645" s="703">
        <f t="shared" si="325"/>
        <v>2039601</v>
      </c>
      <c r="K645" s="703">
        <f t="shared" si="325"/>
        <v>4701</v>
      </c>
      <c r="L645" s="703">
        <f t="shared" si="325"/>
        <v>2044302</v>
      </c>
      <c r="M645" s="703">
        <f t="shared" si="325"/>
        <v>8662161</v>
      </c>
      <c r="N645" s="703">
        <f t="shared" si="325"/>
        <v>591270</v>
      </c>
      <c r="O645" s="703">
        <f t="shared" si="325"/>
        <v>11297733</v>
      </c>
    </row>
    <row r="646" spans="2:15" hidden="1" x14ac:dyDescent="0.25">
      <c r="B646" s="698" t="s">
        <v>377</v>
      </c>
      <c r="C646" s="703">
        <f>+C638</f>
        <v>362102</v>
      </c>
      <c r="F646" s="703">
        <f>+F638</f>
        <v>200953</v>
      </c>
      <c r="G646" s="703">
        <f t="shared" si="325"/>
        <v>0</v>
      </c>
      <c r="H646" s="703">
        <f>+H638</f>
        <v>120</v>
      </c>
      <c r="I646" s="703">
        <f>+I638-0</f>
        <v>0</v>
      </c>
      <c r="J646" s="703">
        <f>+J638</f>
        <v>563175</v>
      </c>
      <c r="L646" s="703">
        <f>+L638</f>
        <v>566041</v>
      </c>
      <c r="M646" s="703">
        <f>+M638</f>
        <v>1949639</v>
      </c>
      <c r="N646" s="703">
        <f>+N638</f>
        <v>257190</v>
      </c>
      <c r="O646" s="703">
        <f>+O638</f>
        <v>2772870</v>
      </c>
    </row>
    <row r="647" spans="2:15" hidden="1" x14ac:dyDescent="0.25">
      <c r="B647" s="698" t="s">
        <v>446</v>
      </c>
      <c r="C647" s="703">
        <f>+C639</f>
        <v>74624</v>
      </c>
      <c r="E647" s="703">
        <f>+E639</f>
        <v>540</v>
      </c>
      <c r="F647" s="703">
        <f>+F639</f>
        <v>1322</v>
      </c>
      <c r="G647" s="703">
        <f t="shared" si="325"/>
        <v>1975</v>
      </c>
      <c r="H647" s="703">
        <f>+H639-0</f>
        <v>0</v>
      </c>
      <c r="J647" s="703">
        <f>+J639</f>
        <v>76486</v>
      </c>
      <c r="L647" s="703">
        <f>+L639</f>
        <v>78461</v>
      </c>
      <c r="M647" s="703">
        <f>+M639</f>
        <v>909548</v>
      </c>
      <c r="O647" s="703">
        <f>+O639</f>
        <v>988009</v>
      </c>
    </row>
    <row r="648" spans="2:15" hidden="1" x14ac:dyDescent="0.25"/>
    <row r="649" spans="2:15" hidden="1" x14ac:dyDescent="0.25">
      <c r="B649" s="698" t="s">
        <v>669</v>
      </c>
    </row>
    <row r="650" spans="2:15" hidden="1" x14ac:dyDescent="0.25">
      <c r="B650" s="698" t="s">
        <v>665</v>
      </c>
      <c r="C650" s="703">
        <f t="shared" ref="C650:O650" si="326">+C642</f>
        <v>198864</v>
      </c>
      <c r="D650" s="703">
        <f t="shared" si="326"/>
        <v>2866</v>
      </c>
      <c r="E650" s="703">
        <f t="shared" si="326"/>
        <v>190</v>
      </c>
      <c r="F650" s="703">
        <f t="shared" si="326"/>
        <v>-199288</v>
      </c>
      <c r="G650" s="703">
        <f t="shared" si="326"/>
        <v>4725</v>
      </c>
      <c r="H650" s="703">
        <f t="shared" si="326"/>
        <v>1870</v>
      </c>
      <c r="I650" s="703">
        <f t="shared" si="326"/>
        <v>1951</v>
      </c>
      <c r="J650" s="703">
        <f t="shared" si="326"/>
        <v>1636</v>
      </c>
      <c r="K650" s="703">
        <f t="shared" si="326"/>
        <v>9542</v>
      </c>
      <c r="L650" s="703">
        <f t="shared" si="326"/>
        <v>11178</v>
      </c>
      <c r="M650" s="703">
        <f t="shared" si="326"/>
        <v>-100311</v>
      </c>
      <c r="N650" s="703">
        <f t="shared" si="326"/>
        <v>0</v>
      </c>
      <c r="O650" s="703">
        <f t="shared" si="326"/>
        <v>-89133</v>
      </c>
    </row>
    <row r="651" spans="2:15" hidden="1" x14ac:dyDescent="0.25">
      <c r="B651" s="698" t="s">
        <v>668</v>
      </c>
      <c r="C651" s="703">
        <f t="shared" ref="C651:O651" si="327">C586+C587+C588+C589+C590+C591+C592+C593+C594+C595+C596+C597+C598+C599+C600+C601+C602+C603+C604+C605+C606+C607</f>
        <v>68927</v>
      </c>
      <c r="D651" s="703">
        <f t="shared" si="327"/>
        <v>0</v>
      </c>
      <c r="E651" s="703">
        <f t="shared" si="327"/>
        <v>0</v>
      </c>
      <c r="F651" s="703">
        <f t="shared" si="327"/>
        <v>-90048</v>
      </c>
      <c r="G651" s="703">
        <f t="shared" si="327"/>
        <v>2750</v>
      </c>
      <c r="H651" s="703">
        <f t="shared" si="327"/>
        <v>1800</v>
      </c>
      <c r="I651" s="703">
        <f t="shared" si="327"/>
        <v>1951</v>
      </c>
      <c r="J651" s="703">
        <f t="shared" si="327"/>
        <v>-19321</v>
      </c>
      <c r="K651" s="703">
        <f t="shared" si="327"/>
        <v>4701</v>
      </c>
      <c r="L651" s="703">
        <f t="shared" si="327"/>
        <v>-14620</v>
      </c>
      <c r="M651" s="703">
        <f t="shared" si="327"/>
        <v>-23512</v>
      </c>
      <c r="N651" s="703">
        <f t="shared" si="327"/>
        <v>0</v>
      </c>
      <c r="O651" s="703">
        <f t="shared" si="327"/>
        <v>-38132</v>
      </c>
    </row>
    <row r="652" spans="2:15" hidden="1" x14ac:dyDescent="0.25">
      <c r="B652" s="698" t="s">
        <v>377</v>
      </c>
      <c r="C652" s="703">
        <f>C609+C610+C611+C612+C613+C614+C615+C616+C617+C618+C619+C620+C621+C622+C623+C624+C625+C626+C627++C628+C629+C630+C631+C632</f>
        <v>129630</v>
      </c>
      <c r="D652" s="703">
        <f t="shared" ref="D652:O652" si="328">D609+D610+D611+D612+D613+D614+D615+D616+D617+D618+D619+D620+D621+D622+D623+D624+D625+D626+D627++D628+D629+D630+D631+D632</f>
        <v>2866</v>
      </c>
      <c r="E652" s="703">
        <f t="shared" si="328"/>
        <v>0</v>
      </c>
      <c r="F652" s="703">
        <f t="shared" si="328"/>
        <v>-110562</v>
      </c>
      <c r="G652" s="703">
        <f t="shared" si="328"/>
        <v>0</v>
      </c>
      <c r="H652" s="703">
        <f t="shared" si="328"/>
        <v>70</v>
      </c>
      <c r="I652" s="703">
        <f t="shared" si="328"/>
        <v>0</v>
      </c>
      <c r="J652" s="703">
        <f t="shared" si="328"/>
        <v>19138</v>
      </c>
      <c r="K652" s="703">
        <f t="shared" si="328"/>
        <v>2866</v>
      </c>
      <c r="L652" s="703">
        <f t="shared" si="328"/>
        <v>22004</v>
      </c>
      <c r="M652" s="703">
        <f t="shared" si="328"/>
        <v>-76609</v>
      </c>
      <c r="N652" s="703">
        <f t="shared" si="328"/>
        <v>0</v>
      </c>
      <c r="O652" s="703">
        <f t="shared" si="328"/>
        <v>-54605</v>
      </c>
    </row>
    <row r="653" spans="2:15" hidden="1" x14ac:dyDescent="0.25">
      <c r="B653" s="698" t="s">
        <v>446</v>
      </c>
      <c r="C653" s="703">
        <f>C634+C635</f>
        <v>307</v>
      </c>
      <c r="D653" s="703">
        <f t="shared" ref="D653:O653" si="329">D634+D635</f>
        <v>0</v>
      </c>
      <c r="E653" s="703">
        <f t="shared" si="329"/>
        <v>190</v>
      </c>
      <c r="F653" s="703">
        <f t="shared" si="329"/>
        <v>1322</v>
      </c>
      <c r="G653" s="703">
        <f t="shared" si="329"/>
        <v>1975</v>
      </c>
      <c r="H653" s="703">
        <f t="shared" si="329"/>
        <v>0</v>
      </c>
      <c r="I653" s="703">
        <f t="shared" si="329"/>
        <v>0</v>
      </c>
      <c r="J653" s="703">
        <f t="shared" si="329"/>
        <v>1819</v>
      </c>
      <c r="K653" s="703">
        <f t="shared" si="329"/>
        <v>1975</v>
      </c>
      <c r="L653" s="703">
        <f t="shared" si="329"/>
        <v>3794</v>
      </c>
      <c r="M653" s="703">
        <f t="shared" si="329"/>
        <v>-190</v>
      </c>
      <c r="N653" s="703">
        <f t="shared" si="329"/>
        <v>0</v>
      </c>
      <c r="O653" s="703">
        <f t="shared" si="329"/>
        <v>3604</v>
      </c>
    </row>
    <row r="654" spans="2:15" hidden="1" x14ac:dyDescent="0.25"/>
    <row r="655" spans="2:15" hidden="1" x14ac:dyDescent="0.25">
      <c r="B655" s="698" t="s">
        <v>670</v>
      </c>
      <c r="C655" s="703">
        <f>C653+C652+C651</f>
        <v>198864</v>
      </c>
      <c r="D655" s="703">
        <f t="shared" ref="D655:O655" si="330">D653+D652+D651</f>
        <v>2866</v>
      </c>
      <c r="E655" s="703">
        <f t="shared" si="330"/>
        <v>190</v>
      </c>
      <c r="F655" s="703">
        <f t="shared" si="330"/>
        <v>-199288</v>
      </c>
      <c r="G655" s="703">
        <f t="shared" si="330"/>
        <v>4725</v>
      </c>
      <c r="H655" s="703">
        <f t="shared" si="330"/>
        <v>1870</v>
      </c>
      <c r="I655" s="703">
        <f t="shared" si="330"/>
        <v>1951</v>
      </c>
      <c r="J655" s="703">
        <f t="shared" si="330"/>
        <v>1636</v>
      </c>
      <c r="K655" s="703">
        <f t="shared" si="330"/>
        <v>9542</v>
      </c>
      <c r="L655" s="703">
        <f t="shared" si="330"/>
        <v>11178</v>
      </c>
      <c r="M655" s="703">
        <f t="shared" si="330"/>
        <v>-100311</v>
      </c>
      <c r="N655" s="703">
        <f t="shared" si="330"/>
        <v>0</v>
      </c>
      <c r="O655" s="703">
        <f t="shared" si="330"/>
        <v>-89133</v>
      </c>
    </row>
    <row r="656" spans="2:15" hidden="1" x14ac:dyDescent="0.25"/>
    <row r="657" hidden="1" x14ac:dyDescent="0.25"/>
    <row r="658" hidden="1" x14ac:dyDescent="0.25"/>
  </sheetData>
  <mergeCells count="17">
    <mergeCell ref="M5:N5"/>
    <mergeCell ref="M6:N6"/>
    <mergeCell ref="A1:O1"/>
    <mergeCell ref="G3:G4"/>
    <mergeCell ref="H3:H4"/>
    <mergeCell ref="I3:I4"/>
    <mergeCell ref="J3:J4"/>
    <mergeCell ref="K3:K4"/>
    <mergeCell ref="L3:L4"/>
    <mergeCell ref="A3:A5"/>
    <mergeCell ref="B3:B4"/>
    <mergeCell ref="C3:C4"/>
    <mergeCell ref="D3:D4"/>
    <mergeCell ref="E3:E4"/>
    <mergeCell ref="F3:F4"/>
    <mergeCell ref="M3:N3"/>
    <mergeCell ref="O3:O4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&amp;R&amp;"Times New Roman CE,Félkövér"7. melléklet a 40/2020.(XI.30.) önkormányzati rendelethez&amp;"Times New Roman CE,Normál"
7. melléklet
 az 5/2020.(II.17.) önkormányzati rendelethez</oddHeader>
  </headerFooter>
  <rowBreaks count="1" manualBreakCount="1">
    <brk id="635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01587-75DF-4279-93FC-432E4A4F0308}">
  <dimension ref="A1:P683"/>
  <sheetViews>
    <sheetView view="pageBreakPreview" zoomScale="70" zoomScaleNormal="50" zoomScaleSheetLayoutView="70" workbookViewId="0">
      <pane xSplit="1" ySplit="6" topLeftCell="B604" activePane="bottomRight" state="frozen"/>
      <selection activeCell="D13" sqref="D13"/>
      <selection pane="topRight" activeCell="D13" sqref="D13"/>
      <selection pane="bottomLeft" activeCell="D13" sqref="D13"/>
      <selection pane="bottomRight" activeCell="H607" sqref="H607"/>
    </sheetView>
  </sheetViews>
  <sheetFormatPr defaultColWidth="9" defaultRowHeight="15.75" x14ac:dyDescent="0.25"/>
  <cols>
    <col min="1" max="1" width="3.625" style="675" customWidth="1"/>
    <col min="2" max="2" width="36.75" style="675" customWidth="1"/>
    <col min="3" max="3" width="10.875" style="675" customWidth="1"/>
    <col min="4" max="4" width="15.625" style="675" customWidth="1"/>
    <col min="5" max="5" width="11.25" style="675" customWidth="1"/>
    <col min="6" max="6" width="11" style="675" customWidth="1"/>
    <col min="7" max="7" width="10.875" style="675" customWidth="1"/>
    <col min="8" max="8" width="11.125" style="675" customWidth="1"/>
    <col min="9" max="9" width="12.5" style="675" customWidth="1"/>
    <col min="10" max="10" width="11.5" style="675" customWidth="1"/>
    <col min="11" max="11" width="13.25" style="675" customWidth="1"/>
    <col min="12" max="12" width="13.125" style="675" customWidth="1"/>
    <col min="13" max="13" width="12.625" style="675" customWidth="1"/>
    <col min="14" max="14" width="14" style="675" customWidth="1"/>
    <col min="15" max="15" width="12.25" style="675" customWidth="1"/>
    <col min="16" max="16" width="16.375" style="675" hidden="1" customWidth="1"/>
    <col min="17" max="17" width="0" style="675" hidden="1" customWidth="1"/>
    <col min="18" max="16384" width="9" style="675"/>
  </cols>
  <sheetData>
    <row r="1" spans="1:15" x14ac:dyDescent="0.25">
      <c r="A1" s="1013" t="s">
        <v>794</v>
      </c>
      <c r="B1" s="1013"/>
      <c r="C1" s="1013"/>
      <c r="D1" s="1013"/>
      <c r="E1" s="1013"/>
      <c r="F1" s="1013"/>
      <c r="G1" s="1013"/>
      <c r="H1" s="1013"/>
      <c r="I1" s="1013"/>
      <c r="J1" s="1013"/>
      <c r="K1" s="1013"/>
      <c r="L1" s="1013"/>
      <c r="M1" s="1013"/>
      <c r="N1" s="1013"/>
      <c r="O1" s="1013"/>
    </row>
    <row r="3" spans="1:15" ht="16.5" thickBot="1" x14ac:dyDescent="0.3"/>
    <row r="4" spans="1:15" ht="58.5" thickTop="1" thickBot="1" x14ac:dyDescent="0.3">
      <c r="A4" s="757" t="s">
        <v>441</v>
      </c>
      <c r="B4" s="758" t="s">
        <v>440</v>
      </c>
      <c r="C4" s="759" t="s">
        <v>31</v>
      </c>
      <c r="D4" s="760" t="s">
        <v>439</v>
      </c>
      <c r="E4" s="760" t="s">
        <v>57</v>
      </c>
      <c r="F4" s="761" t="s">
        <v>438</v>
      </c>
      <c r="G4" s="760" t="s">
        <v>437</v>
      </c>
      <c r="H4" s="760" t="s">
        <v>448</v>
      </c>
      <c r="I4" s="762" t="s">
        <v>52</v>
      </c>
      <c r="J4" s="763" t="s">
        <v>60</v>
      </c>
      <c r="K4" s="761" t="s">
        <v>254</v>
      </c>
      <c r="L4" s="760" t="s">
        <v>449</v>
      </c>
      <c r="M4" s="760" t="s">
        <v>255</v>
      </c>
      <c r="N4" s="760" t="s">
        <v>436</v>
      </c>
      <c r="O4" s="760" t="s">
        <v>435</v>
      </c>
    </row>
    <row r="5" spans="1:15" ht="17.25" thickTop="1" thickBot="1" x14ac:dyDescent="0.3">
      <c r="A5" s="757"/>
      <c r="B5" s="758"/>
      <c r="C5" s="759" t="s">
        <v>154</v>
      </c>
      <c r="D5" s="760" t="s">
        <v>155</v>
      </c>
      <c r="E5" s="760" t="s">
        <v>156</v>
      </c>
      <c r="F5" s="761" t="s">
        <v>157</v>
      </c>
      <c r="G5" s="760" t="s">
        <v>256</v>
      </c>
      <c r="H5" s="760" t="s">
        <v>434</v>
      </c>
      <c r="I5" s="762" t="s">
        <v>158</v>
      </c>
      <c r="J5" s="763" t="s">
        <v>159</v>
      </c>
      <c r="K5" s="761" t="s">
        <v>160</v>
      </c>
      <c r="L5" s="760" t="s">
        <v>433</v>
      </c>
      <c r="M5" s="760" t="s">
        <v>271</v>
      </c>
      <c r="N5" s="760" t="s">
        <v>209</v>
      </c>
      <c r="O5" s="760" t="s">
        <v>432</v>
      </c>
    </row>
    <row r="6" spans="1:15" s="770" customFormat="1" ht="14.25" thickTop="1" thickBot="1" x14ac:dyDescent="0.25">
      <c r="A6" s="764" t="s">
        <v>137</v>
      </c>
      <c r="B6" s="765" t="s">
        <v>138</v>
      </c>
      <c r="C6" s="766" t="s">
        <v>493</v>
      </c>
      <c r="D6" s="766" t="s">
        <v>140</v>
      </c>
      <c r="E6" s="766" t="s">
        <v>141</v>
      </c>
      <c r="F6" s="767" t="s">
        <v>142</v>
      </c>
      <c r="G6" s="766" t="s">
        <v>414</v>
      </c>
      <c r="H6" s="768" t="s">
        <v>431</v>
      </c>
      <c r="I6" s="769" t="s">
        <v>36</v>
      </c>
      <c r="J6" s="766" t="s">
        <v>37</v>
      </c>
      <c r="K6" s="767" t="s">
        <v>430</v>
      </c>
      <c r="L6" s="766" t="s">
        <v>429</v>
      </c>
      <c r="M6" s="766" t="s">
        <v>428</v>
      </c>
      <c r="N6" s="766" t="s">
        <v>427</v>
      </c>
      <c r="O6" s="766" t="s">
        <v>426</v>
      </c>
    </row>
    <row r="7" spans="1:15" ht="16.5" thickTop="1" x14ac:dyDescent="0.25">
      <c r="A7" s="771" t="s">
        <v>144</v>
      </c>
      <c r="B7" s="772" t="s">
        <v>410</v>
      </c>
      <c r="C7" s="773"/>
      <c r="D7" s="774"/>
      <c r="E7" s="774"/>
      <c r="F7" s="775"/>
      <c r="G7" s="774"/>
      <c r="H7" s="776"/>
      <c r="I7" s="777"/>
      <c r="J7" s="775"/>
      <c r="K7" s="775"/>
      <c r="L7" s="776"/>
      <c r="M7" s="778"/>
      <c r="N7" s="778"/>
      <c r="O7" s="778"/>
    </row>
    <row r="8" spans="1:15" x14ac:dyDescent="0.25">
      <c r="A8" s="771"/>
      <c r="B8" s="724" t="s">
        <v>347</v>
      </c>
      <c r="C8" s="773">
        <f>SUM(C9:C10)</f>
        <v>655738</v>
      </c>
      <c r="D8" s="773">
        <f t="shared" ref="D8:K8" si="0">SUM(D9:D10)</f>
        <v>117238</v>
      </c>
      <c r="E8" s="773">
        <f t="shared" si="0"/>
        <v>411606</v>
      </c>
      <c r="F8" s="773">
        <f t="shared" si="0"/>
        <v>0</v>
      </c>
      <c r="G8" s="773">
        <f t="shared" si="0"/>
        <v>0</v>
      </c>
      <c r="H8" s="776">
        <f>SUM(C8:G8)</f>
        <v>1184582</v>
      </c>
      <c r="I8" s="777">
        <f t="shared" si="0"/>
        <v>7784</v>
      </c>
      <c r="J8" s="777">
        <f t="shared" si="0"/>
        <v>0</v>
      </c>
      <c r="K8" s="777">
        <f t="shared" si="0"/>
        <v>0</v>
      </c>
      <c r="L8" s="776">
        <f t="shared" ref="L8:L16" si="1">SUM(I8:K8)</f>
        <v>7784</v>
      </c>
      <c r="M8" s="778">
        <f t="shared" ref="M8:M16" si="2">SUM(H8+L8)</f>
        <v>1192366</v>
      </c>
      <c r="N8" s="778">
        <f t="shared" ref="N8" si="3">SUM(N9:N10)</f>
        <v>0</v>
      </c>
      <c r="O8" s="778">
        <f t="shared" ref="O8:O16" si="4">SUM(M8+N8)</f>
        <v>1192366</v>
      </c>
    </row>
    <row r="9" spans="1:15" s="788" customFormat="1" x14ac:dyDescent="0.25">
      <c r="A9" s="779"/>
      <c r="B9" s="780" t="s">
        <v>381</v>
      </c>
      <c r="C9" s="781">
        <v>507297</v>
      </c>
      <c r="D9" s="782">
        <v>89003</v>
      </c>
      <c r="E9" s="782">
        <v>371976</v>
      </c>
      <c r="F9" s="783"/>
      <c r="G9" s="782"/>
      <c r="H9" s="784">
        <f>SUM(C9:G9)</f>
        <v>968276</v>
      </c>
      <c r="I9" s="785">
        <v>7784</v>
      </c>
      <c r="J9" s="786"/>
      <c r="K9" s="786"/>
      <c r="L9" s="784">
        <f t="shared" si="1"/>
        <v>7784</v>
      </c>
      <c r="M9" s="787">
        <f t="shared" si="2"/>
        <v>976060</v>
      </c>
      <c r="N9" s="787"/>
      <c r="O9" s="787">
        <f t="shared" si="4"/>
        <v>976060</v>
      </c>
    </row>
    <row r="10" spans="1:15" x14ac:dyDescent="0.25">
      <c r="A10" s="771"/>
      <c r="B10" s="780" t="s">
        <v>380</v>
      </c>
      <c r="C10" s="781">
        <v>148441</v>
      </c>
      <c r="D10" s="782">
        <v>28235</v>
      </c>
      <c r="E10" s="782">
        <v>39630</v>
      </c>
      <c r="F10" s="775"/>
      <c r="G10" s="774"/>
      <c r="H10" s="784">
        <f>SUM(C10:G10)</f>
        <v>216306</v>
      </c>
      <c r="I10" s="777"/>
      <c r="J10" s="775"/>
      <c r="K10" s="775"/>
      <c r="L10" s="776">
        <f t="shared" si="1"/>
        <v>0</v>
      </c>
      <c r="M10" s="787">
        <f t="shared" si="2"/>
        <v>216306</v>
      </c>
      <c r="N10" s="787"/>
      <c r="O10" s="787">
        <f t="shared" si="4"/>
        <v>216306</v>
      </c>
    </row>
    <row r="11" spans="1:15" s="788" customFormat="1" x14ac:dyDescent="0.25">
      <c r="A11" s="779"/>
      <c r="B11" s="780" t="s">
        <v>131</v>
      </c>
      <c r="C11" s="781"/>
      <c r="D11" s="782"/>
      <c r="E11" s="782"/>
      <c r="F11" s="783"/>
      <c r="G11" s="782"/>
      <c r="H11" s="776"/>
      <c r="I11" s="785"/>
      <c r="J11" s="786"/>
      <c r="K11" s="786"/>
      <c r="L11" s="776">
        <f t="shared" si="1"/>
        <v>0</v>
      </c>
      <c r="M11" s="778">
        <f t="shared" si="2"/>
        <v>0</v>
      </c>
      <c r="N11" s="787"/>
      <c r="O11" s="778">
        <f t="shared" si="4"/>
        <v>0</v>
      </c>
    </row>
    <row r="12" spans="1:15" ht="31.5" x14ac:dyDescent="0.25">
      <c r="A12" s="771"/>
      <c r="B12" s="724" t="s">
        <v>1325</v>
      </c>
      <c r="C12" s="773">
        <v>418</v>
      </c>
      <c r="D12" s="774">
        <v>68</v>
      </c>
      <c r="E12" s="774"/>
      <c r="F12" s="775"/>
      <c r="G12" s="774"/>
      <c r="H12" s="776">
        <f t="shared" ref="H12:H16" si="5">SUM(C12:G12)</f>
        <v>486</v>
      </c>
      <c r="I12" s="777"/>
      <c r="J12" s="775"/>
      <c r="K12" s="775"/>
      <c r="L12" s="776">
        <f t="shared" si="1"/>
        <v>0</v>
      </c>
      <c r="M12" s="778">
        <f t="shared" si="2"/>
        <v>486</v>
      </c>
      <c r="N12" s="778"/>
      <c r="O12" s="778">
        <f t="shared" si="4"/>
        <v>486</v>
      </c>
    </row>
    <row r="13" spans="1:15" ht="63" x14ac:dyDescent="0.25">
      <c r="A13" s="771"/>
      <c r="B13" s="724" t="s">
        <v>1326</v>
      </c>
      <c r="C13" s="773">
        <v>632</v>
      </c>
      <c r="D13" s="774">
        <v>110</v>
      </c>
      <c r="E13" s="774"/>
      <c r="F13" s="775"/>
      <c r="G13" s="774"/>
      <c r="H13" s="776">
        <f t="shared" si="5"/>
        <v>742</v>
      </c>
      <c r="I13" s="789"/>
      <c r="J13" s="790"/>
      <c r="K13" s="790"/>
      <c r="L13" s="776">
        <f t="shared" si="1"/>
        <v>0</v>
      </c>
      <c r="M13" s="778">
        <f t="shared" si="2"/>
        <v>742</v>
      </c>
      <c r="N13" s="778"/>
      <c r="O13" s="778">
        <f t="shared" si="4"/>
        <v>742</v>
      </c>
    </row>
    <row r="14" spans="1:15" ht="31.5" x14ac:dyDescent="0.25">
      <c r="A14" s="771"/>
      <c r="B14" s="724" t="s">
        <v>1327</v>
      </c>
      <c r="C14" s="773">
        <v>-745</v>
      </c>
      <c r="D14" s="774">
        <v>-144</v>
      </c>
      <c r="E14" s="774"/>
      <c r="F14" s="775"/>
      <c r="G14" s="774"/>
      <c r="H14" s="776">
        <f t="shared" si="5"/>
        <v>-889</v>
      </c>
      <c r="I14" s="789"/>
      <c r="J14" s="790"/>
      <c r="K14" s="790"/>
      <c r="L14" s="776">
        <f t="shared" si="1"/>
        <v>0</v>
      </c>
      <c r="M14" s="778">
        <f t="shared" si="2"/>
        <v>-889</v>
      </c>
      <c r="N14" s="778"/>
      <c r="O14" s="778">
        <f t="shared" si="4"/>
        <v>-889</v>
      </c>
    </row>
    <row r="15" spans="1:15" ht="31.5" x14ac:dyDescent="0.25">
      <c r="A15" s="771"/>
      <c r="B15" s="724" t="s">
        <v>961</v>
      </c>
      <c r="C15" s="773">
        <v>56521</v>
      </c>
      <c r="D15" s="774">
        <v>8761</v>
      </c>
      <c r="E15" s="774">
        <v>17855</v>
      </c>
      <c r="F15" s="775"/>
      <c r="G15" s="774"/>
      <c r="H15" s="776">
        <f t="shared" si="5"/>
        <v>83137</v>
      </c>
      <c r="I15" s="789">
        <v>3218</v>
      </c>
      <c r="J15" s="790"/>
      <c r="K15" s="790"/>
      <c r="L15" s="776">
        <f t="shared" si="1"/>
        <v>3218</v>
      </c>
      <c r="M15" s="778">
        <f t="shared" si="2"/>
        <v>86355</v>
      </c>
      <c r="N15" s="778"/>
      <c r="O15" s="778">
        <f t="shared" si="4"/>
        <v>86355</v>
      </c>
    </row>
    <row r="16" spans="1:15" ht="31.5" x14ac:dyDescent="0.25">
      <c r="A16" s="771"/>
      <c r="B16" s="724" t="s">
        <v>1328</v>
      </c>
      <c r="C16" s="773"/>
      <c r="D16" s="774"/>
      <c r="E16" s="774">
        <v>-10000</v>
      </c>
      <c r="F16" s="775"/>
      <c r="G16" s="774"/>
      <c r="H16" s="776">
        <f t="shared" si="5"/>
        <v>-10000</v>
      </c>
      <c r="I16" s="789"/>
      <c r="J16" s="790"/>
      <c r="K16" s="790"/>
      <c r="L16" s="776">
        <f t="shared" si="1"/>
        <v>0</v>
      </c>
      <c r="M16" s="778">
        <f t="shared" si="2"/>
        <v>-10000</v>
      </c>
      <c r="N16" s="778"/>
      <c r="O16" s="778">
        <f t="shared" si="4"/>
        <v>-10000</v>
      </c>
    </row>
    <row r="17" spans="1:16" s="788" customFormat="1" x14ac:dyDescent="0.25">
      <c r="A17" s="779"/>
      <c r="B17" s="780" t="s">
        <v>132</v>
      </c>
      <c r="C17" s="781"/>
      <c r="D17" s="782"/>
      <c r="E17" s="782"/>
      <c r="F17" s="783"/>
      <c r="G17" s="782"/>
      <c r="H17" s="776"/>
      <c r="I17" s="785"/>
      <c r="J17" s="786"/>
      <c r="K17" s="786"/>
      <c r="L17" s="776"/>
      <c r="M17" s="778"/>
      <c r="N17" s="787"/>
      <c r="O17" s="778"/>
    </row>
    <row r="18" spans="1:16" ht="63" x14ac:dyDescent="0.25">
      <c r="A18" s="771"/>
      <c r="B18" s="724" t="s">
        <v>1329</v>
      </c>
      <c r="C18" s="773">
        <v>7137</v>
      </c>
      <c r="D18" s="774">
        <v>1070</v>
      </c>
      <c r="E18" s="774"/>
      <c r="F18" s="775"/>
      <c r="G18" s="774"/>
      <c r="H18" s="776">
        <f>SUM(C18:G18)</f>
        <v>8207</v>
      </c>
      <c r="I18" s="789"/>
      <c r="J18" s="790"/>
      <c r="K18" s="790"/>
      <c r="L18" s="776">
        <f>SUM(I18:K18)</f>
        <v>0</v>
      </c>
      <c r="M18" s="778">
        <f>SUM(H18+L18)</f>
        <v>8207</v>
      </c>
      <c r="N18" s="778"/>
      <c r="O18" s="778">
        <f>SUM(M18+N18)</f>
        <v>8207</v>
      </c>
    </row>
    <row r="19" spans="1:16" ht="16.5" thickBot="1" x14ac:dyDescent="0.3">
      <c r="A19" s="771"/>
      <c r="B19" s="724" t="s">
        <v>1330</v>
      </c>
      <c r="C19" s="773">
        <v>2386</v>
      </c>
      <c r="D19" s="774">
        <v>357</v>
      </c>
      <c r="E19" s="774"/>
      <c r="F19" s="775"/>
      <c r="G19" s="774"/>
      <c r="H19" s="776">
        <f>SUM(C19:G19)</f>
        <v>2743</v>
      </c>
      <c r="I19" s="789"/>
      <c r="J19" s="790"/>
      <c r="K19" s="790"/>
      <c r="L19" s="776">
        <f>SUM(I19:K19)</f>
        <v>0</v>
      </c>
      <c r="M19" s="778">
        <f>SUM(H19+L19)</f>
        <v>2743</v>
      </c>
      <c r="N19" s="778"/>
      <c r="O19" s="778">
        <f>SUM(M19+N19)</f>
        <v>2743</v>
      </c>
    </row>
    <row r="20" spans="1:16" ht="17.25" thickTop="1" thickBot="1" x14ac:dyDescent="0.3">
      <c r="A20" s="791"/>
      <c r="B20" s="792" t="s">
        <v>379</v>
      </c>
      <c r="C20" s="793">
        <f>+C8+C12+C18+C13+C14+C15+C16+C19</f>
        <v>722087</v>
      </c>
      <c r="D20" s="793">
        <f t="shared" ref="D20:O20" si="6">+D8+D12+D18+D13+D14+D15+D16+D19</f>
        <v>127460</v>
      </c>
      <c r="E20" s="793">
        <f t="shared" si="6"/>
        <v>419461</v>
      </c>
      <c r="F20" s="793">
        <f t="shared" si="6"/>
        <v>0</v>
      </c>
      <c r="G20" s="793">
        <f t="shared" si="6"/>
        <v>0</v>
      </c>
      <c r="H20" s="793">
        <f t="shared" si="6"/>
        <v>1269008</v>
      </c>
      <c r="I20" s="793">
        <f t="shared" si="6"/>
        <v>11002</v>
      </c>
      <c r="J20" s="793">
        <f t="shared" si="6"/>
        <v>0</v>
      </c>
      <c r="K20" s="793">
        <f t="shared" si="6"/>
        <v>0</v>
      </c>
      <c r="L20" s="793">
        <f t="shared" si="6"/>
        <v>11002</v>
      </c>
      <c r="M20" s="793">
        <f t="shared" si="6"/>
        <v>1280010</v>
      </c>
      <c r="N20" s="793">
        <f t="shared" si="6"/>
        <v>0</v>
      </c>
      <c r="O20" s="793">
        <f t="shared" si="6"/>
        <v>1280010</v>
      </c>
      <c r="P20" s="698">
        <f>O21+O22</f>
        <v>1280010</v>
      </c>
    </row>
    <row r="21" spans="1:16" ht="17.25" thickTop="1" thickBot="1" x14ac:dyDescent="0.3">
      <c r="A21" s="791"/>
      <c r="B21" s="792" t="s">
        <v>378</v>
      </c>
      <c r="C21" s="793">
        <f>+C9+C12+C13+C14+C15+C16</f>
        <v>564123</v>
      </c>
      <c r="D21" s="793">
        <f t="shared" ref="D21:O21" si="7">+D9+D12+D13+D14+D15+D16</f>
        <v>97798</v>
      </c>
      <c r="E21" s="793">
        <f t="shared" si="7"/>
        <v>379831</v>
      </c>
      <c r="F21" s="793">
        <f t="shared" si="7"/>
        <v>0</v>
      </c>
      <c r="G21" s="793">
        <f t="shared" si="7"/>
        <v>0</v>
      </c>
      <c r="H21" s="793">
        <f t="shared" si="7"/>
        <v>1041752</v>
      </c>
      <c r="I21" s="793">
        <f t="shared" si="7"/>
        <v>11002</v>
      </c>
      <c r="J21" s="793">
        <f t="shared" si="7"/>
        <v>0</v>
      </c>
      <c r="K21" s="793">
        <f t="shared" si="7"/>
        <v>0</v>
      </c>
      <c r="L21" s="793">
        <f t="shared" si="7"/>
        <v>11002</v>
      </c>
      <c r="M21" s="793">
        <f t="shared" si="7"/>
        <v>1052754</v>
      </c>
      <c r="N21" s="793">
        <f t="shared" si="7"/>
        <v>0</v>
      </c>
      <c r="O21" s="793">
        <f t="shared" si="7"/>
        <v>1052754</v>
      </c>
      <c r="P21" s="698"/>
    </row>
    <row r="22" spans="1:16" ht="17.25" thickTop="1" thickBot="1" x14ac:dyDescent="0.3">
      <c r="A22" s="791"/>
      <c r="B22" s="792" t="s">
        <v>377</v>
      </c>
      <c r="C22" s="793">
        <f t="shared" ref="C22:O22" si="8">+C10+C18+C19</f>
        <v>157964</v>
      </c>
      <c r="D22" s="793">
        <f t="shared" si="8"/>
        <v>29662</v>
      </c>
      <c r="E22" s="793">
        <f t="shared" si="8"/>
        <v>39630</v>
      </c>
      <c r="F22" s="793">
        <f t="shared" si="8"/>
        <v>0</v>
      </c>
      <c r="G22" s="793">
        <f t="shared" si="8"/>
        <v>0</v>
      </c>
      <c r="H22" s="793">
        <f t="shared" si="8"/>
        <v>227256</v>
      </c>
      <c r="I22" s="793">
        <f t="shared" si="8"/>
        <v>0</v>
      </c>
      <c r="J22" s="793">
        <f t="shared" si="8"/>
        <v>0</v>
      </c>
      <c r="K22" s="793">
        <f t="shared" si="8"/>
        <v>0</v>
      </c>
      <c r="L22" s="793">
        <f t="shared" si="8"/>
        <v>0</v>
      </c>
      <c r="M22" s="793">
        <f t="shared" si="8"/>
        <v>227256</v>
      </c>
      <c r="N22" s="793">
        <f t="shared" si="8"/>
        <v>0</v>
      </c>
      <c r="O22" s="793">
        <f t="shared" si="8"/>
        <v>227256</v>
      </c>
    </row>
    <row r="23" spans="1:16" ht="32.25" thickTop="1" x14ac:dyDescent="0.25">
      <c r="A23" s="771" t="s">
        <v>145</v>
      </c>
      <c r="B23" s="772" t="s">
        <v>409</v>
      </c>
      <c r="C23" s="773"/>
      <c r="D23" s="774"/>
      <c r="E23" s="774"/>
      <c r="F23" s="775"/>
      <c r="G23" s="774"/>
      <c r="H23" s="776"/>
      <c r="I23" s="777"/>
      <c r="J23" s="775"/>
      <c r="K23" s="775"/>
      <c r="L23" s="776"/>
      <c r="M23" s="778"/>
      <c r="N23" s="778"/>
      <c r="O23" s="778"/>
    </row>
    <row r="24" spans="1:16" x14ac:dyDescent="0.25">
      <c r="A24" s="771"/>
      <c r="B24" s="724" t="s">
        <v>347</v>
      </c>
      <c r="C24" s="773">
        <f>SUM(C25:C26)</f>
        <v>92113</v>
      </c>
      <c r="D24" s="773">
        <f>SUM(D25:D26)</f>
        <v>15200</v>
      </c>
      <c r="E24" s="773">
        <f>SUM(E25:E26)</f>
        <v>27943</v>
      </c>
      <c r="F24" s="773">
        <f t="shared" ref="F24:G24" si="9">SUM(F25:F26)</f>
        <v>0</v>
      </c>
      <c r="G24" s="773">
        <f t="shared" si="9"/>
        <v>0</v>
      </c>
      <c r="H24" s="776">
        <f>SUM(C24:G24)</f>
        <v>135256</v>
      </c>
      <c r="I24" s="777">
        <f>SUM(I25:I26)</f>
        <v>31</v>
      </c>
      <c r="J24" s="775">
        <f t="shared" ref="J24:K24" si="10">SUM(J25:J26)</f>
        <v>0</v>
      </c>
      <c r="K24" s="775">
        <f t="shared" si="10"/>
        <v>0</v>
      </c>
      <c r="L24" s="776">
        <f>SUM(I24:K24)</f>
        <v>31</v>
      </c>
      <c r="M24" s="778">
        <f>SUM(H24+L24)</f>
        <v>135287</v>
      </c>
      <c r="N24" s="778"/>
      <c r="O24" s="778">
        <f>SUM(M24+N24)</f>
        <v>135287</v>
      </c>
    </row>
    <row r="25" spans="1:16" s="788" customFormat="1" x14ac:dyDescent="0.25">
      <c r="A25" s="779"/>
      <c r="B25" s="780" t="s">
        <v>381</v>
      </c>
      <c r="C25" s="781">
        <v>43804</v>
      </c>
      <c r="D25" s="782">
        <v>6828</v>
      </c>
      <c r="E25" s="782">
        <v>10314</v>
      </c>
      <c r="F25" s="783"/>
      <c r="G25" s="782"/>
      <c r="H25" s="784">
        <f>SUM(C25:G25)</f>
        <v>60946</v>
      </c>
      <c r="I25" s="794">
        <v>31</v>
      </c>
      <c r="J25" s="783"/>
      <c r="K25" s="783"/>
      <c r="L25" s="784">
        <f>SUM(I25:K25)</f>
        <v>31</v>
      </c>
      <c r="M25" s="787">
        <f>SUM(H25+L25)</f>
        <v>60977</v>
      </c>
      <c r="N25" s="787"/>
      <c r="O25" s="787">
        <f>SUM(M25+N25)</f>
        <v>60977</v>
      </c>
    </row>
    <row r="26" spans="1:16" x14ac:dyDescent="0.25">
      <c r="A26" s="771"/>
      <c r="B26" s="780" t="s">
        <v>380</v>
      </c>
      <c r="C26" s="781">
        <v>48309</v>
      </c>
      <c r="D26" s="782">
        <v>8372</v>
      </c>
      <c r="E26" s="782">
        <v>17629</v>
      </c>
      <c r="F26" s="783"/>
      <c r="G26" s="782"/>
      <c r="H26" s="784">
        <f>SUM(C26:G26)</f>
        <v>74310</v>
      </c>
      <c r="I26" s="794"/>
      <c r="J26" s="783"/>
      <c r="K26" s="783"/>
      <c r="L26" s="784">
        <f>SUM(I26:K26)</f>
        <v>0</v>
      </c>
      <c r="M26" s="787">
        <f>SUM(H26+L26)</f>
        <v>74310</v>
      </c>
      <c r="N26" s="787"/>
      <c r="O26" s="787">
        <f>SUM(M26+N26)</f>
        <v>74310</v>
      </c>
    </row>
    <row r="27" spans="1:16" x14ac:dyDescent="0.25">
      <c r="A27" s="795"/>
      <c r="B27" s="796" t="s">
        <v>131</v>
      </c>
      <c r="C27" s="773"/>
      <c r="D27" s="774"/>
      <c r="E27" s="774"/>
      <c r="F27" s="775"/>
      <c r="G27" s="774"/>
      <c r="H27" s="784"/>
      <c r="I27" s="777"/>
      <c r="J27" s="775"/>
      <c r="K27" s="775"/>
      <c r="L27" s="784"/>
      <c r="M27" s="784"/>
      <c r="N27" s="776"/>
      <c r="O27" s="784"/>
    </row>
    <row r="28" spans="1:16" ht="31.5" x14ac:dyDescent="0.25">
      <c r="A28" s="795"/>
      <c r="B28" s="724" t="s">
        <v>1325</v>
      </c>
      <c r="C28" s="773">
        <v>189</v>
      </c>
      <c r="D28" s="774">
        <v>31</v>
      </c>
      <c r="E28" s="774"/>
      <c r="F28" s="775"/>
      <c r="G28" s="774"/>
      <c r="H28" s="797">
        <f t="shared" ref="H28:H31" si="11">SUM(C28:G28)</f>
        <v>220</v>
      </c>
      <c r="I28" s="777"/>
      <c r="J28" s="775"/>
      <c r="K28" s="775"/>
      <c r="L28" s="797">
        <f t="shared" ref="L28:L31" si="12">SUM(I28:K28)</f>
        <v>0</v>
      </c>
      <c r="M28" s="797">
        <f t="shared" ref="M28:M31" si="13">SUM(H28+L28)</f>
        <v>220</v>
      </c>
      <c r="N28" s="776"/>
      <c r="O28" s="797">
        <f t="shared" ref="O28:O31" si="14">SUM(M28+N28)</f>
        <v>220</v>
      </c>
    </row>
    <row r="29" spans="1:16" ht="31.5" x14ac:dyDescent="0.25">
      <c r="A29" s="771"/>
      <c r="B29" s="724" t="s">
        <v>1331</v>
      </c>
      <c r="C29" s="773">
        <v>12266</v>
      </c>
      <c r="D29" s="774">
        <v>1960</v>
      </c>
      <c r="E29" s="774"/>
      <c r="F29" s="775"/>
      <c r="G29" s="774"/>
      <c r="H29" s="797">
        <f t="shared" si="11"/>
        <v>14226</v>
      </c>
      <c r="I29" s="777"/>
      <c r="J29" s="775"/>
      <c r="K29" s="775"/>
      <c r="L29" s="797">
        <f t="shared" si="12"/>
        <v>0</v>
      </c>
      <c r="M29" s="798">
        <f t="shared" si="13"/>
        <v>14226</v>
      </c>
      <c r="N29" s="778"/>
      <c r="O29" s="798">
        <f t="shared" si="14"/>
        <v>14226</v>
      </c>
    </row>
    <row r="30" spans="1:16" ht="31.5" x14ac:dyDescent="0.25">
      <c r="A30" s="771"/>
      <c r="B30" s="724" t="s">
        <v>565</v>
      </c>
      <c r="C30" s="773"/>
      <c r="D30" s="774"/>
      <c r="E30" s="774">
        <v>-283</v>
      </c>
      <c r="F30" s="775"/>
      <c r="G30" s="774"/>
      <c r="H30" s="797">
        <f t="shared" si="11"/>
        <v>-283</v>
      </c>
      <c r="I30" s="777">
        <v>283</v>
      </c>
      <c r="J30" s="775"/>
      <c r="K30" s="775"/>
      <c r="L30" s="797">
        <f t="shared" si="12"/>
        <v>283</v>
      </c>
      <c r="M30" s="798">
        <f t="shared" si="13"/>
        <v>0</v>
      </c>
      <c r="N30" s="778"/>
      <c r="O30" s="798">
        <f t="shared" si="14"/>
        <v>0</v>
      </c>
    </row>
    <row r="31" spans="1:16" ht="31.5" x14ac:dyDescent="0.25">
      <c r="A31" s="771"/>
      <c r="B31" s="724" t="s">
        <v>961</v>
      </c>
      <c r="C31" s="773"/>
      <c r="D31" s="774"/>
      <c r="E31" s="774">
        <v>2162</v>
      </c>
      <c r="F31" s="775"/>
      <c r="G31" s="774"/>
      <c r="H31" s="797">
        <f t="shared" si="11"/>
        <v>2162</v>
      </c>
      <c r="I31" s="777"/>
      <c r="J31" s="775"/>
      <c r="K31" s="775"/>
      <c r="L31" s="797">
        <f t="shared" si="12"/>
        <v>0</v>
      </c>
      <c r="M31" s="798">
        <f t="shared" si="13"/>
        <v>2162</v>
      </c>
      <c r="N31" s="778"/>
      <c r="O31" s="798">
        <f t="shared" si="14"/>
        <v>2162</v>
      </c>
    </row>
    <row r="32" spans="1:16" x14ac:dyDescent="0.25">
      <c r="A32" s="771"/>
      <c r="B32" s="780" t="s">
        <v>132</v>
      </c>
      <c r="C32" s="773"/>
      <c r="D32" s="774"/>
      <c r="E32" s="774"/>
      <c r="F32" s="775"/>
      <c r="G32" s="774"/>
      <c r="H32" s="784"/>
      <c r="I32" s="777"/>
      <c r="J32" s="775"/>
      <c r="K32" s="775"/>
      <c r="L32" s="797"/>
      <c r="M32" s="798"/>
      <c r="N32" s="778"/>
      <c r="O32" s="798"/>
    </row>
    <row r="33" spans="1:16" ht="63" x14ac:dyDescent="0.25">
      <c r="A33" s="771"/>
      <c r="B33" s="724" t="s">
        <v>1329</v>
      </c>
      <c r="C33" s="773">
        <v>1470</v>
      </c>
      <c r="D33" s="774">
        <v>221</v>
      </c>
      <c r="E33" s="774"/>
      <c r="F33" s="775"/>
      <c r="G33" s="774"/>
      <c r="H33" s="797">
        <f>SUM(C33:G33)</f>
        <v>1691</v>
      </c>
      <c r="I33" s="777"/>
      <c r="J33" s="775"/>
      <c r="K33" s="775"/>
      <c r="L33" s="797">
        <f>SUM(I33:K33)</f>
        <v>0</v>
      </c>
      <c r="M33" s="798">
        <f>SUM(H33+L33)</f>
        <v>1691</v>
      </c>
      <c r="N33" s="778"/>
      <c r="O33" s="798">
        <f>SUM(M33+N33)</f>
        <v>1691</v>
      </c>
    </row>
    <row r="34" spans="1:16" x14ac:dyDescent="0.25">
      <c r="A34" s="795"/>
      <c r="B34" s="772" t="s">
        <v>1330</v>
      </c>
      <c r="C34" s="773">
        <v>512</v>
      </c>
      <c r="D34" s="774">
        <v>77</v>
      </c>
      <c r="E34" s="774"/>
      <c r="F34" s="775"/>
      <c r="G34" s="774"/>
      <c r="H34" s="797">
        <f>SUM(C34:G34)</f>
        <v>589</v>
      </c>
      <c r="I34" s="777"/>
      <c r="J34" s="775"/>
      <c r="K34" s="775"/>
      <c r="L34" s="797">
        <f>SUM(I34:K34)</f>
        <v>0</v>
      </c>
      <c r="M34" s="797">
        <f>SUM(H34+L34)</f>
        <v>589</v>
      </c>
      <c r="N34" s="776"/>
      <c r="O34" s="797">
        <f>SUM(M34+N34)</f>
        <v>589</v>
      </c>
    </row>
    <row r="35" spans="1:16" ht="95.25" thickBot="1" x14ac:dyDescent="0.3">
      <c r="A35" s="935"/>
      <c r="B35" s="936" t="s">
        <v>1332</v>
      </c>
      <c r="C35" s="937"/>
      <c r="D35" s="938"/>
      <c r="E35" s="938">
        <v>50</v>
      </c>
      <c r="F35" s="939"/>
      <c r="G35" s="938"/>
      <c r="H35" s="940">
        <f>SUM(C35:G35)</f>
        <v>50</v>
      </c>
      <c r="I35" s="941"/>
      <c r="J35" s="939"/>
      <c r="K35" s="939"/>
      <c r="L35" s="940">
        <f>SUM(I35:K35)</f>
        <v>0</v>
      </c>
      <c r="M35" s="940">
        <f>SUM(H35+L35)</f>
        <v>50</v>
      </c>
      <c r="N35" s="942"/>
      <c r="O35" s="940">
        <f>SUM(M35+N35)</f>
        <v>50</v>
      </c>
    </row>
    <row r="36" spans="1:16" ht="17.25" thickTop="1" thickBot="1" x14ac:dyDescent="0.3">
      <c r="A36" s="791"/>
      <c r="B36" s="792" t="s">
        <v>379</v>
      </c>
      <c r="C36" s="793">
        <f>+C24+C28+C33+C29+C30+C31+C35+C34</f>
        <v>106550</v>
      </c>
      <c r="D36" s="793">
        <f t="shared" ref="D36:O36" si="15">+D24+D28+D33+D29+D30+D31+D35+D34</f>
        <v>17489</v>
      </c>
      <c r="E36" s="793">
        <f t="shared" si="15"/>
        <v>29872</v>
      </c>
      <c r="F36" s="793">
        <f t="shared" si="15"/>
        <v>0</v>
      </c>
      <c r="G36" s="793">
        <f t="shared" si="15"/>
        <v>0</v>
      </c>
      <c r="H36" s="793">
        <f t="shared" si="15"/>
        <v>153911</v>
      </c>
      <c r="I36" s="793">
        <f t="shared" si="15"/>
        <v>314</v>
      </c>
      <c r="J36" s="793">
        <f t="shared" si="15"/>
        <v>0</v>
      </c>
      <c r="K36" s="793">
        <f t="shared" si="15"/>
        <v>0</v>
      </c>
      <c r="L36" s="793">
        <f t="shared" si="15"/>
        <v>314</v>
      </c>
      <c r="M36" s="793">
        <f t="shared" si="15"/>
        <v>154225</v>
      </c>
      <c r="N36" s="793">
        <f t="shared" si="15"/>
        <v>0</v>
      </c>
      <c r="O36" s="793">
        <f t="shared" si="15"/>
        <v>154225</v>
      </c>
      <c r="P36" s="698">
        <f>O37+O38</f>
        <v>154225</v>
      </c>
    </row>
    <row r="37" spans="1:16" ht="17.25" thickTop="1" thickBot="1" x14ac:dyDescent="0.3">
      <c r="A37" s="791"/>
      <c r="B37" s="792" t="s">
        <v>378</v>
      </c>
      <c r="C37" s="793">
        <f>+C25+C28+C29+C30+C31</f>
        <v>56259</v>
      </c>
      <c r="D37" s="793">
        <f t="shared" ref="D37:O37" si="16">+D25+D28+D29+D30+D31</f>
        <v>8819</v>
      </c>
      <c r="E37" s="793">
        <f t="shared" si="16"/>
        <v>12193</v>
      </c>
      <c r="F37" s="793">
        <f t="shared" si="16"/>
        <v>0</v>
      </c>
      <c r="G37" s="793">
        <f t="shared" si="16"/>
        <v>0</v>
      </c>
      <c r="H37" s="793">
        <f t="shared" si="16"/>
        <v>77271</v>
      </c>
      <c r="I37" s="793">
        <f t="shared" si="16"/>
        <v>314</v>
      </c>
      <c r="J37" s="793">
        <f t="shared" si="16"/>
        <v>0</v>
      </c>
      <c r="K37" s="793">
        <f t="shared" si="16"/>
        <v>0</v>
      </c>
      <c r="L37" s="793">
        <f t="shared" si="16"/>
        <v>314</v>
      </c>
      <c r="M37" s="793">
        <f t="shared" si="16"/>
        <v>77585</v>
      </c>
      <c r="N37" s="793">
        <f t="shared" si="16"/>
        <v>0</v>
      </c>
      <c r="O37" s="793">
        <f t="shared" si="16"/>
        <v>77585</v>
      </c>
      <c r="P37" s="698"/>
    </row>
    <row r="38" spans="1:16" ht="17.25" thickTop="1" thickBot="1" x14ac:dyDescent="0.3">
      <c r="A38" s="791"/>
      <c r="B38" s="792" t="s">
        <v>377</v>
      </c>
      <c r="C38" s="793">
        <f t="shared" ref="C38:O38" si="17">+C26+C33+C35+C34</f>
        <v>50291</v>
      </c>
      <c r="D38" s="793">
        <f t="shared" si="17"/>
        <v>8670</v>
      </c>
      <c r="E38" s="793">
        <f t="shared" si="17"/>
        <v>17679</v>
      </c>
      <c r="F38" s="793">
        <f t="shared" si="17"/>
        <v>0</v>
      </c>
      <c r="G38" s="793">
        <f t="shared" si="17"/>
        <v>0</v>
      </c>
      <c r="H38" s="793">
        <f t="shared" si="17"/>
        <v>76640</v>
      </c>
      <c r="I38" s="793">
        <f t="shared" si="17"/>
        <v>0</v>
      </c>
      <c r="J38" s="793">
        <f t="shared" si="17"/>
        <v>0</v>
      </c>
      <c r="K38" s="793">
        <f t="shared" si="17"/>
        <v>0</v>
      </c>
      <c r="L38" s="793">
        <f t="shared" si="17"/>
        <v>0</v>
      </c>
      <c r="M38" s="793">
        <f t="shared" si="17"/>
        <v>76640</v>
      </c>
      <c r="N38" s="793">
        <f t="shared" si="17"/>
        <v>0</v>
      </c>
      <c r="O38" s="793">
        <f t="shared" si="17"/>
        <v>76640</v>
      </c>
    </row>
    <row r="39" spans="1:16" ht="17.25" thickTop="1" thickBot="1" x14ac:dyDescent="0.3">
      <c r="A39" s="791"/>
      <c r="B39" s="792" t="s">
        <v>408</v>
      </c>
      <c r="C39" s="793">
        <f t="shared" ref="C39:O39" si="18">SUM(C20+C36)</f>
        <v>828637</v>
      </c>
      <c r="D39" s="793">
        <f t="shared" si="18"/>
        <v>144949</v>
      </c>
      <c r="E39" s="793">
        <f t="shared" si="18"/>
        <v>449333</v>
      </c>
      <c r="F39" s="793">
        <f t="shared" si="18"/>
        <v>0</v>
      </c>
      <c r="G39" s="793">
        <f t="shared" si="18"/>
        <v>0</v>
      </c>
      <c r="H39" s="793">
        <f t="shared" si="18"/>
        <v>1422919</v>
      </c>
      <c r="I39" s="793">
        <f t="shared" si="18"/>
        <v>11316</v>
      </c>
      <c r="J39" s="793">
        <f t="shared" si="18"/>
        <v>0</v>
      </c>
      <c r="K39" s="793">
        <f t="shared" si="18"/>
        <v>0</v>
      </c>
      <c r="L39" s="793">
        <f t="shared" si="18"/>
        <v>11316</v>
      </c>
      <c r="M39" s="793">
        <f t="shared" si="18"/>
        <v>1434235</v>
      </c>
      <c r="N39" s="793">
        <f t="shared" si="18"/>
        <v>0</v>
      </c>
      <c r="O39" s="793">
        <f t="shared" si="18"/>
        <v>1434235</v>
      </c>
    </row>
    <row r="40" spans="1:16" ht="16.5" thickTop="1" x14ac:dyDescent="0.25">
      <c r="A40" s="771" t="s">
        <v>146</v>
      </c>
      <c r="B40" s="799" t="s">
        <v>407</v>
      </c>
      <c r="C40" s="800"/>
      <c r="D40" s="801"/>
      <c r="E40" s="774"/>
      <c r="F40" s="774"/>
      <c r="G40" s="801"/>
      <c r="H40" s="776"/>
      <c r="I40" s="802"/>
      <c r="J40" s="803"/>
      <c r="K40" s="803"/>
      <c r="L40" s="776"/>
      <c r="M40" s="804"/>
      <c r="N40" s="804"/>
      <c r="O40" s="804"/>
    </row>
    <row r="41" spans="1:16" x14ac:dyDescent="0.25">
      <c r="A41" s="771"/>
      <c r="B41" s="724" t="s">
        <v>347</v>
      </c>
      <c r="C41" s="800">
        <f>SUM(C42:C43)</f>
        <v>80232</v>
      </c>
      <c r="D41" s="800">
        <f>SUM(D42:D43)</f>
        <v>13162</v>
      </c>
      <c r="E41" s="800">
        <f>SUM(E42:E43)</f>
        <v>16255</v>
      </c>
      <c r="F41" s="801"/>
      <c r="G41" s="774"/>
      <c r="H41" s="776">
        <f>SUM(C41:G41)</f>
        <v>109649</v>
      </c>
      <c r="I41" s="777"/>
      <c r="J41" s="775"/>
      <c r="K41" s="775"/>
      <c r="L41" s="776">
        <f>SUM(I41:K41)</f>
        <v>0</v>
      </c>
      <c r="M41" s="778">
        <f>SUM(H41+L41)</f>
        <v>109649</v>
      </c>
      <c r="N41" s="778"/>
      <c r="O41" s="804">
        <f>SUM(M41+N41)</f>
        <v>109649</v>
      </c>
    </row>
    <row r="42" spans="1:16" s="788" customFormat="1" x14ac:dyDescent="0.25">
      <c r="A42" s="779"/>
      <c r="B42" s="780" t="s">
        <v>381</v>
      </c>
      <c r="C42" s="781">
        <v>79419</v>
      </c>
      <c r="D42" s="782">
        <v>12898</v>
      </c>
      <c r="E42" s="782">
        <v>16255</v>
      </c>
      <c r="F42" s="783"/>
      <c r="G42" s="782"/>
      <c r="H42" s="776">
        <f>SUM(C42:G42)</f>
        <v>108572</v>
      </c>
      <c r="I42" s="777"/>
      <c r="J42" s="775"/>
      <c r="K42" s="775"/>
      <c r="L42" s="776">
        <f>SUM(I42:K42)</f>
        <v>0</v>
      </c>
      <c r="M42" s="778">
        <f>SUM(H42+L42)</f>
        <v>108572</v>
      </c>
      <c r="N42" s="778"/>
      <c r="O42" s="804">
        <f>SUM(M42+N42)</f>
        <v>108572</v>
      </c>
    </row>
    <row r="43" spans="1:16" s="788" customFormat="1" x14ac:dyDescent="0.25">
      <c r="A43" s="779"/>
      <c r="B43" s="780" t="s">
        <v>380</v>
      </c>
      <c r="C43" s="805">
        <v>813</v>
      </c>
      <c r="D43" s="806">
        <v>264</v>
      </c>
      <c r="E43" s="782"/>
      <c r="F43" s="806"/>
      <c r="G43" s="782"/>
      <c r="H43" s="784">
        <f>SUM(C43:G43)</f>
        <v>1077</v>
      </c>
      <c r="I43" s="794"/>
      <c r="J43" s="783"/>
      <c r="K43" s="783"/>
      <c r="L43" s="784">
        <f>SUM(I43:K43)</f>
        <v>0</v>
      </c>
      <c r="M43" s="787">
        <f>SUM(H43+L43)</f>
        <v>1077</v>
      </c>
      <c r="N43" s="787"/>
      <c r="O43" s="807">
        <f>SUM(M43+N43)</f>
        <v>1077</v>
      </c>
    </row>
    <row r="44" spans="1:16" x14ac:dyDescent="0.25">
      <c r="A44" s="771"/>
      <c r="B44" s="780" t="s">
        <v>131</v>
      </c>
      <c r="C44" s="800"/>
      <c r="D44" s="801"/>
      <c r="E44" s="774"/>
      <c r="F44" s="801"/>
      <c r="G44" s="774"/>
      <c r="H44" s="784"/>
      <c r="I44" s="777"/>
      <c r="J44" s="775"/>
      <c r="K44" s="775"/>
      <c r="L44" s="784"/>
      <c r="M44" s="787"/>
      <c r="N44" s="778"/>
      <c r="O44" s="807"/>
    </row>
    <row r="45" spans="1:16" ht="31.5" x14ac:dyDescent="0.25">
      <c r="A45" s="771"/>
      <c r="B45" s="724" t="s">
        <v>1325</v>
      </c>
      <c r="C45" s="800">
        <v>53</v>
      </c>
      <c r="D45" s="801">
        <v>8</v>
      </c>
      <c r="E45" s="774"/>
      <c r="F45" s="801"/>
      <c r="G45" s="774"/>
      <c r="H45" s="797">
        <f t="shared" ref="H45:H50" si="19">SUM(C45:G45)</f>
        <v>61</v>
      </c>
      <c r="I45" s="777"/>
      <c r="J45" s="775"/>
      <c r="K45" s="775"/>
      <c r="L45" s="797">
        <f t="shared" ref="L45:L50" si="20">SUM(I45:K45)</f>
        <v>0</v>
      </c>
      <c r="M45" s="798">
        <f t="shared" ref="M45:M50" si="21">SUM(H45+L45)</f>
        <v>61</v>
      </c>
      <c r="N45" s="778"/>
      <c r="O45" s="808">
        <f t="shared" ref="O45:O50" si="22">SUM(M45+N45)</f>
        <v>61</v>
      </c>
    </row>
    <row r="46" spans="1:16" ht="31.5" x14ac:dyDescent="0.25">
      <c r="A46" s="771"/>
      <c r="B46" s="724" t="s">
        <v>1331</v>
      </c>
      <c r="C46" s="800">
        <v>800</v>
      </c>
      <c r="D46" s="801">
        <v>129</v>
      </c>
      <c r="E46" s="774"/>
      <c r="F46" s="801"/>
      <c r="G46" s="774"/>
      <c r="H46" s="797">
        <f t="shared" si="19"/>
        <v>929</v>
      </c>
      <c r="I46" s="777"/>
      <c r="J46" s="775"/>
      <c r="K46" s="775"/>
      <c r="L46" s="797">
        <f t="shared" si="20"/>
        <v>0</v>
      </c>
      <c r="M46" s="798">
        <f t="shared" si="21"/>
        <v>929</v>
      </c>
      <c r="N46" s="778"/>
      <c r="O46" s="808">
        <f t="shared" si="22"/>
        <v>929</v>
      </c>
    </row>
    <row r="47" spans="1:16" ht="31.5" x14ac:dyDescent="0.25">
      <c r="A47" s="771"/>
      <c r="B47" s="724" t="s">
        <v>565</v>
      </c>
      <c r="C47" s="800">
        <v>-495</v>
      </c>
      <c r="D47" s="801">
        <v>-78</v>
      </c>
      <c r="E47" s="774">
        <v>573</v>
      </c>
      <c r="F47" s="801"/>
      <c r="G47" s="774"/>
      <c r="H47" s="797">
        <f t="shared" si="19"/>
        <v>0</v>
      </c>
      <c r="I47" s="777"/>
      <c r="J47" s="775"/>
      <c r="K47" s="775"/>
      <c r="L47" s="797">
        <f t="shared" si="20"/>
        <v>0</v>
      </c>
      <c r="M47" s="798">
        <f t="shared" si="21"/>
        <v>0</v>
      </c>
      <c r="N47" s="778"/>
      <c r="O47" s="808">
        <f t="shared" si="22"/>
        <v>0</v>
      </c>
    </row>
    <row r="48" spans="1:16" ht="63" x14ac:dyDescent="0.25">
      <c r="A48" s="771"/>
      <c r="B48" s="724" t="s">
        <v>1333</v>
      </c>
      <c r="C48" s="800">
        <v>592</v>
      </c>
      <c r="D48" s="801">
        <v>92</v>
      </c>
      <c r="E48" s="774"/>
      <c r="F48" s="801"/>
      <c r="G48" s="774"/>
      <c r="H48" s="797">
        <f t="shared" si="19"/>
        <v>684</v>
      </c>
      <c r="I48" s="777"/>
      <c r="J48" s="775"/>
      <c r="K48" s="775"/>
      <c r="L48" s="797">
        <f t="shared" si="20"/>
        <v>0</v>
      </c>
      <c r="M48" s="798">
        <f t="shared" si="21"/>
        <v>684</v>
      </c>
      <c r="N48" s="778"/>
      <c r="O48" s="808">
        <f t="shared" si="22"/>
        <v>684</v>
      </c>
    </row>
    <row r="49" spans="1:16" ht="31.5" x14ac:dyDescent="0.25">
      <c r="A49" s="771"/>
      <c r="B49" s="724" t="s">
        <v>1327</v>
      </c>
      <c r="C49" s="800">
        <v>-1327</v>
      </c>
      <c r="D49" s="801">
        <v>-229</v>
      </c>
      <c r="E49" s="774"/>
      <c r="F49" s="801"/>
      <c r="G49" s="774"/>
      <c r="H49" s="797">
        <f t="shared" si="19"/>
        <v>-1556</v>
      </c>
      <c r="I49" s="777"/>
      <c r="J49" s="775"/>
      <c r="K49" s="775"/>
      <c r="L49" s="797">
        <f t="shared" si="20"/>
        <v>0</v>
      </c>
      <c r="M49" s="798">
        <f t="shared" si="21"/>
        <v>-1556</v>
      </c>
      <c r="N49" s="778"/>
      <c r="O49" s="808">
        <f t="shared" si="22"/>
        <v>-1556</v>
      </c>
    </row>
    <row r="50" spans="1:16" ht="31.5" x14ac:dyDescent="0.25">
      <c r="A50" s="771"/>
      <c r="B50" s="724" t="s">
        <v>961</v>
      </c>
      <c r="C50" s="800"/>
      <c r="D50" s="801"/>
      <c r="E50" s="774">
        <v>236</v>
      </c>
      <c r="F50" s="801"/>
      <c r="G50" s="774"/>
      <c r="H50" s="797">
        <f t="shared" si="19"/>
        <v>236</v>
      </c>
      <c r="I50" s="777"/>
      <c r="J50" s="775"/>
      <c r="K50" s="775"/>
      <c r="L50" s="797">
        <f t="shared" si="20"/>
        <v>0</v>
      </c>
      <c r="M50" s="798">
        <f t="shared" si="21"/>
        <v>236</v>
      </c>
      <c r="N50" s="778"/>
      <c r="O50" s="808">
        <f t="shared" si="22"/>
        <v>236</v>
      </c>
    </row>
    <row r="51" spans="1:16" x14ac:dyDescent="0.25">
      <c r="A51" s="795"/>
      <c r="B51" s="772" t="s">
        <v>132</v>
      </c>
      <c r="C51" s="773"/>
      <c r="D51" s="774"/>
      <c r="E51" s="774"/>
      <c r="F51" s="774"/>
      <c r="G51" s="774"/>
      <c r="H51" s="797"/>
      <c r="I51" s="777"/>
      <c r="J51" s="775"/>
      <c r="K51" s="775"/>
      <c r="L51" s="797"/>
      <c r="M51" s="797"/>
      <c r="N51" s="776"/>
      <c r="O51" s="797"/>
    </row>
    <row r="52" spans="1:16" x14ac:dyDescent="0.25">
      <c r="A52" s="771"/>
      <c r="B52" s="724" t="s">
        <v>1330</v>
      </c>
      <c r="C52" s="800">
        <v>468</v>
      </c>
      <c r="D52" s="801">
        <v>70</v>
      </c>
      <c r="E52" s="774"/>
      <c r="F52" s="801"/>
      <c r="G52" s="774"/>
      <c r="H52" s="797">
        <f>SUM(C52:G52)</f>
        <v>538</v>
      </c>
      <c r="I52" s="777"/>
      <c r="J52" s="775"/>
      <c r="K52" s="775"/>
      <c r="L52" s="797">
        <f>SUM(I52:K52)</f>
        <v>0</v>
      </c>
      <c r="M52" s="798">
        <f>SUM(H52+L52)</f>
        <v>538</v>
      </c>
      <c r="N52" s="778"/>
      <c r="O52" s="808">
        <f>SUM(M52+N52)</f>
        <v>538</v>
      </c>
    </row>
    <row r="53" spans="1:16" ht="94.5" x14ac:dyDescent="0.25">
      <c r="A53" s="771"/>
      <c r="B53" s="724" t="s">
        <v>1332</v>
      </c>
      <c r="C53" s="800"/>
      <c r="D53" s="801"/>
      <c r="E53" s="774">
        <v>20</v>
      </c>
      <c r="F53" s="801"/>
      <c r="G53" s="774"/>
      <c r="H53" s="797">
        <f>SUM(C53:G53)</f>
        <v>20</v>
      </c>
      <c r="I53" s="777"/>
      <c r="J53" s="775"/>
      <c r="K53" s="775"/>
      <c r="L53" s="797">
        <f>SUM(I53:K53)</f>
        <v>0</v>
      </c>
      <c r="M53" s="798">
        <f>SUM(H53+L53)</f>
        <v>20</v>
      </c>
      <c r="N53" s="778"/>
      <c r="O53" s="808">
        <f>SUM(M53+N53)</f>
        <v>20</v>
      </c>
    </row>
    <row r="54" spans="1:16" ht="94.5" x14ac:dyDescent="0.25">
      <c r="A54" s="771"/>
      <c r="B54" s="724" t="s">
        <v>1334</v>
      </c>
      <c r="C54" s="800"/>
      <c r="D54" s="801"/>
      <c r="E54" s="774">
        <v>15</v>
      </c>
      <c r="F54" s="801"/>
      <c r="G54" s="774"/>
      <c r="H54" s="797">
        <f>SUM(C54:G54)</f>
        <v>15</v>
      </c>
      <c r="I54" s="777"/>
      <c r="J54" s="775"/>
      <c r="K54" s="775"/>
      <c r="L54" s="797">
        <f>SUM(I54:K54)</f>
        <v>0</v>
      </c>
      <c r="M54" s="798">
        <f>SUM(H54+L54)</f>
        <v>15</v>
      </c>
      <c r="N54" s="778"/>
      <c r="O54" s="808">
        <f>SUM(M54+N54)</f>
        <v>15</v>
      </c>
    </row>
    <row r="55" spans="1:16" ht="63" x14ac:dyDescent="0.25">
      <c r="A55" s="943"/>
      <c r="B55" s="944" t="s">
        <v>1335</v>
      </c>
      <c r="C55" s="945">
        <v>296</v>
      </c>
      <c r="D55" s="945">
        <v>46</v>
      </c>
      <c r="E55" s="945"/>
      <c r="F55" s="945"/>
      <c r="G55" s="945"/>
      <c r="H55" s="946">
        <f>SUM(C55:G55)</f>
        <v>342</v>
      </c>
      <c r="I55" s="945"/>
      <c r="J55" s="945"/>
      <c r="K55" s="945"/>
      <c r="L55" s="946">
        <f>SUM(I55:K55)</f>
        <v>0</v>
      </c>
      <c r="M55" s="946">
        <f>SUM(H55+L55)</f>
        <v>342</v>
      </c>
      <c r="N55" s="945"/>
      <c r="O55" s="947">
        <f>SUM(M55+N55)</f>
        <v>342</v>
      </c>
    </row>
    <row r="56" spans="1:16" ht="95.25" thickBot="1" x14ac:dyDescent="0.3">
      <c r="A56" s="948"/>
      <c r="B56" s="949" t="s">
        <v>1336</v>
      </c>
      <c r="C56" s="950">
        <v>743</v>
      </c>
      <c r="D56" s="950">
        <v>112</v>
      </c>
      <c r="E56" s="950"/>
      <c r="F56" s="950"/>
      <c r="G56" s="950"/>
      <c r="H56" s="951">
        <f>SUM(C56:G56)</f>
        <v>855</v>
      </c>
      <c r="I56" s="950"/>
      <c r="J56" s="950"/>
      <c r="K56" s="950"/>
      <c r="L56" s="951">
        <f>SUM(I56:K56)</f>
        <v>0</v>
      </c>
      <c r="M56" s="951">
        <f>SUM(H56+L56)</f>
        <v>855</v>
      </c>
      <c r="N56" s="950"/>
      <c r="O56" s="952">
        <f>SUM(M56+N56)</f>
        <v>855</v>
      </c>
    </row>
    <row r="57" spans="1:16" ht="17.25" thickTop="1" thickBot="1" x14ac:dyDescent="0.3">
      <c r="A57" s="791"/>
      <c r="B57" s="792" t="s">
        <v>379</v>
      </c>
      <c r="C57" s="793">
        <f>+C41+C45+C52+C46+C47+C48+C49+C50+C53+C55+C54+C56</f>
        <v>81362</v>
      </c>
      <c r="D57" s="793">
        <f t="shared" ref="D57:O57" si="23">+D41+D45+D52+D46+D47+D48+D49+D50+D53+D55+D54+D56</f>
        <v>13312</v>
      </c>
      <c r="E57" s="793">
        <f t="shared" si="23"/>
        <v>17099</v>
      </c>
      <c r="F57" s="793">
        <f t="shared" si="23"/>
        <v>0</v>
      </c>
      <c r="G57" s="793">
        <f t="shared" si="23"/>
        <v>0</v>
      </c>
      <c r="H57" s="793">
        <f t="shared" si="23"/>
        <v>111773</v>
      </c>
      <c r="I57" s="793">
        <f t="shared" si="23"/>
        <v>0</v>
      </c>
      <c r="J57" s="793">
        <f t="shared" si="23"/>
        <v>0</v>
      </c>
      <c r="K57" s="793">
        <f t="shared" si="23"/>
        <v>0</v>
      </c>
      <c r="L57" s="793">
        <f t="shared" si="23"/>
        <v>0</v>
      </c>
      <c r="M57" s="793">
        <f t="shared" si="23"/>
        <v>111773</v>
      </c>
      <c r="N57" s="793">
        <f t="shared" si="23"/>
        <v>0</v>
      </c>
      <c r="O57" s="793">
        <f t="shared" si="23"/>
        <v>111773</v>
      </c>
      <c r="P57" s="698">
        <f>O58+O59</f>
        <v>111773</v>
      </c>
    </row>
    <row r="58" spans="1:16" ht="17.25" thickTop="1" thickBot="1" x14ac:dyDescent="0.3">
      <c r="A58" s="791"/>
      <c r="B58" s="792" t="s">
        <v>378</v>
      </c>
      <c r="C58" s="793">
        <f>+C42+C45+C46+C47+C48+C49+C50</f>
        <v>79042</v>
      </c>
      <c r="D58" s="793">
        <f t="shared" ref="D58:O58" si="24">+D42+D45+D46+D47+D48+D49+D50</f>
        <v>12820</v>
      </c>
      <c r="E58" s="793">
        <f t="shared" si="24"/>
        <v>17064</v>
      </c>
      <c r="F58" s="793">
        <f t="shared" si="24"/>
        <v>0</v>
      </c>
      <c r="G58" s="793">
        <f t="shared" si="24"/>
        <v>0</v>
      </c>
      <c r="H58" s="793">
        <f t="shared" si="24"/>
        <v>108926</v>
      </c>
      <c r="I58" s="793">
        <f t="shared" si="24"/>
        <v>0</v>
      </c>
      <c r="J58" s="793">
        <f t="shared" si="24"/>
        <v>0</v>
      </c>
      <c r="K58" s="793">
        <f t="shared" si="24"/>
        <v>0</v>
      </c>
      <c r="L58" s="793">
        <f t="shared" si="24"/>
        <v>0</v>
      </c>
      <c r="M58" s="793">
        <f t="shared" si="24"/>
        <v>108926</v>
      </c>
      <c r="N58" s="793">
        <f t="shared" si="24"/>
        <v>0</v>
      </c>
      <c r="O58" s="793">
        <f t="shared" si="24"/>
        <v>108926</v>
      </c>
    </row>
    <row r="59" spans="1:16" ht="17.25" thickTop="1" thickBot="1" x14ac:dyDescent="0.3">
      <c r="A59" s="791"/>
      <c r="B59" s="792" t="s">
        <v>377</v>
      </c>
      <c r="C59" s="793">
        <f t="shared" ref="C59:O59" si="25">+C43+C52+C53+C55+C54+C56</f>
        <v>2320</v>
      </c>
      <c r="D59" s="793">
        <f t="shared" si="25"/>
        <v>492</v>
      </c>
      <c r="E59" s="793">
        <f t="shared" si="25"/>
        <v>35</v>
      </c>
      <c r="F59" s="793">
        <f t="shared" si="25"/>
        <v>0</v>
      </c>
      <c r="G59" s="793">
        <f t="shared" si="25"/>
        <v>0</v>
      </c>
      <c r="H59" s="793">
        <f t="shared" si="25"/>
        <v>2847</v>
      </c>
      <c r="I59" s="793">
        <f t="shared" si="25"/>
        <v>0</v>
      </c>
      <c r="J59" s="793">
        <f t="shared" si="25"/>
        <v>0</v>
      </c>
      <c r="K59" s="793">
        <f t="shared" si="25"/>
        <v>0</v>
      </c>
      <c r="L59" s="793">
        <f t="shared" si="25"/>
        <v>0</v>
      </c>
      <c r="M59" s="793">
        <f t="shared" si="25"/>
        <v>2847</v>
      </c>
      <c r="N59" s="793">
        <f t="shared" si="25"/>
        <v>0</v>
      </c>
      <c r="O59" s="793">
        <f t="shared" si="25"/>
        <v>2847</v>
      </c>
    </row>
    <row r="60" spans="1:16" ht="16.5" thickTop="1" x14ac:dyDescent="0.25">
      <c r="A60" s="771" t="s">
        <v>147</v>
      </c>
      <c r="B60" s="772" t="s">
        <v>795</v>
      </c>
      <c r="C60" s="773"/>
      <c r="D60" s="774"/>
      <c r="E60" s="774"/>
      <c r="F60" s="790"/>
      <c r="G60" s="774"/>
      <c r="H60" s="776"/>
      <c r="I60" s="777"/>
      <c r="J60" s="775"/>
      <c r="K60" s="775"/>
      <c r="L60" s="776"/>
      <c r="M60" s="776"/>
      <c r="N60" s="776"/>
      <c r="O60" s="776"/>
    </row>
    <row r="61" spans="1:16" x14ac:dyDescent="0.25">
      <c r="A61" s="771"/>
      <c r="B61" s="724" t="s">
        <v>347</v>
      </c>
      <c r="C61" s="773">
        <f>SUM(C62:C63)</f>
        <v>87927</v>
      </c>
      <c r="D61" s="773">
        <f>SUM(D62:D63)</f>
        <v>14516</v>
      </c>
      <c r="E61" s="773">
        <f>SUM(E62:E63)</f>
        <v>12570</v>
      </c>
      <c r="F61" s="775"/>
      <c r="G61" s="774"/>
      <c r="H61" s="776">
        <f>SUM(C61:G61)</f>
        <v>115013</v>
      </c>
      <c r="I61" s="789"/>
      <c r="J61" s="790"/>
      <c r="K61" s="790"/>
      <c r="L61" s="776">
        <f>SUM(I61:K61)</f>
        <v>0</v>
      </c>
      <c r="M61" s="778">
        <f>SUM(H61+L61)</f>
        <v>115013</v>
      </c>
      <c r="N61" s="778"/>
      <c r="O61" s="778">
        <f>SUM(M61+N61)</f>
        <v>115013</v>
      </c>
    </row>
    <row r="62" spans="1:16" s="788" customFormat="1" x14ac:dyDescent="0.25">
      <c r="A62" s="779"/>
      <c r="B62" s="780" t="s">
        <v>381</v>
      </c>
      <c r="C62" s="781">
        <v>87071</v>
      </c>
      <c r="D62" s="782">
        <v>14238</v>
      </c>
      <c r="E62" s="782">
        <v>12570</v>
      </c>
      <c r="F62" s="783"/>
      <c r="G62" s="782"/>
      <c r="H62" s="784">
        <f>SUM(C62:G62)</f>
        <v>113879</v>
      </c>
      <c r="I62" s="785"/>
      <c r="J62" s="786"/>
      <c r="K62" s="786"/>
      <c r="L62" s="784">
        <f>SUM(I62:K62)</f>
        <v>0</v>
      </c>
      <c r="M62" s="787">
        <f>SUM(H62+L62)</f>
        <v>113879</v>
      </c>
      <c r="N62" s="787"/>
      <c r="O62" s="787">
        <f>SUM(M62+N62)</f>
        <v>113879</v>
      </c>
    </row>
    <row r="63" spans="1:16" s="788" customFormat="1" x14ac:dyDescent="0.25">
      <c r="A63" s="779"/>
      <c r="B63" s="780" t="s">
        <v>380</v>
      </c>
      <c r="C63" s="781">
        <v>856</v>
      </c>
      <c r="D63" s="782">
        <v>278</v>
      </c>
      <c r="E63" s="782"/>
      <c r="F63" s="783"/>
      <c r="G63" s="782"/>
      <c r="H63" s="784">
        <f>SUM(C63:G63)</f>
        <v>1134</v>
      </c>
      <c r="I63" s="785"/>
      <c r="J63" s="786"/>
      <c r="K63" s="786"/>
      <c r="L63" s="784">
        <f>SUM(I63:K63)</f>
        <v>0</v>
      </c>
      <c r="M63" s="787">
        <f>SUM(H63+L63)</f>
        <v>1134</v>
      </c>
      <c r="N63" s="787"/>
      <c r="O63" s="787">
        <f>SUM(M63+N63)</f>
        <v>1134</v>
      </c>
    </row>
    <row r="64" spans="1:16" x14ac:dyDescent="0.25">
      <c r="A64" s="809"/>
      <c r="B64" s="780" t="s">
        <v>131</v>
      </c>
      <c r="C64" s="810"/>
      <c r="D64" s="811"/>
      <c r="E64" s="811"/>
      <c r="F64" s="812"/>
      <c r="G64" s="811"/>
      <c r="H64" s="784"/>
      <c r="I64" s="813"/>
      <c r="J64" s="814"/>
      <c r="K64" s="814"/>
      <c r="L64" s="784"/>
      <c r="M64" s="787"/>
      <c r="N64" s="798"/>
      <c r="O64" s="787"/>
    </row>
    <row r="65" spans="1:16" ht="31.5" x14ac:dyDescent="0.25">
      <c r="A65" s="809"/>
      <c r="B65" s="724" t="s">
        <v>1325</v>
      </c>
      <c r="C65" s="810">
        <v>142</v>
      </c>
      <c r="D65" s="811">
        <v>23</v>
      </c>
      <c r="E65" s="811"/>
      <c r="F65" s="812"/>
      <c r="G65" s="811"/>
      <c r="H65" s="797">
        <f t="shared" ref="H65:H71" si="26">SUM(C65:G65)</f>
        <v>165</v>
      </c>
      <c r="I65" s="813"/>
      <c r="J65" s="814"/>
      <c r="K65" s="814"/>
      <c r="L65" s="797">
        <f t="shared" ref="L65:L71" si="27">SUM(I65:K65)</f>
        <v>0</v>
      </c>
      <c r="M65" s="798">
        <f t="shared" ref="M65:M71" si="28">SUM(H65+L65)</f>
        <v>165</v>
      </c>
      <c r="N65" s="798"/>
      <c r="O65" s="798">
        <f t="shared" ref="O65:O71" si="29">SUM(M65+N65)</f>
        <v>165</v>
      </c>
    </row>
    <row r="66" spans="1:16" ht="31.5" x14ac:dyDescent="0.25">
      <c r="A66" s="809"/>
      <c r="B66" s="724" t="s">
        <v>1331</v>
      </c>
      <c r="C66" s="810">
        <v>958</v>
      </c>
      <c r="D66" s="811">
        <v>154</v>
      </c>
      <c r="E66" s="811"/>
      <c r="F66" s="812"/>
      <c r="G66" s="811"/>
      <c r="H66" s="797">
        <f t="shared" si="26"/>
        <v>1112</v>
      </c>
      <c r="I66" s="813"/>
      <c r="J66" s="814"/>
      <c r="K66" s="814"/>
      <c r="L66" s="797">
        <f t="shared" si="27"/>
        <v>0</v>
      </c>
      <c r="M66" s="798">
        <f t="shared" si="28"/>
        <v>1112</v>
      </c>
      <c r="N66" s="798"/>
      <c r="O66" s="798">
        <f t="shared" si="29"/>
        <v>1112</v>
      </c>
    </row>
    <row r="67" spans="1:16" ht="63" x14ac:dyDescent="0.25">
      <c r="A67" s="809"/>
      <c r="B67" s="724" t="s">
        <v>1326</v>
      </c>
      <c r="C67" s="810">
        <v>2115</v>
      </c>
      <c r="D67" s="811">
        <v>339</v>
      </c>
      <c r="E67" s="811"/>
      <c r="F67" s="812"/>
      <c r="G67" s="811"/>
      <c r="H67" s="797">
        <f t="shared" si="26"/>
        <v>2454</v>
      </c>
      <c r="I67" s="813"/>
      <c r="J67" s="814"/>
      <c r="K67" s="814"/>
      <c r="L67" s="797">
        <f t="shared" si="27"/>
        <v>0</v>
      </c>
      <c r="M67" s="798">
        <f t="shared" si="28"/>
        <v>2454</v>
      </c>
      <c r="N67" s="798"/>
      <c r="O67" s="798">
        <f t="shared" si="29"/>
        <v>2454</v>
      </c>
    </row>
    <row r="68" spans="1:16" ht="31.5" x14ac:dyDescent="0.25">
      <c r="A68" s="809"/>
      <c r="B68" s="724" t="s">
        <v>565</v>
      </c>
      <c r="C68" s="810">
        <v>-550</v>
      </c>
      <c r="D68" s="811">
        <v>-87</v>
      </c>
      <c r="E68" s="811">
        <v>70</v>
      </c>
      <c r="F68" s="812"/>
      <c r="G68" s="811"/>
      <c r="H68" s="797">
        <f t="shared" si="26"/>
        <v>-567</v>
      </c>
      <c r="I68" s="813">
        <v>567</v>
      </c>
      <c r="J68" s="814"/>
      <c r="K68" s="814"/>
      <c r="L68" s="797">
        <f t="shared" si="27"/>
        <v>567</v>
      </c>
      <c r="M68" s="798">
        <f t="shared" si="28"/>
        <v>0</v>
      </c>
      <c r="N68" s="798"/>
      <c r="O68" s="798">
        <f t="shared" si="29"/>
        <v>0</v>
      </c>
    </row>
    <row r="69" spans="1:16" ht="63" x14ac:dyDescent="0.25">
      <c r="A69" s="809"/>
      <c r="B69" s="724" t="s">
        <v>1333</v>
      </c>
      <c r="C69" s="810">
        <v>420</v>
      </c>
      <c r="D69" s="811">
        <v>65</v>
      </c>
      <c r="E69" s="811"/>
      <c r="F69" s="812"/>
      <c r="G69" s="811"/>
      <c r="H69" s="797">
        <f t="shared" si="26"/>
        <v>485</v>
      </c>
      <c r="I69" s="813"/>
      <c r="J69" s="814"/>
      <c r="K69" s="814"/>
      <c r="L69" s="797">
        <f t="shared" si="27"/>
        <v>0</v>
      </c>
      <c r="M69" s="798">
        <f t="shared" si="28"/>
        <v>485</v>
      </c>
      <c r="N69" s="798"/>
      <c r="O69" s="798">
        <f t="shared" si="29"/>
        <v>485</v>
      </c>
    </row>
    <row r="70" spans="1:16" ht="31.5" x14ac:dyDescent="0.25">
      <c r="A70" s="809"/>
      <c r="B70" s="724" t="s">
        <v>1327</v>
      </c>
      <c r="C70" s="810">
        <v>-830</v>
      </c>
      <c r="D70" s="811">
        <v>-129</v>
      </c>
      <c r="E70" s="811"/>
      <c r="F70" s="812"/>
      <c r="G70" s="811"/>
      <c r="H70" s="797">
        <f t="shared" si="26"/>
        <v>-959</v>
      </c>
      <c r="I70" s="813"/>
      <c r="J70" s="814"/>
      <c r="K70" s="814"/>
      <c r="L70" s="797">
        <f t="shared" si="27"/>
        <v>0</v>
      </c>
      <c r="M70" s="798">
        <f t="shared" si="28"/>
        <v>-959</v>
      </c>
      <c r="N70" s="798"/>
      <c r="O70" s="798">
        <f t="shared" si="29"/>
        <v>-959</v>
      </c>
    </row>
    <row r="71" spans="1:16" ht="31.5" x14ac:dyDescent="0.25">
      <c r="A71" s="809"/>
      <c r="B71" s="724" t="s">
        <v>961</v>
      </c>
      <c r="C71" s="810"/>
      <c r="D71" s="811"/>
      <c r="E71" s="811">
        <v>100</v>
      </c>
      <c r="F71" s="812"/>
      <c r="G71" s="811"/>
      <c r="H71" s="797">
        <f t="shared" si="26"/>
        <v>100</v>
      </c>
      <c r="I71" s="813"/>
      <c r="J71" s="814"/>
      <c r="K71" s="814"/>
      <c r="L71" s="797">
        <f t="shared" si="27"/>
        <v>0</v>
      </c>
      <c r="M71" s="798">
        <f t="shared" si="28"/>
        <v>100</v>
      </c>
      <c r="N71" s="798"/>
      <c r="O71" s="798">
        <f t="shared" si="29"/>
        <v>100</v>
      </c>
    </row>
    <row r="72" spans="1:16" x14ac:dyDescent="0.25">
      <c r="A72" s="809"/>
      <c r="B72" s="780" t="s">
        <v>132</v>
      </c>
      <c r="C72" s="810"/>
      <c r="D72" s="811"/>
      <c r="E72" s="811"/>
      <c r="F72" s="812"/>
      <c r="G72" s="811"/>
      <c r="H72" s="784"/>
      <c r="I72" s="813"/>
      <c r="J72" s="814"/>
      <c r="K72" s="814"/>
      <c r="L72" s="784"/>
      <c r="M72" s="787"/>
      <c r="N72" s="798"/>
      <c r="O72" s="787"/>
    </row>
    <row r="73" spans="1:16" x14ac:dyDescent="0.25">
      <c r="A73" s="809"/>
      <c r="B73" s="724" t="s">
        <v>1330</v>
      </c>
      <c r="C73" s="810">
        <v>479</v>
      </c>
      <c r="D73" s="811">
        <v>72</v>
      </c>
      <c r="E73" s="811"/>
      <c r="F73" s="812"/>
      <c r="G73" s="811"/>
      <c r="H73" s="797">
        <f>SUM(C73:G73)</f>
        <v>551</v>
      </c>
      <c r="I73" s="813"/>
      <c r="J73" s="814"/>
      <c r="K73" s="814"/>
      <c r="L73" s="797">
        <f>SUM(I73:K73)</f>
        <v>0</v>
      </c>
      <c r="M73" s="798">
        <f>SUM(H73+L73)</f>
        <v>551</v>
      </c>
      <c r="N73" s="798"/>
      <c r="O73" s="798">
        <f>SUM(M73+N73)</f>
        <v>551</v>
      </c>
    </row>
    <row r="74" spans="1:16" ht="94.5" x14ac:dyDescent="0.25">
      <c r="A74" s="809"/>
      <c r="B74" s="724" t="s">
        <v>1332</v>
      </c>
      <c r="C74" s="810"/>
      <c r="D74" s="811"/>
      <c r="E74" s="811">
        <v>20</v>
      </c>
      <c r="F74" s="812"/>
      <c r="G74" s="811"/>
      <c r="H74" s="797">
        <f>SUM(C74:G74)</f>
        <v>20</v>
      </c>
      <c r="I74" s="813"/>
      <c r="J74" s="814"/>
      <c r="K74" s="814"/>
      <c r="L74" s="797">
        <f>SUM(I74:K74)</f>
        <v>0</v>
      </c>
      <c r="M74" s="798">
        <f>SUM(H74+L74)</f>
        <v>20</v>
      </c>
      <c r="N74" s="798"/>
      <c r="O74" s="798">
        <f>SUM(M74+N74)</f>
        <v>20</v>
      </c>
    </row>
    <row r="75" spans="1:16" ht="63" x14ac:dyDescent="0.25">
      <c r="A75" s="809"/>
      <c r="B75" s="724" t="s">
        <v>1335</v>
      </c>
      <c r="C75" s="810">
        <v>210</v>
      </c>
      <c r="D75" s="811">
        <v>33</v>
      </c>
      <c r="E75" s="811"/>
      <c r="F75" s="812"/>
      <c r="G75" s="811"/>
      <c r="H75" s="797">
        <f>SUM(C75:G75)</f>
        <v>243</v>
      </c>
      <c r="I75" s="813"/>
      <c r="J75" s="814"/>
      <c r="K75" s="814"/>
      <c r="L75" s="797">
        <f>SUM(I75:K75)</f>
        <v>0</v>
      </c>
      <c r="M75" s="798">
        <f>SUM(H75+L75)</f>
        <v>243</v>
      </c>
      <c r="N75" s="798"/>
      <c r="O75" s="798">
        <f>SUM(M75+N75)</f>
        <v>243</v>
      </c>
    </row>
    <row r="76" spans="1:16" ht="95.25" thickBot="1" x14ac:dyDescent="0.3">
      <c r="A76" s="809"/>
      <c r="B76" s="724" t="s">
        <v>1336</v>
      </c>
      <c r="C76" s="810">
        <v>743</v>
      </c>
      <c r="D76" s="811">
        <v>112</v>
      </c>
      <c r="E76" s="811"/>
      <c r="F76" s="812"/>
      <c r="G76" s="811"/>
      <c r="H76" s="797">
        <f>SUM(C76:G76)</f>
        <v>855</v>
      </c>
      <c r="I76" s="813"/>
      <c r="J76" s="814"/>
      <c r="K76" s="814"/>
      <c r="L76" s="797">
        <f>SUM(I76:K76)</f>
        <v>0</v>
      </c>
      <c r="M76" s="798">
        <f>SUM(H76+L76)</f>
        <v>855</v>
      </c>
      <c r="N76" s="798"/>
      <c r="O76" s="798">
        <f>SUM(M76+N76)</f>
        <v>855</v>
      </c>
    </row>
    <row r="77" spans="1:16" ht="17.25" thickTop="1" thickBot="1" x14ac:dyDescent="0.3">
      <c r="A77" s="791"/>
      <c r="B77" s="792" t="s">
        <v>379</v>
      </c>
      <c r="C77" s="793">
        <f>+C61+C65+C73+C66+C67+C68+C69+C70+C71+C74+C75+C76</f>
        <v>91614</v>
      </c>
      <c r="D77" s="793">
        <f t="shared" ref="D77:O77" si="30">+D61+D65+D73+D66+D67+D68+D69+D70+D71+D74+D75+D76</f>
        <v>15098</v>
      </c>
      <c r="E77" s="793">
        <f t="shared" si="30"/>
        <v>12760</v>
      </c>
      <c r="F77" s="793">
        <f t="shared" si="30"/>
        <v>0</v>
      </c>
      <c r="G77" s="793">
        <f t="shared" si="30"/>
        <v>0</v>
      </c>
      <c r="H77" s="793">
        <f t="shared" si="30"/>
        <v>119472</v>
      </c>
      <c r="I77" s="793">
        <f t="shared" si="30"/>
        <v>567</v>
      </c>
      <c r="J77" s="793">
        <f t="shared" si="30"/>
        <v>0</v>
      </c>
      <c r="K77" s="793">
        <f t="shared" si="30"/>
        <v>0</v>
      </c>
      <c r="L77" s="793">
        <f t="shared" si="30"/>
        <v>567</v>
      </c>
      <c r="M77" s="793">
        <f t="shared" si="30"/>
        <v>120039</v>
      </c>
      <c r="N77" s="793">
        <f t="shared" si="30"/>
        <v>0</v>
      </c>
      <c r="O77" s="793">
        <f t="shared" si="30"/>
        <v>120039</v>
      </c>
      <c r="P77" s="698">
        <f>O78+O79</f>
        <v>120039</v>
      </c>
    </row>
    <row r="78" spans="1:16" ht="17.25" thickTop="1" thickBot="1" x14ac:dyDescent="0.3">
      <c r="A78" s="791"/>
      <c r="B78" s="792" t="s">
        <v>378</v>
      </c>
      <c r="C78" s="793">
        <f>+C62+C65+C66+C67+C68+C69+C70+C71</f>
        <v>89326</v>
      </c>
      <c r="D78" s="793">
        <f t="shared" ref="D78:O78" si="31">+D62+D65+D66+D67+D68+D69+D70+D71</f>
        <v>14603</v>
      </c>
      <c r="E78" s="793">
        <f t="shared" si="31"/>
        <v>12740</v>
      </c>
      <c r="F78" s="793">
        <f t="shared" si="31"/>
        <v>0</v>
      </c>
      <c r="G78" s="793">
        <f t="shared" si="31"/>
        <v>0</v>
      </c>
      <c r="H78" s="793">
        <f t="shared" si="31"/>
        <v>116669</v>
      </c>
      <c r="I78" s="793">
        <f t="shared" si="31"/>
        <v>567</v>
      </c>
      <c r="J78" s="793">
        <f t="shared" si="31"/>
        <v>0</v>
      </c>
      <c r="K78" s="793">
        <f t="shared" si="31"/>
        <v>0</v>
      </c>
      <c r="L78" s="793">
        <f t="shared" si="31"/>
        <v>567</v>
      </c>
      <c r="M78" s="793">
        <f t="shared" si="31"/>
        <v>117236</v>
      </c>
      <c r="N78" s="793">
        <f t="shared" si="31"/>
        <v>0</v>
      </c>
      <c r="O78" s="793">
        <f t="shared" si="31"/>
        <v>117236</v>
      </c>
    </row>
    <row r="79" spans="1:16" ht="17.25" thickTop="1" thickBot="1" x14ac:dyDescent="0.3">
      <c r="A79" s="791"/>
      <c r="B79" s="792" t="s">
        <v>377</v>
      </c>
      <c r="C79" s="793">
        <f t="shared" ref="C79:O79" si="32">+C63+C73+C74+C75+C76</f>
        <v>2288</v>
      </c>
      <c r="D79" s="793">
        <f t="shared" si="32"/>
        <v>495</v>
      </c>
      <c r="E79" s="793">
        <f t="shared" si="32"/>
        <v>20</v>
      </c>
      <c r="F79" s="793">
        <f t="shared" si="32"/>
        <v>0</v>
      </c>
      <c r="G79" s="793">
        <f t="shared" si="32"/>
        <v>0</v>
      </c>
      <c r="H79" s="793">
        <f t="shared" si="32"/>
        <v>2803</v>
      </c>
      <c r="I79" s="793">
        <f t="shared" si="32"/>
        <v>0</v>
      </c>
      <c r="J79" s="793">
        <f t="shared" si="32"/>
        <v>0</v>
      </c>
      <c r="K79" s="793">
        <f t="shared" si="32"/>
        <v>0</v>
      </c>
      <c r="L79" s="793">
        <f t="shared" si="32"/>
        <v>0</v>
      </c>
      <c r="M79" s="793">
        <f t="shared" si="32"/>
        <v>2803</v>
      </c>
      <c r="N79" s="793">
        <f t="shared" si="32"/>
        <v>0</v>
      </c>
      <c r="O79" s="793">
        <f t="shared" si="32"/>
        <v>2803</v>
      </c>
    </row>
    <row r="80" spans="1:16" ht="16.5" thickTop="1" x14ac:dyDescent="0.25">
      <c r="A80" s="771" t="s">
        <v>148</v>
      </c>
      <c r="B80" s="772" t="s">
        <v>406</v>
      </c>
      <c r="C80" s="773"/>
      <c r="D80" s="774"/>
      <c r="E80" s="774"/>
      <c r="F80" s="790"/>
      <c r="G80" s="774"/>
      <c r="H80" s="776"/>
      <c r="I80" s="777"/>
      <c r="J80" s="775"/>
      <c r="K80" s="775"/>
      <c r="L80" s="776"/>
      <c r="M80" s="776"/>
      <c r="N80" s="776"/>
      <c r="O80" s="776"/>
    </row>
    <row r="81" spans="1:16" x14ac:dyDescent="0.25">
      <c r="A81" s="771"/>
      <c r="B81" s="724" t="s">
        <v>347</v>
      </c>
      <c r="C81" s="773">
        <f>SUM(C82:C83)</f>
        <v>84038</v>
      </c>
      <c r="D81" s="773">
        <f>SUM(D82:D83)</f>
        <v>13756</v>
      </c>
      <c r="E81" s="773">
        <f>SUM(E82:E83)</f>
        <v>10498</v>
      </c>
      <c r="F81" s="775"/>
      <c r="G81" s="774"/>
      <c r="H81" s="776">
        <f>SUM(C81:G81)</f>
        <v>108292</v>
      </c>
      <c r="I81" s="777"/>
      <c r="J81" s="775"/>
      <c r="K81" s="775"/>
      <c r="L81" s="776">
        <f>SUM(I81:K81)</f>
        <v>0</v>
      </c>
      <c r="M81" s="778">
        <f>SUM(H81+L81)</f>
        <v>108292</v>
      </c>
      <c r="N81" s="778"/>
      <c r="O81" s="778">
        <f>SUM(M81+N81)</f>
        <v>108292</v>
      </c>
    </row>
    <row r="82" spans="1:16" s="788" customFormat="1" x14ac:dyDescent="0.25">
      <c r="A82" s="779"/>
      <c r="B82" s="780" t="s">
        <v>381</v>
      </c>
      <c r="C82" s="781">
        <v>83149</v>
      </c>
      <c r="D82" s="782">
        <v>13467</v>
      </c>
      <c r="E82" s="782">
        <v>10498</v>
      </c>
      <c r="F82" s="783"/>
      <c r="G82" s="782"/>
      <c r="H82" s="784">
        <f>SUM(C82:G82)</f>
        <v>107114</v>
      </c>
      <c r="I82" s="794"/>
      <c r="J82" s="783"/>
      <c r="K82" s="783"/>
      <c r="L82" s="784">
        <f>SUM(I82:K82)</f>
        <v>0</v>
      </c>
      <c r="M82" s="787">
        <f>SUM(H82+L82)</f>
        <v>107114</v>
      </c>
      <c r="N82" s="787"/>
      <c r="O82" s="787">
        <f>SUM(M82+N82)</f>
        <v>107114</v>
      </c>
    </row>
    <row r="83" spans="1:16" s="788" customFormat="1" x14ac:dyDescent="0.25">
      <c r="A83" s="779"/>
      <c r="B83" s="780" t="s">
        <v>380</v>
      </c>
      <c r="C83" s="781">
        <v>889</v>
      </c>
      <c r="D83" s="782">
        <v>289</v>
      </c>
      <c r="E83" s="782"/>
      <c r="F83" s="783"/>
      <c r="G83" s="782"/>
      <c r="H83" s="784">
        <f>SUM(C83:G83)</f>
        <v>1178</v>
      </c>
      <c r="I83" s="794"/>
      <c r="J83" s="783"/>
      <c r="K83" s="783"/>
      <c r="L83" s="784">
        <f>SUM(I83:K83)</f>
        <v>0</v>
      </c>
      <c r="M83" s="787">
        <f>SUM(H83+L83)</f>
        <v>1178</v>
      </c>
      <c r="N83" s="787"/>
      <c r="O83" s="787">
        <f>SUM(M83+N83)</f>
        <v>1178</v>
      </c>
    </row>
    <row r="84" spans="1:16" s="788" customFormat="1" x14ac:dyDescent="0.25">
      <c r="A84" s="779"/>
      <c r="B84" s="780" t="s">
        <v>131</v>
      </c>
      <c r="C84" s="781"/>
      <c r="D84" s="782"/>
      <c r="E84" s="782"/>
      <c r="F84" s="783"/>
      <c r="G84" s="782"/>
      <c r="H84" s="784"/>
      <c r="I84" s="794"/>
      <c r="J84" s="783"/>
      <c r="K84" s="783"/>
      <c r="L84" s="784"/>
      <c r="M84" s="787"/>
      <c r="N84" s="787"/>
      <c r="O84" s="787"/>
    </row>
    <row r="85" spans="1:16" s="788" customFormat="1" ht="31.5" x14ac:dyDescent="0.25">
      <c r="A85" s="779"/>
      <c r="B85" s="724" t="s">
        <v>1325</v>
      </c>
      <c r="C85" s="810">
        <v>76</v>
      </c>
      <c r="D85" s="811">
        <v>12</v>
      </c>
      <c r="E85" s="811"/>
      <c r="F85" s="812"/>
      <c r="G85" s="811"/>
      <c r="H85" s="797">
        <f t="shared" ref="H85:H90" si="33">SUM(C85:G85)</f>
        <v>88</v>
      </c>
      <c r="I85" s="815"/>
      <c r="J85" s="812"/>
      <c r="K85" s="812"/>
      <c r="L85" s="797">
        <f t="shared" ref="L85:L90" si="34">SUM(I85:K85)</f>
        <v>0</v>
      </c>
      <c r="M85" s="798">
        <f t="shared" ref="M85:M90" si="35">SUM(H85+L85)</f>
        <v>88</v>
      </c>
      <c r="N85" s="798"/>
      <c r="O85" s="798">
        <f t="shared" ref="O85:O90" si="36">SUM(M85+N85)</f>
        <v>88</v>
      </c>
    </row>
    <row r="86" spans="1:16" s="788" customFormat="1" ht="31.5" x14ac:dyDescent="0.25">
      <c r="A86" s="816"/>
      <c r="B86" s="724" t="s">
        <v>1331</v>
      </c>
      <c r="C86" s="810">
        <v>952</v>
      </c>
      <c r="D86" s="811">
        <v>153</v>
      </c>
      <c r="E86" s="811"/>
      <c r="F86" s="812"/>
      <c r="G86" s="811"/>
      <c r="H86" s="797">
        <f t="shared" si="33"/>
        <v>1105</v>
      </c>
      <c r="I86" s="815"/>
      <c r="J86" s="812"/>
      <c r="K86" s="812"/>
      <c r="L86" s="797">
        <f t="shared" si="34"/>
        <v>0</v>
      </c>
      <c r="M86" s="797">
        <f t="shared" si="35"/>
        <v>1105</v>
      </c>
      <c r="N86" s="797"/>
      <c r="O86" s="797">
        <f t="shared" si="36"/>
        <v>1105</v>
      </c>
    </row>
    <row r="87" spans="1:16" s="788" customFormat="1" ht="31.5" x14ac:dyDescent="0.25">
      <c r="A87" s="816"/>
      <c r="B87" s="724" t="s">
        <v>565</v>
      </c>
      <c r="C87" s="810">
        <v>-396</v>
      </c>
      <c r="D87" s="811">
        <v>-62</v>
      </c>
      <c r="E87" s="811">
        <v>458</v>
      </c>
      <c r="F87" s="812"/>
      <c r="G87" s="811"/>
      <c r="H87" s="797">
        <f t="shared" si="33"/>
        <v>0</v>
      </c>
      <c r="I87" s="815"/>
      <c r="J87" s="812"/>
      <c r="K87" s="812"/>
      <c r="L87" s="797">
        <f t="shared" si="34"/>
        <v>0</v>
      </c>
      <c r="M87" s="797">
        <f t="shared" si="35"/>
        <v>0</v>
      </c>
      <c r="N87" s="797"/>
      <c r="O87" s="797">
        <f t="shared" si="36"/>
        <v>0</v>
      </c>
    </row>
    <row r="88" spans="1:16" s="788" customFormat="1" ht="63" x14ac:dyDescent="0.25">
      <c r="A88" s="779"/>
      <c r="B88" s="724" t="s">
        <v>1333</v>
      </c>
      <c r="C88" s="810">
        <v>351</v>
      </c>
      <c r="D88" s="811">
        <v>54</v>
      </c>
      <c r="E88" s="811"/>
      <c r="F88" s="812"/>
      <c r="G88" s="811"/>
      <c r="H88" s="797">
        <f t="shared" si="33"/>
        <v>405</v>
      </c>
      <c r="I88" s="815"/>
      <c r="J88" s="812"/>
      <c r="K88" s="812"/>
      <c r="L88" s="797">
        <f t="shared" si="34"/>
        <v>0</v>
      </c>
      <c r="M88" s="798">
        <f t="shared" si="35"/>
        <v>405</v>
      </c>
      <c r="N88" s="798"/>
      <c r="O88" s="798">
        <f t="shared" si="36"/>
        <v>405</v>
      </c>
    </row>
    <row r="89" spans="1:16" s="788" customFormat="1" ht="31.5" x14ac:dyDescent="0.25">
      <c r="A89" s="779"/>
      <c r="B89" s="724" t="s">
        <v>1327</v>
      </c>
      <c r="C89" s="810">
        <v>61</v>
      </c>
      <c r="D89" s="811">
        <v>11</v>
      </c>
      <c r="E89" s="811"/>
      <c r="F89" s="812"/>
      <c r="G89" s="811"/>
      <c r="H89" s="797">
        <f t="shared" si="33"/>
        <v>72</v>
      </c>
      <c r="I89" s="815"/>
      <c r="J89" s="812"/>
      <c r="K89" s="812"/>
      <c r="L89" s="797">
        <f t="shared" si="34"/>
        <v>0</v>
      </c>
      <c r="M89" s="798">
        <f t="shared" si="35"/>
        <v>72</v>
      </c>
      <c r="N89" s="798"/>
      <c r="O89" s="798">
        <f t="shared" si="36"/>
        <v>72</v>
      </c>
    </row>
    <row r="90" spans="1:16" s="788" customFormat="1" ht="31.5" x14ac:dyDescent="0.25">
      <c r="A90" s="779"/>
      <c r="B90" s="724" t="s">
        <v>961</v>
      </c>
      <c r="C90" s="810"/>
      <c r="D90" s="811"/>
      <c r="E90" s="811">
        <v>144</v>
      </c>
      <c r="F90" s="812"/>
      <c r="G90" s="811"/>
      <c r="H90" s="797">
        <f t="shared" si="33"/>
        <v>144</v>
      </c>
      <c r="I90" s="815"/>
      <c r="J90" s="812"/>
      <c r="K90" s="812"/>
      <c r="L90" s="797">
        <f t="shared" si="34"/>
        <v>0</v>
      </c>
      <c r="M90" s="798">
        <f t="shared" si="35"/>
        <v>144</v>
      </c>
      <c r="N90" s="798"/>
      <c r="O90" s="798">
        <f t="shared" si="36"/>
        <v>144</v>
      </c>
    </row>
    <row r="91" spans="1:16" s="788" customFormat="1" x14ac:dyDescent="0.25">
      <c r="A91" s="779"/>
      <c r="B91" s="780" t="s">
        <v>132</v>
      </c>
      <c r="C91" s="781"/>
      <c r="D91" s="782"/>
      <c r="E91" s="782"/>
      <c r="F91" s="783"/>
      <c r="G91" s="782"/>
      <c r="H91" s="784"/>
      <c r="I91" s="794"/>
      <c r="J91" s="783"/>
      <c r="K91" s="783"/>
      <c r="L91" s="784"/>
      <c r="M91" s="787"/>
      <c r="N91" s="787"/>
      <c r="O91" s="787"/>
    </row>
    <row r="92" spans="1:16" s="788" customFormat="1" x14ac:dyDescent="0.25">
      <c r="A92" s="779"/>
      <c r="B92" s="724" t="s">
        <v>1330</v>
      </c>
      <c r="C92" s="810">
        <v>479</v>
      </c>
      <c r="D92" s="811">
        <v>72</v>
      </c>
      <c r="E92" s="811"/>
      <c r="F92" s="812"/>
      <c r="G92" s="811"/>
      <c r="H92" s="797">
        <f>SUM(C92:G92)</f>
        <v>551</v>
      </c>
      <c r="I92" s="815"/>
      <c r="J92" s="812"/>
      <c r="K92" s="812"/>
      <c r="L92" s="797">
        <f>SUM(I92:K92)</f>
        <v>0</v>
      </c>
      <c r="M92" s="798">
        <f>SUM(H92+L92)</f>
        <v>551</v>
      </c>
      <c r="N92" s="798"/>
      <c r="O92" s="798">
        <f>SUM(M92+N92)</f>
        <v>551</v>
      </c>
    </row>
    <row r="93" spans="1:16" s="788" customFormat="1" ht="94.5" x14ac:dyDescent="0.25">
      <c r="A93" s="779"/>
      <c r="B93" s="724" t="s">
        <v>1332</v>
      </c>
      <c r="C93" s="810"/>
      <c r="D93" s="811"/>
      <c r="E93" s="811">
        <v>70</v>
      </c>
      <c r="F93" s="812"/>
      <c r="G93" s="811"/>
      <c r="H93" s="797">
        <f>SUM(C93:G93)</f>
        <v>70</v>
      </c>
      <c r="I93" s="815"/>
      <c r="J93" s="812"/>
      <c r="K93" s="812"/>
      <c r="L93" s="797">
        <f>SUM(I93:K93)</f>
        <v>0</v>
      </c>
      <c r="M93" s="798">
        <f>SUM(H93+L93)</f>
        <v>70</v>
      </c>
      <c r="N93" s="798"/>
      <c r="O93" s="798">
        <f>SUM(M93+N93)</f>
        <v>70</v>
      </c>
    </row>
    <row r="94" spans="1:16" s="788" customFormat="1" ht="63" x14ac:dyDescent="0.25">
      <c r="A94" s="779"/>
      <c r="B94" s="724" t="s">
        <v>1335</v>
      </c>
      <c r="C94" s="810">
        <v>175</v>
      </c>
      <c r="D94" s="811">
        <v>27</v>
      </c>
      <c r="E94" s="811"/>
      <c r="F94" s="812"/>
      <c r="G94" s="811"/>
      <c r="H94" s="797">
        <f>SUM(C94:G94)</f>
        <v>202</v>
      </c>
      <c r="I94" s="815"/>
      <c r="J94" s="812"/>
      <c r="K94" s="812"/>
      <c r="L94" s="797">
        <f>SUM(I94:K94)</f>
        <v>0</v>
      </c>
      <c r="M94" s="798">
        <f>SUM(H94+L94)</f>
        <v>202</v>
      </c>
      <c r="N94" s="798"/>
      <c r="O94" s="798">
        <f>SUM(M94+N94)</f>
        <v>202</v>
      </c>
    </row>
    <row r="95" spans="1:16" s="788" customFormat="1" ht="95.25" thickBot="1" x14ac:dyDescent="0.3">
      <c r="A95" s="779"/>
      <c r="B95" s="724" t="s">
        <v>1336</v>
      </c>
      <c r="C95" s="810">
        <v>743</v>
      </c>
      <c r="D95" s="811">
        <v>112</v>
      </c>
      <c r="E95" s="811"/>
      <c r="F95" s="812"/>
      <c r="G95" s="811"/>
      <c r="H95" s="797">
        <f>SUM(C95:G95)</f>
        <v>855</v>
      </c>
      <c r="I95" s="815"/>
      <c r="J95" s="812"/>
      <c r="K95" s="812"/>
      <c r="L95" s="797">
        <f>SUM(I95:K95)</f>
        <v>0</v>
      </c>
      <c r="M95" s="798">
        <f>SUM(H95+L95)</f>
        <v>855</v>
      </c>
      <c r="N95" s="798"/>
      <c r="O95" s="798">
        <f>SUM(M95+N95)</f>
        <v>855</v>
      </c>
    </row>
    <row r="96" spans="1:16" ht="17.25" thickTop="1" thickBot="1" x14ac:dyDescent="0.3">
      <c r="A96" s="791"/>
      <c r="B96" s="792" t="s">
        <v>379</v>
      </c>
      <c r="C96" s="793">
        <f>+C81+C85+C92+C86+C87+C88+C89+C90+C93+C94+C95</f>
        <v>86479</v>
      </c>
      <c r="D96" s="793">
        <f t="shared" ref="D96:O96" si="37">+D81+D85+D92+D86+D87+D88+D89+D90+D93+D94+D95</f>
        <v>14135</v>
      </c>
      <c r="E96" s="793">
        <f t="shared" si="37"/>
        <v>11170</v>
      </c>
      <c r="F96" s="793">
        <f t="shared" si="37"/>
        <v>0</v>
      </c>
      <c r="G96" s="793">
        <f t="shared" si="37"/>
        <v>0</v>
      </c>
      <c r="H96" s="793">
        <f t="shared" si="37"/>
        <v>111784</v>
      </c>
      <c r="I96" s="793">
        <f t="shared" si="37"/>
        <v>0</v>
      </c>
      <c r="J96" s="793">
        <f t="shared" si="37"/>
        <v>0</v>
      </c>
      <c r="K96" s="793">
        <f t="shared" si="37"/>
        <v>0</v>
      </c>
      <c r="L96" s="793">
        <f t="shared" si="37"/>
        <v>0</v>
      </c>
      <c r="M96" s="793">
        <f t="shared" si="37"/>
        <v>111784</v>
      </c>
      <c r="N96" s="793">
        <f t="shared" si="37"/>
        <v>0</v>
      </c>
      <c r="O96" s="793">
        <f t="shared" si="37"/>
        <v>111784</v>
      </c>
      <c r="P96" s="698">
        <f>O97+O98</f>
        <v>111784</v>
      </c>
    </row>
    <row r="97" spans="1:15" ht="17.25" thickTop="1" thickBot="1" x14ac:dyDescent="0.3">
      <c r="A97" s="791"/>
      <c r="B97" s="792" t="s">
        <v>378</v>
      </c>
      <c r="C97" s="793">
        <f>+C82+C85+C86+C87+C88+C89+C90</f>
        <v>84193</v>
      </c>
      <c r="D97" s="793">
        <f t="shared" ref="D97:O97" si="38">+D82+D85+D86+D87+D88+D89+D90</f>
        <v>13635</v>
      </c>
      <c r="E97" s="793">
        <f t="shared" si="38"/>
        <v>11100</v>
      </c>
      <c r="F97" s="793">
        <f t="shared" si="38"/>
        <v>0</v>
      </c>
      <c r="G97" s="793">
        <f t="shared" si="38"/>
        <v>0</v>
      </c>
      <c r="H97" s="793">
        <f t="shared" si="38"/>
        <v>108928</v>
      </c>
      <c r="I97" s="793">
        <f t="shared" si="38"/>
        <v>0</v>
      </c>
      <c r="J97" s="793">
        <f t="shared" si="38"/>
        <v>0</v>
      </c>
      <c r="K97" s="793">
        <f t="shared" si="38"/>
        <v>0</v>
      </c>
      <c r="L97" s="793">
        <f t="shared" si="38"/>
        <v>0</v>
      </c>
      <c r="M97" s="793">
        <f t="shared" si="38"/>
        <v>108928</v>
      </c>
      <c r="N97" s="793">
        <f t="shared" si="38"/>
        <v>0</v>
      </c>
      <c r="O97" s="793">
        <f t="shared" si="38"/>
        <v>108928</v>
      </c>
    </row>
    <row r="98" spans="1:15" ht="17.25" thickTop="1" thickBot="1" x14ac:dyDescent="0.3">
      <c r="A98" s="791"/>
      <c r="B98" s="792" t="s">
        <v>377</v>
      </c>
      <c r="C98" s="793">
        <f t="shared" ref="C98:O98" si="39">+C83+C92+C93+C94+C95</f>
        <v>2286</v>
      </c>
      <c r="D98" s="793">
        <f t="shared" si="39"/>
        <v>500</v>
      </c>
      <c r="E98" s="793">
        <f t="shared" si="39"/>
        <v>70</v>
      </c>
      <c r="F98" s="793">
        <f t="shared" si="39"/>
        <v>0</v>
      </c>
      <c r="G98" s="793">
        <f t="shared" si="39"/>
        <v>0</v>
      </c>
      <c r="H98" s="793">
        <f t="shared" si="39"/>
        <v>2856</v>
      </c>
      <c r="I98" s="793">
        <f t="shared" si="39"/>
        <v>0</v>
      </c>
      <c r="J98" s="793">
        <f t="shared" si="39"/>
        <v>0</v>
      </c>
      <c r="K98" s="793">
        <f t="shared" si="39"/>
        <v>0</v>
      </c>
      <c r="L98" s="793">
        <f t="shared" si="39"/>
        <v>0</v>
      </c>
      <c r="M98" s="793">
        <f t="shared" si="39"/>
        <v>2856</v>
      </c>
      <c r="N98" s="793">
        <f t="shared" si="39"/>
        <v>0</v>
      </c>
      <c r="O98" s="793">
        <f t="shared" si="39"/>
        <v>2856</v>
      </c>
    </row>
    <row r="99" spans="1:15" ht="16.5" thickTop="1" x14ac:dyDescent="0.25">
      <c r="A99" s="817" t="s">
        <v>149</v>
      </c>
      <c r="B99" s="818" t="s">
        <v>405</v>
      </c>
      <c r="C99" s="819"/>
      <c r="D99" s="820"/>
      <c r="E99" s="820"/>
      <c r="F99" s="821"/>
      <c r="G99" s="820"/>
      <c r="H99" s="822"/>
      <c r="I99" s="823"/>
      <c r="J99" s="821"/>
      <c r="K99" s="821"/>
      <c r="L99" s="822"/>
      <c r="M99" s="822"/>
      <c r="N99" s="822"/>
      <c r="O99" s="822"/>
    </row>
    <row r="100" spans="1:15" x14ac:dyDescent="0.25">
      <c r="A100" s="771"/>
      <c r="B100" s="724" t="s">
        <v>347</v>
      </c>
      <c r="C100" s="773">
        <f>SUM(C101:C102)</f>
        <v>49619</v>
      </c>
      <c r="D100" s="773">
        <f>SUM(D101:D102)</f>
        <v>8200</v>
      </c>
      <c r="E100" s="773">
        <f>SUM(E101:E102)</f>
        <v>5686</v>
      </c>
      <c r="F100" s="775"/>
      <c r="G100" s="774"/>
      <c r="H100" s="776">
        <f>SUM(C100:G100)</f>
        <v>63505</v>
      </c>
      <c r="I100" s="777"/>
      <c r="J100" s="775"/>
      <c r="K100" s="775"/>
      <c r="L100" s="776">
        <f>SUM(I100:K100)</f>
        <v>0</v>
      </c>
      <c r="M100" s="778">
        <f>SUM(H100+L100)</f>
        <v>63505</v>
      </c>
      <c r="N100" s="778"/>
      <c r="O100" s="778">
        <f>SUM(M100+N100)</f>
        <v>63505</v>
      </c>
    </row>
    <row r="101" spans="1:15" s="788" customFormat="1" x14ac:dyDescent="0.25">
      <c r="A101" s="779"/>
      <c r="B101" s="780" t="s">
        <v>381</v>
      </c>
      <c r="C101" s="781">
        <v>49147</v>
      </c>
      <c r="D101" s="782">
        <v>8046</v>
      </c>
      <c r="E101" s="782">
        <v>5686</v>
      </c>
      <c r="F101" s="783"/>
      <c r="G101" s="782"/>
      <c r="H101" s="784">
        <f>SUM(C101:G101)</f>
        <v>62879</v>
      </c>
      <c r="I101" s="794"/>
      <c r="J101" s="783"/>
      <c r="K101" s="783"/>
      <c r="L101" s="784">
        <f>SUM(I101:K101)</f>
        <v>0</v>
      </c>
      <c r="M101" s="787">
        <f>SUM(H101+L101)</f>
        <v>62879</v>
      </c>
      <c r="N101" s="787"/>
      <c r="O101" s="787">
        <f>SUM(M101+N101)</f>
        <v>62879</v>
      </c>
    </row>
    <row r="102" spans="1:15" s="788" customFormat="1" x14ac:dyDescent="0.25">
      <c r="A102" s="779"/>
      <c r="B102" s="780" t="s">
        <v>380</v>
      </c>
      <c r="C102" s="781">
        <v>472</v>
      </c>
      <c r="D102" s="782">
        <v>154</v>
      </c>
      <c r="E102" s="782"/>
      <c r="F102" s="783"/>
      <c r="G102" s="782"/>
      <c r="H102" s="784">
        <f>SUM(C102:G102)</f>
        <v>626</v>
      </c>
      <c r="I102" s="794"/>
      <c r="J102" s="783"/>
      <c r="K102" s="783"/>
      <c r="L102" s="784">
        <f>SUM(I102:K102)</f>
        <v>0</v>
      </c>
      <c r="M102" s="787">
        <f>SUM(H102+L102)</f>
        <v>626</v>
      </c>
      <c r="N102" s="787"/>
      <c r="O102" s="787">
        <f>SUM(M102+N102)</f>
        <v>626</v>
      </c>
    </row>
    <row r="103" spans="1:15" s="788" customFormat="1" x14ac:dyDescent="0.25">
      <c r="A103" s="779"/>
      <c r="B103" s="780" t="s">
        <v>131</v>
      </c>
      <c r="C103" s="781"/>
      <c r="D103" s="782"/>
      <c r="E103" s="782"/>
      <c r="F103" s="783"/>
      <c r="G103" s="782"/>
      <c r="H103" s="784"/>
      <c r="I103" s="794"/>
      <c r="J103" s="783"/>
      <c r="K103" s="783"/>
      <c r="L103" s="784"/>
      <c r="M103" s="787"/>
      <c r="N103" s="787"/>
      <c r="O103" s="787"/>
    </row>
    <row r="104" spans="1:15" s="788" customFormat="1" ht="31.5" x14ac:dyDescent="0.25">
      <c r="A104" s="779"/>
      <c r="B104" s="724" t="s">
        <v>1325</v>
      </c>
      <c r="C104" s="810">
        <v>47</v>
      </c>
      <c r="D104" s="811">
        <v>8</v>
      </c>
      <c r="E104" s="811"/>
      <c r="F104" s="812"/>
      <c r="G104" s="811"/>
      <c r="H104" s="797">
        <f t="shared" ref="H104:H108" si="40">SUM(C104:G104)</f>
        <v>55</v>
      </c>
      <c r="I104" s="815"/>
      <c r="J104" s="812"/>
      <c r="K104" s="812"/>
      <c r="L104" s="797">
        <f t="shared" ref="L104:L108" si="41">SUM(I104:K104)</f>
        <v>0</v>
      </c>
      <c r="M104" s="798">
        <f t="shared" ref="M104:M108" si="42">SUM(H104+L104)</f>
        <v>55</v>
      </c>
      <c r="N104" s="798"/>
      <c r="O104" s="798">
        <f t="shared" ref="O104:O108" si="43">SUM(M104+N104)</f>
        <v>55</v>
      </c>
    </row>
    <row r="105" spans="1:15" s="788" customFormat="1" ht="31.5" x14ac:dyDescent="0.25">
      <c r="A105" s="779"/>
      <c r="B105" s="724" t="s">
        <v>1331</v>
      </c>
      <c r="C105" s="810">
        <v>561</v>
      </c>
      <c r="D105" s="811">
        <v>90</v>
      </c>
      <c r="E105" s="811"/>
      <c r="F105" s="812"/>
      <c r="G105" s="811"/>
      <c r="H105" s="797">
        <f t="shared" si="40"/>
        <v>651</v>
      </c>
      <c r="I105" s="815"/>
      <c r="J105" s="812"/>
      <c r="K105" s="812"/>
      <c r="L105" s="797">
        <f t="shared" si="41"/>
        <v>0</v>
      </c>
      <c r="M105" s="798">
        <f t="shared" si="42"/>
        <v>651</v>
      </c>
      <c r="N105" s="798"/>
      <c r="O105" s="798">
        <f t="shared" si="43"/>
        <v>651</v>
      </c>
    </row>
    <row r="106" spans="1:15" s="788" customFormat="1" ht="31.5" x14ac:dyDescent="0.25">
      <c r="A106" s="816"/>
      <c r="B106" s="772" t="s">
        <v>565</v>
      </c>
      <c r="C106" s="810">
        <v>-440</v>
      </c>
      <c r="D106" s="811">
        <v>-69</v>
      </c>
      <c r="E106" s="811">
        <v>509</v>
      </c>
      <c r="F106" s="812"/>
      <c r="G106" s="811"/>
      <c r="H106" s="797">
        <f t="shared" si="40"/>
        <v>0</v>
      </c>
      <c r="I106" s="815"/>
      <c r="J106" s="812"/>
      <c r="K106" s="812"/>
      <c r="L106" s="797">
        <f t="shared" si="41"/>
        <v>0</v>
      </c>
      <c r="M106" s="797">
        <f t="shared" si="42"/>
        <v>0</v>
      </c>
      <c r="N106" s="797"/>
      <c r="O106" s="797">
        <f t="shared" si="43"/>
        <v>0</v>
      </c>
    </row>
    <row r="107" spans="1:15" s="788" customFormat="1" ht="63" x14ac:dyDescent="0.25">
      <c r="A107" s="816"/>
      <c r="B107" s="772" t="s">
        <v>1333</v>
      </c>
      <c r="C107" s="810">
        <v>131</v>
      </c>
      <c r="D107" s="811">
        <v>21</v>
      </c>
      <c r="E107" s="811"/>
      <c r="F107" s="812"/>
      <c r="G107" s="811"/>
      <c r="H107" s="797">
        <f t="shared" si="40"/>
        <v>152</v>
      </c>
      <c r="I107" s="815"/>
      <c r="J107" s="812"/>
      <c r="K107" s="812"/>
      <c r="L107" s="797">
        <f t="shared" si="41"/>
        <v>0</v>
      </c>
      <c r="M107" s="797">
        <f t="shared" si="42"/>
        <v>152</v>
      </c>
      <c r="N107" s="797"/>
      <c r="O107" s="797">
        <f t="shared" si="43"/>
        <v>152</v>
      </c>
    </row>
    <row r="108" spans="1:15" s="788" customFormat="1" ht="31.5" x14ac:dyDescent="0.25">
      <c r="A108" s="779"/>
      <c r="B108" s="724" t="s">
        <v>961</v>
      </c>
      <c r="C108" s="810"/>
      <c r="D108" s="811"/>
      <c r="E108" s="811">
        <v>7</v>
      </c>
      <c r="F108" s="812"/>
      <c r="G108" s="811"/>
      <c r="H108" s="797">
        <f t="shared" si="40"/>
        <v>7</v>
      </c>
      <c r="I108" s="815"/>
      <c r="J108" s="812"/>
      <c r="K108" s="812"/>
      <c r="L108" s="797">
        <f t="shared" si="41"/>
        <v>0</v>
      </c>
      <c r="M108" s="798">
        <f t="shared" si="42"/>
        <v>7</v>
      </c>
      <c r="N108" s="798"/>
      <c r="O108" s="798">
        <f t="shared" si="43"/>
        <v>7</v>
      </c>
    </row>
    <row r="109" spans="1:15" s="788" customFormat="1" x14ac:dyDescent="0.25">
      <c r="A109" s="779"/>
      <c r="B109" s="780" t="s">
        <v>132</v>
      </c>
      <c r="C109" s="781"/>
      <c r="D109" s="782"/>
      <c r="E109" s="782"/>
      <c r="F109" s="783"/>
      <c r="G109" s="782"/>
      <c r="H109" s="784"/>
      <c r="I109" s="794"/>
      <c r="J109" s="783"/>
      <c r="K109" s="783"/>
      <c r="L109" s="784"/>
      <c r="M109" s="787"/>
      <c r="N109" s="787"/>
      <c r="O109" s="787"/>
    </row>
    <row r="110" spans="1:15" s="788" customFormat="1" x14ac:dyDescent="0.25">
      <c r="A110" s="779"/>
      <c r="B110" s="724" t="s">
        <v>1330</v>
      </c>
      <c r="C110" s="810">
        <v>272</v>
      </c>
      <c r="D110" s="811">
        <v>41</v>
      </c>
      <c r="E110" s="811"/>
      <c r="F110" s="812"/>
      <c r="G110" s="811"/>
      <c r="H110" s="797">
        <f>SUM(C110:G110)</f>
        <v>313</v>
      </c>
      <c r="I110" s="815"/>
      <c r="J110" s="812"/>
      <c r="K110" s="812"/>
      <c r="L110" s="797">
        <f>SUM(I110:K110)</f>
        <v>0</v>
      </c>
      <c r="M110" s="798">
        <f>SUM(H110+L110)</f>
        <v>313</v>
      </c>
      <c r="N110" s="798"/>
      <c r="O110" s="798">
        <f>SUM(M110+N110)</f>
        <v>313</v>
      </c>
    </row>
    <row r="111" spans="1:15" s="788" customFormat="1" ht="94.5" x14ac:dyDescent="0.25">
      <c r="A111" s="779"/>
      <c r="B111" s="724" t="s">
        <v>1332</v>
      </c>
      <c r="C111" s="810"/>
      <c r="D111" s="811"/>
      <c r="E111" s="811">
        <v>20</v>
      </c>
      <c r="F111" s="812"/>
      <c r="G111" s="811"/>
      <c r="H111" s="797">
        <f>SUM(C111:G111)</f>
        <v>20</v>
      </c>
      <c r="I111" s="815"/>
      <c r="J111" s="812"/>
      <c r="K111" s="812"/>
      <c r="L111" s="797">
        <f>SUM(I111:K111)</f>
        <v>0</v>
      </c>
      <c r="M111" s="798">
        <f>SUM(H111+L111)</f>
        <v>20</v>
      </c>
      <c r="N111" s="798"/>
      <c r="O111" s="798">
        <f>SUM(M111+N111)</f>
        <v>20</v>
      </c>
    </row>
    <row r="112" spans="1:15" s="788" customFormat="1" ht="94.5" x14ac:dyDescent="0.25">
      <c r="A112" s="779"/>
      <c r="B112" s="724" t="s">
        <v>1334</v>
      </c>
      <c r="C112" s="810"/>
      <c r="D112" s="811"/>
      <c r="E112" s="811">
        <v>100</v>
      </c>
      <c r="F112" s="812"/>
      <c r="G112" s="811"/>
      <c r="H112" s="797">
        <f>SUM(C112:G112)</f>
        <v>100</v>
      </c>
      <c r="I112" s="815"/>
      <c r="J112" s="812"/>
      <c r="K112" s="812"/>
      <c r="L112" s="797">
        <f>SUM(I112:K112)</f>
        <v>0</v>
      </c>
      <c r="M112" s="798">
        <f>SUM(H112+L112)</f>
        <v>100</v>
      </c>
      <c r="N112" s="798"/>
      <c r="O112" s="798">
        <f>SUM(M112+N112)</f>
        <v>100</v>
      </c>
    </row>
    <row r="113" spans="1:16" s="788" customFormat="1" ht="63" x14ac:dyDescent="0.25">
      <c r="A113" s="779"/>
      <c r="B113" s="724" t="s">
        <v>1335</v>
      </c>
      <c r="C113" s="810">
        <v>66</v>
      </c>
      <c r="D113" s="811">
        <v>10</v>
      </c>
      <c r="E113" s="811"/>
      <c r="F113" s="812"/>
      <c r="G113" s="811"/>
      <c r="H113" s="797">
        <f>SUM(C113:G113)</f>
        <v>76</v>
      </c>
      <c r="I113" s="815"/>
      <c r="J113" s="812"/>
      <c r="K113" s="812"/>
      <c r="L113" s="797">
        <f>SUM(I113:K113)</f>
        <v>0</v>
      </c>
      <c r="M113" s="798">
        <f>SUM(H113+L113)</f>
        <v>76</v>
      </c>
      <c r="N113" s="798"/>
      <c r="O113" s="798">
        <f>SUM(M113+N113)</f>
        <v>76</v>
      </c>
    </row>
    <row r="114" spans="1:16" s="788" customFormat="1" ht="95.25" thickBot="1" x14ac:dyDescent="0.3">
      <c r="A114" s="779"/>
      <c r="B114" s="724" t="s">
        <v>1336</v>
      </c>
      <c r="C114" s="810">
        <v>425</v>
      </c>
      <c r="D114" s="811">
        <v>64</v>
      </c>
      <c r="E114" s="811"/>
      <c r="F114" s="812"/>
      <c r="G114" s="811"/>
      <c r="H114" s="797">
        <f>SUM(C114:G114)</f>
        <v>489</v>
      </c>
      <c r="I114" s="815"/>
      <c r="J114" s="812"/>
      <c r="K114" s="812"/>
      <c r="L114" s="797">
        <f>SUM(I114:K114)</f>
        <v>0</v>
      </c>
      <c r="M114" s="798">
        <f>SUM(H114+L114)</f>
        <v>489</v>
      </c>
      <c r="N114" s="798"/>
      <c r="O114" s="798">
        <f>SUM(M114+N114)</f>
        <v>489</v>
      </c>
    </row>
    <row r="115" spans="1:16" ht="17.25" thickTop="1" thickBot="1" x14ac:dyDescent="0.3">
      <c r="A115" s="791"/>
      <c r="B115" s="792" t="s">
        <v>379</v>
      </c>
      <c r="C115" s="793">
        <f>+C100+C104+C110+C105+C106+C107+C108+C111+C113+C112+C114</f>
        <v>50681</v>
      </c>
      <c r="D115" s="793">
        <f t="shared" ref="D115:O115" si="44">+D100+D104+D110+D105+D106+D107+D108+D111+D113+D112+D114</f>
        <v>8365</v>
      </c>
      <c r="E115" s="793">
        <f t="shared" si="44"/>
        <v>6322</v>
      </c>
      <c r="F115" s="793">
        <f t="shared" si="44"/>
        <v>0</v>
      </c>
      <c r="G115" s="793">
        <f t="shared" si="44"/>
        <v>0</v>
      </c>
      <c r="H115" s="793">
        <f t="shared" si="44"/>
        <v>65368</v>
      </c>
      <c r="I115" s="793">
        <f t="shared" si="44"/>
        <v>0</v>
      </c>
      <c r="J115" s="793">
        <f t="shared" si="44"/>
        <v>0</v>
      </c>
      <c r="K115" s="793">
        <f t="shared" si="44"/>
        <v>0</v>
      </c>
      <c r="L115" s="793">
        <f t="shared" si="44"/>
        <v>0</v>
      </c>
      <c r="M115" s="793">
        <f t="shared" si="44"/>
        <v>65368</v>
      </c>
      <c r="N115" s="793">
        <f t="shared" si="44"/>
        <v>0</v>
      </c>
      <c r="O115" s="793">
        <f t="shared" si="44"/>
        <v>65368</v>
      </c>
      <c r="P115" s="698">
        <f>O116+O117</f>
        <v>65368</v>
      </c>
    </row>
    <row r="116" spans="1:16" ht="17.25" thickTop="1" thickBot="1" x14ac:dyDescent="0.3">
      <c r="A116" s="791"/>
      <c r="B116" s="792" t="s">
        <v>378</v>
      </c>
      <c r="C116" s="793">
        <f>+C101+C104+C105+C106+C107+C108</f>
        <v>49446</v>
      </c>
      <c r="D116" s="793">
        <f t="shared" ref="D116:O116" si="45">+D101+D104+D105+D106+D107+D108</f>
        <v>8096</v>
      </c>
      <c r="E116" s="793">
        <f t="shared" si="45"/>
        <v>6202</v>
      </c>
      <c r="F116" s="793">
        <f t="shared" si="45"/>
        <v>0</v>
      </c>
      <c r="G116" s="793">
        <f t="shared" si="45"/>
        <v>0</v>
      </c>
      <c r="H116" s="793">
        <f t="shared" si="45"/>
        <v>63744</v>
      </c>
      <c r="I116" s="793">
        <f t="shared" si="45"/>
        <v>0</v>
      </c>
      <c r="J116" s="793">
        <f t="shared" si="45"/>
        <v>0</v>
      </c>
      <c r="K116" s="793">
        <f t="shared" si="45"/>
        <v>0</v>
      </c>
      <c r="L116" s="793">
        <f t="shared" si="45"/>
        <v>0</v>
      </c>
      <c r="M116" s="793">
        <f t="shared" si="45"/>
        <v>63744</v>
      </c>
      <c r="N116" s="793">
        <f t="shared" si="45"/>
        <v>0</v>
      </c>
      <c r="O116" s="793">
        <f t="shared" si="45"/>
        <v>63744</v>
      </c>
    </row>
    <row r="117" spans="1:16" ht="17.25" thickTop="1" thickBot="1" x14ac:dyDescent="0.3">
      <c r="A117" s="791"/>
      <c r="B117" s="792" t="s">
        <v>377</v>
      </c>
      <c r="C117" s="793">
        <f t="shared" ref="C117:O117" si="46">+C102+C110+C111+C113+C112+C114</f>
        <v>1235</v>
      </c>
      <c r="D117" s="793">
        <f t="shared" si="46"/>
        <v>269</v>
      </c>
      <c r="E117" s="793">
        <f t="shared" si="46"/>
        <v>120</v>
      </c>
      <c r="F117" s="793">
        <f t="shared" si="46"/>
        <v>0</v>
      </c>
      <c r="G117" s="793">
        <f t="shared" si="46"/>
        <v>0</v>
      </c>
      <c r="H117" s="793">
        <f t="shared" si="46"/>
        <v>1624</v>
      </c>
      <c r="I117" s="793">
        <f t="shared" si="46"/>
        <v>0</v>
      </c>
      <c r="J117" s="793">
        <f t="shared" si="46"/>
        <v>0</v>
      </c>
      <c r="K117" s="793">
        <f t="shared" si="46"/>
        <v>0</v>
      </c>
      <c r="L117" s="793">
        <f t="shared" si="46"/>
        <v>0</v>
      </c>
      <c r="M117" s="793">
        <f t="shared" si="46"/>
        <v>1624</v>
      </c>
      <c r="N117" s="793">
        <f t="shared" si="46"/>
        <v>0</v>
      </c>
      <c r="O117" s="793">
        <f t="shared" si="46"/>
        <v>1624</v>
      </c>
    </row>
    <row r="118" spans="1:16" ht="16.5" thickTop="1" x14ac:dyDescent="0.25">
      <c r="A118" s="771"/>
      <c r="B118" s="772" t="s">
        <v>790</v>
      </c>
      <c r="C118" s="773"/>
      <c r="D118" s="774"/>
      <c r="E118" s="774"/>
      <c r="F118" s="790"/>
      <c r="G118" s="774"/>
      <c r="H118" s="776"/>
      <c r="I118" s="777"/>
      <c r="J118" s="775"/>
      <c r="K118" s="775"/>
      <c r="L118" s="776"/>
      <c r="M118" s="776"/>
      <c r="N118" s="776"/>
      <c r="O118" s="776"/>
    </row>
    <row r="119" spans="1:16" x14ac:dyDescent="0.25">
      <c r="A119" s="771" t="s">
        <v>150</v>
      </c>
      <c r="B119" s="724" t="s">
        <v>347</v>
      </c>
      <c r="C119" s="773">
        <f>SUM(C120:C121)</f>
        <v>104908</v>
      </c>
      <c r="D119" s="773">
        <f>SUM(D120:D121)</f>
        <v>19358</v>
      </c>
      <c r="E119" s="773">
        <f>SUM(E120:E121)</f>
        <v>16677</v>
      </c>
      <c r="F119" s="775"/>
      <c r="G119" s="774"/>
      <c r="H119" s="776">
        <f>SUM(C119:G119)</f>
        <v>140943</v>
      </c>
      <c r="I119" s="777"/>
      <c r="J119" s="775"/>
      <c r="K119" s="775"/>
      <c r="L119" s="776">
        <f>SUM(I119:K119)</f>
        <v>0</v>
      </c>
      <c r="M119" s="778">
        <f>SUM(H119+L119)</f>
        <v>140943</v>
      </c>
      <c r="N119" s="778"/>
      <c r="O119" s="778">
        <f>SUM(M119+N119)</f>
        <v>140943</v>
      </c>
    </row>
    <row r="120" spans="1:16" s="788" customFormat="1" x14ac:dyDescent="0.25">
      <c r="A120" s="779"/>
      <c r="B120" s="780" t="s">
        <v>381</v>
      </c>
      <c r="C120" s="781">
        <v>103877</v>
      </c>
      <c r="D120" s="782">
        <v>19023</v>
      </c>
      <c r="E120" s="782">
        <v>16677</v>
      </c>
      <c r="F120" s="783"/>
      <c r="G120" s="782"/>
      <c r="H120" s="784">
        <f>SUM(C120:G120)</f>
        <v>139577</v>
      </c>
      <c r="I120" s="794"/>
      <c r="J120" s="783"/>
      <c r="K120" s="783"/>
      <c r="L120" s="784">
        <f>SUM(I120:K120)</f>
        <v>0</v>
      </c>
      <c r="M120" s="787">
        <f>SUM(H120+L120)</f>
        <v>139577</v>
      </c>
      <c r="N120" s="787"/>
      <c r="O120" s="787">
        <f>SUM(M120+N120)</f>
        <v>139577</v>
      </c>
    </row>
    <row r="121" spans="1:16" s="788" customFormat="1" x14ac:dyDescent="0.25">
      <c r="A121" s="779"/>
      <c r="B121" s="780" t="s">
        <v>380</v>
      </c>
      <c r="C121" s="781">
        <v>1031</v>
      </c>
      <c r="D121" s="782">
        <v>335</v>
      </c>
      <c r="E121" s="782"/>
      <c r="F121" s="783"/>
      <c r="G121" s="782"/>
      <c r="H121" s="784">
        <f>SUM(C121:G121)</f>
        <v>1366</v>
      </c>
      <c r="I121" s="794"/>
      <c r="J121" s="783"/>
      <c r="K121" s="783"/>
      <c r="L121" s="784">
        <f>SUM(I121:K121)</f>
        <v>0</v>
      </c>
      <c r="M121" s="787">
        <f>SUM(H121+L121)</f>
        <v>1366</v>
      </c>
      <c r="N121" s="787"/>
      <c r="O121" s="787">
        <f>SUM(M121+N121)</f>
        <v>1366</v>
      </c>
    </row>
    <row r="122" spans="1:16" s="788" customFormat="1" x14ac:dyDescent="0.25">
      <c r="A122" s="779"/>
      <c r="B122" s="780" t="s">
        <v>131</v>
      </c>
      <c r="C122" s="781"/>
      <c r="D122" s="782"/>
      <c r="E122" s="782"/>
      <c r="F122" s="783"/>
      <c r="G122" s="782"/>
      <c r="H122" s="784"/>
      <c r="I122" s="794"/>
      <c r="J122" s="783"/>
      <c r="K122" s="783"/>
      <c r="L122" s="784"/>
      <c r="M122" s="787"/>
      <c r="N122" s="787"/>
      <c r="O122" s="787"/>
    </row>
    <row r="123" spans="1:16" ht="31.5" x14ac:dyDescent="0.25">
      <c r="A123" s="809"/>
      <c r="B123" s="724" t="s">
        <v>1325</v>
      </c>
      <c r="C123" s="810">
        <v>595</v>
      </c>
      <c r="D123" s="811">
        <v>97</v>
      </c>
      <c r="E123" s="811"/>
      <c r="F123" s="812"/>
      <c r="G123" s="811"/>
      <c r="H123" s="797">
        <f t="shared" ref="H123:H129" si="47">SUM(C123:G123)</f>
        <v>692</v>
      </c>
      <c r="I123" s="815"/>
      <c r="J123" s="812"/>
      <c r="K123" s="812"/>
      <c r="L123" s="797">
        <f t="shared" ref="L123:L129" si="48">SUM(I123:K123)</f>
        <v>0</v>
      </c>
      <c r="M123" s="798">
        <f t="shared" ref="M123:M129" si="49">SUM(H123+L123)</f>
        <v>692</v>
      </c>
      <c r="N123" s="798"/>
      <c r="O123" s="798">
        <f t="shared" ref="O123:O129" si="50">SUM(M123+N123)</f>
        <v>692</v>
      </c>
    </row>
    <row r="124" spans="1:16" ht="31.5" x14ac:dyDescent="0.25">
      <c r="A124" s="809"/>
      <c r="B124" s="724" t="s">
        <v>1331</v>
      </c>
      <c r="C124" s="810">
        <v>1011</v>
      </c>
      <c r="D124" s="811">
        <v>161</v>
      </c>
      <c r="E124" s="811"/>
      <c r="F124" s="812"/>
      <c r="G124" s="811"/>
      <c r="H124" s="797">
        <f t="shared" si="47"/>
        <v>1172</v>
      </c>
      <c r="I124" s="815"/>
      <c r="J124" s="812"/>
      <c r="K124" s="812"/>
      <c r="L124" s="797">
        <f t="shared" si="48"/>
        <v>0</v>
      </c>
      <c r="M124" s="798">
        <f t="shared" si="49"/>
        <v>1172</v>
      </c>
      <c r="N124" s="798"/>
      <c r="O124" s="798">
        <f t="shared" si="50"/>
        <v>1172</v>
      </c>
    </row>
    <row r="125" spans="1:16" ht="63" x14ac:dyDescent="0.25">
      <c r="A125" s="809"/>
      <c r="B125" s="724" t="s">
        <v>1326</v>
      </c>
      <c r="C125" s="810">
        <v>454</v>
      </c>
      <c r="D125" s="811">
        <v>75</v>
      </c>
      <c r="E125" s="811"/>
      <c r="F125" s="812"/>
      <c r="G125" s="811"/>
      <c r="H125" s="797">
        <f t="shared" si="47"/>
        <v>529</v>
      </c>
      <c r="I125" s="815"/>
      <c r="J125" s="812"/>
      <c r="K125" s="812"/>
      <c r="L125" s="797">
        <f t="shared" si="48"/>
        <v>0</v>
      </c>
      <c r="M125" s="798">
        <f t="shared" si="49"/>
        <v>529</v>
      </c>
      <c r="N125" s="798"/>
      <c r="O125" s="798">
        <f t="shared" si="50"/>
        <v>529</v>
      </c>
    </row>
    <row r="126" spans="1:16" ht="31.5" x14ac:dyDescent="0.25">
      <c r="A126" s="809"/>
      <c r="B126" s="724" t="s">
        <v>565</v>
      </c>
      <c r="C126" s="810">
        <v>-605</v>
      </c>
      <c r="D126" s="811">
        <v>-95</v>
      </c>
      <c r="E126" s="811">
        <v>543</v>
      </c>
      <c r="F126" s="812"/>
      <c r="G126" s="811"/>
      <c r="H126" s="797">
        <f t="shared" si="47"/>
        <v>-157</v>
      </c>
      <c r="I126" s="815">
        <v>157</v>
      </c>
      <c r="J126" s="812"/>
      <c r="K126" s="812"/>
      <c r="L126" s="797">
        <f t="shared" si="48"/>
        <v>157</v>
      </c>
      <c r="M126" s="798">
        <f t="shared" si="49"/>
        <v>0</v>
      </c>
      <c r="N126" s="798"/>
      <c r="O126" s="798">
        <f t="shared" si="50"/>
        <v>0</v>
      </c>
    </row>
    <row r="127" spans="1:16" ht="63" x14ac:dyDescent="0.25">
      <c r="A127" s="850"/>
      <c r="B127" s="772" t="s">
        <v>1333</v>
      </c>
      <c r="C127" s="810">
        <v>636</v>
      </c>
      <c r="D127" s="811">
        <v>99</v>
      </c>
      <c r="E127" s="811"/>
      <c r="F127" s="812"/>
      <c r="G127" s="811"/>
      <c r="H127" s="797">
        <f t="shared" si="47"/>
        <v>735</v>
      </c>
      <c r="I127" s="815"/>
      <c r="J127" s="812"/>
      <c r="K127" s="812"/>
      <c r="L127" s="797">
        <f t="shared" si="48"/>
        <v>0</v>
      </c>
      <c r="M127" s="797">
        <f t="shared" si="49"/>
        <v>735</v>
      </c>
      <c r="N127" s="797"/>
      <c r="O127" s="797">
        <f t="shared" si="50"/>
        <v>735</v>
      </c>
    </row>
    <row r="128" spans="1:16" ht="31.5" x14ac:dyDescent="0.25">
      <c r="A128" s="850"/>
      <c r="B128" s="772" t="s">
        <v>1327</v>
      </c>
      <c r="C128" s="810">
        <v>450</v>
      </c>
      <c r="D128" s="811">
        <v>74</v>
      </c>
      <c r="E128" s="811"/>
      <c r="F128" s="812"/>
      <c r="G128" s="811"/>
      <c r="H128" s="797">
        <f t="shared" si="47"/>
        <v>524</v>
      </c>
      <c r="I128" s="815"/>
      <c r="J128" s="812"/>
      <c r="K128" s="812"/>
      <c r="L128" s="797">
        <f t="shared" si="48"/>
        <v>0</v>
      </c>
      <c r="M128" s="797">
        <f t="shared" si="49"/>
        <v>524</v>
      </c>
      <c r="N128" s="797"/>
      <c r="O128" s="797">
        <f t="shared" si="50"/>
        <v>524</v>
      </c>
    </row>
    <row r="129" spans="1:16" ht="31.5" x14ac:dyDescent="0.25">
      <c r="A129" s="850"/>
      <c r="B129" s="772" t="s">
        <v>961</v>
      </c>
      <c r="C129" s="810"/>
      <c r="D129" s="811"/>
      <c r="E129" s="811">
        <v>67</v>
      </c>
      <c r="F129" s="812"/>
      <c r="G129" s="811"/>
      <c r="H129" s="797">
        <f t="shared" si="47"/>
        <v>67</v>
      </c>
      <c r="I129" s="815"/>
      <c r="J129" s="812"/>
      <c r="K129" s="812"/>
      <c r="L129" s="797">
        <f t="shared" si="48"/>
        <v>0</v>
      </c>
      <c r="M129" s="797">
        <f t="shared" si="49"/>
        <v>67</v>
      </c>
      <c r="N129" s="797"/>
      <c r="O129" s="797">
        <f t="shared" si="50"/>
        <v>67</v>
      </c>
    </row>
    <row r="130" spans="1:16" s="788" customFormat="1" x14ac:dyDescent="0.25">
      <c r="A130" s="779"/>
      <c r="B130" s="780" t="s">
        <v>132</v>
      </c>
      <c r="C130" s="781"/>
      <c r="D130" s="782"/>
      <c r="E130" s="782"/>
      <c r="F130" s="783"/>
      <c r="G130" s="782"/>
      <c r="H130" s="784"/>
      <c r="I130" s="794"/>
      <c r="J130" s="783"/>
      <c r="K130" s="783"/>
      <c r="L130" s="784"/>
      <c r="M130" s="787"/>
      <c r="N130" s="787"/>
      <c r="O130" s="787"/>
    </row>
    <row r="131" spans="1:16" x14ac:dyDescent="0.25">
      <c r="A131" s="809"/>
      <c r="B131" s="724" t="s">
        <v>1330</v>
      </c>
      <c r="C131" s="810">
        <v>577</v>
      </c>
      <c r="D131" s="811">
        <v>86</v>
      </c>
      <c r="E131" s="811"/>
      <c r="F131" s="812"/>
      <c r="G131" s="811"/>
      <c r="H131" s="797">
        <f>SUM(C131:G131)</f>
        <v>663</v>
      </c>
      <c r="I131" s="815"/>
      <c r="J131" s="812"/>
      <c r="K131" s="812"/>
      <c r="L131" s="797">
        <f>SUM(I131:K131)</f>
        <v>0</v>
      </c>
      <c r="M131" s="798">
        <f>SUM(H131+L131)</f>
        <v>663</v>
      </c>
      <c r="N131" s="798"/>
      <c r="O131" s="798">
        <f>SUM(M131+N131)</f>
        <v>663</v>
      </c>
    </row>
    <row r="132" spans="1:16" ht="94.5" x14ac:dyDescent="0.25">
      <c r="A132" s="809"/>
      <c r="B132" s="724" t="s">
        <v>1332</v>
      </c>
      <c r="C132" s="810"/>
      <c r="D132" s="811"/>
      <c r="E132" s="811">
        <v>20</v>
      </c>
      <c r="F132" s="812"/>
      <c r="G132" s="811"/>
      <c r="H132" s="797">
        <f>SUM(C132:G132)</f>
        <v>20</v>
      </c>
      <c r="I132" s="815"/>
      <c r="J132" s="812"/>
      <c r="K132" s="812"/>
      <c r="L132" s="797">
        <f>SUM(I132:K132)</f>
        <v>0</v>
      </c>
      <c r="M132" s="798">
        <f>SUM(H132+L132)</f>
        <v>20</v>
      </c>
      <c r="N132" s="798"/>
      <c r="O132" s="798">
        <f>SUM(M132+N132)</f>
        <v>20</v>
      </c>
    </row>
    <row r="133" spans="1:16" ht="63" x14ac:dyDescent="0.25">
      <c r="A133" s="809"/>
      <c r="B133" s="724" t="s">
        <v>1335</v>
      </c>
      <c r="C133" s="810">
        <v>318</v>
      </c>
      <c r="D133" s="811">
        <v>49</v>
      </c>
      <c r="E133" s="811"/>
      <c r="F133" s="812"/>
      <c r="G133" s="811"/>
      <c r="H133" s="797">
        <f>SUM(C133:G133)</f>
        <v>367</v>
      </c>
      <c r="I133" s="815"/>
      <c r="J133" s="812"/>
      <c r="K133" s="812"/>
      <c r="L133" s="797">
        <f>SUM(I133:K133)</f>
        <v>0</v>
      </c>
      <c r="M133" s="798">
        <f>SUM(H133+L133)</f>
        <v>367</v>
      </c>
      <c r="N133" s="798"/>
      <c r="O133" s="798">
        <f>SUM(M133+N133)</f>
        <v>367</v>
      </c>
    </row>
    <row r="134" spans="1:16" ht="95.25" thickBot="1" x14ac:dyDescent="0.3">
      <c r="A134" s="809"/>
      <c r="B134" s="724" t="s">
        <v>1336</v>
      </c>
      <c r="C134" s="810">
        <v>907</v>
      </c>
      <c r="D134" s="811">
        <v>136</v>
      </c>
      <c r="E134" s="811"/>
      <c r="F134" s="812"/>
      <c r="G134" s="811"/>
      <c r="H134" s="797">
        <f>SUM(C134:G134)</f>
        <v>1043</v>
      </c>
      <c r="I134" s="815"/>
      <c r="J134" s="812"/>
      <c r="K134" s="812"/>
      <c r="L134" s="797">
        <f>SUM(I134:K134)</f>
        <v>0</v>
      </c>
      <c r="M134" s="798">
        <f>SUM(H134+L134)</f>
        <v>1043</v>
      </c>
      <c r="N134" s="798"/>
      <c r="O134" s="798">
        <f>SUM(M134+N134)</f>
        <v>1043</v>
      </c>
    </row>
    <row r="135" spans="1:16" ht="17.25" thickTop="1" thickBot="1" x14ac:dyDescent="0.3">
      <c r="A135" s="791"/>
      <c r="B135" s="792" t="s">
        <v>379</v>
      </c>
      <c r="C135" s="793">
        <f>+C119+C123+C131+C124+C125+C126+C127+C128+C129+C132+C133+C134</f>
        <v>109251</v>
      </c>
      <c r="D135" s="793">
        <f t="shared" ref="D135:O135" si="51">+D119+D123+D131+D124+D125+D126+D127+D128+D129+D132+D133+D134</f>
        <v>20040</v>
      </c>
      <c r="E135" s="793">
        <f t="shared" si="51"/>
        <v>17307</v>
      </c>
      <c r="F135" s="793">
        <f t="shared" si="51"/>
        <v>0</v>
      </c>
      <c r="G135" s="793">
        <f t="shared" si="51"/>
        <v>0</v>
      </c>
      <c r="H135" s="793">
        <f t="shared" si="51"/>
        <v>146598</v>
      </c>
      <c r="I135" s="793">
        <f t="shared" si="51"/>
        <v>157</v>
      </c>
      <c r="J135" s="793">
        <f t="shared" si="51"/>
        <v>0</v>
      </c>
      <c r="K135" s="793">
        <f t="shared" si="51"/>
        <v>0</v>
      </c>
      <c r="L135" s="793">
        <f t="shared" si="51"/>
        <v>157</v>
      </c>
      <c r="M135" s="793">
        <f t="shared" si="51"/>
        <v>146755</v>
      </c>
      <c r="N135" s="793">
        <f t="shared" si="51"/>
        <v>0</v>
      </c>
      <c r="O135" s="793">
        <f t="shared" si="51"/>
        <v>146755</v>
      </c>
      <c r="P135" s="698">
        <f>O136+O137</f>
        <v>146755</v>
      </c>
    </row>
    <row r="136" spans="1:16" ht="17.25" thickTop="1" thickBot="1" x14ac:dyDescent="0.3">
      <c r="A136" s="791"/>
      <c r="B136" s="792" t="s">
        <v>378</v>
      </c>
      <c r="C136" s="793">
        <f>+C120+C123+C124+C125+C126+C127+C128+C129</f>
        <v>106418</v>
      </c>
      <c r="D136" s="793">
        <f t="shared" ref="D136:O136" si="52">+D120+D123+D124+D125+D126+D127+D128+D129</f>
        <v>19434</v>
      </c>
      <c r="E136" s="793">
        <f t="shared" si="52"/>
        <v>17287</v>
      </c>
      <c r="F136" s="793">
        <f t="shared" si="52"/>
        <v>0</v>
      </c>
      <c r="G136" s="793">
        <f t="shared" si="52"/>
        <v>0</v>
      </c>
      <c r="H136" s="793">
        <f t="shared" si="52"/>
        <v>143139</v>
      </c>
      <c r="I136" s="793">
        <f t="shared" si="52"/>
        <v>157</v>
      </c>
      <c r="J136" s="793">
        <f t="shared" si="52"/>
        <v>0</v>
      </c>
      <c r="K136" s="793">
        <f t="shared" si="52"/>
        <v>0</v>
      </c>
      <c r="L136" s="793">
        <f t="shared" si="52"/>
        <v>157</v>
      </c>
      <c r="M136" s="793">
        <f t="shared" si="52"/>
        <v>143296</v>
      </c>
      <c r="N136" s="793">
        <f t="shared" si="52"/>
        <v>0</v>
      </c>
      <c r="O136" s="793">
        <f t="shared" si="52"/>
        <v>143296</v>
      </c>
    </row>
    <row r="137" spans="1:16" ht="17.25" thickTop="1" thickBot="1" x14ac:dyDescent="0.3">
      <c r="A137" s="791"/>
      <c r="B137" s="792" t="s">
        <v>377</v>
      </c>
      <c r="C137" s="793">
        <f t="shared" ref="C137:O137" si="53">+C121+C131+C132+C133+C134</f>
        <v>2833</v>
      </c>
      <c r="D137" s="793">
        <f t="shared" si="53"/>
        <v>606</v>
      </c>
      <c r="E137" s="793">
        <f t="shared" si="53"/>
        <v>20</v>
      </c>
      <c r="F137" s="793">
        <f t="shared" si="53"/>
        <v>0</v>
      </c>
      <c r="G137" s="793">
        <f t="shared" si="53"/>
        <v>0</v>
      </c>
      <c r="H137" s="793">
        <f t="shared" si="53"/>
        <v>3459</v>
      </c>
      <c r="I137" s="793">
        <f t="shared" si="53"/>
        <v>0</v>
      </c>
      <c r="J137" s="793">
        <f t="shared" si="53"/>
        <v>0</v>
      </c>
      <c r="K137" s="793">
        <f t="shared" si="53"/>
        <v>0</v>
      </c>
      <c r="L137" s="793">
        <f t="shared" si="53"/>
        <v>0</v>
      </c>
      <c r="M137" s="793">
        <f t="shared" si="53"/>
        <v>3459</v>
      </c>
      <c r="N137" s="793">
        <f t="shared" si="53"/>
        <v>0</v>
      </c>
      <c r="O137" s="793">
        <f t="shared" si="53"/>
        <v>3459</v>
      </c>
    </row>
    <row r="138" spans="1:16" ht="16.5" thickTop="1" x14ac:dyDescent="0.25">
      <c r="A138" s="771" t="s">
        <v>151</v>
      </c>
      <c r="B138" s="772" t="s">
        <v>791</v>
      </c>
      <c r="C138" s="773"/>
      <c r="D138" s="774"/>
      <c r="E138" s="774"/>
      <c r="F138" s="790"/>
      <c r="G138" s="774"/>
      <c r="H138" s="776"/>
      <c r="I138" s="777"/>
      <c r="J138" s="775"/>
      <c r="K138" s="775"/>
      <c r="L138" s="776"/>
      <c r="M138" s="776"/>
      <c r="N138" s="776"/>
      <c r="O138" s="776"/>
    </row>
    <row r="139" spans="1:16" x14ac:dyDescent="0.25">
      <c r="A139" s="771"/>
      <c r="B139" s="724" t="s">
        <v>347</v>
      </c>
      <c r="C139" s="773">
        <f>SUM(C140:C141)</f>
        <v>82326</v>
      </c>
      <c r="D139" s="773">
        <f>SUM(D140:D141)</f>
        <v>13932</v>
      </c>
      <c r="E139" s="773">
        <f>SUM(E140:E141)</f>
        <v>13354</v>
      </c>
      <c r="F139" s="775"/>
      <c r="G139" s="774"/>
      <c r="H139" s="776">
        <f>SUM(C139:G139)</f>
        <v>109612</v>
      </c>
      <c r="I139" s="777"/>
      <c r="J139" s="775"/>
      <c r="K139" s="775"/>
      <c r="L139" s="776">
        <f>SUM(I139:K139)</f>
        <v>0</v>
      </c>
      <c r="M139" s="778">
        <f>SUM(H139+L139)</f>
        <v>109612</v>
      </c>
      <c r="N139" s="778"/>
      <c r="O139" s="778">
        <f>SUM(M139+N139)</f>
        <v>109612</v>
      </c>
    </row>
    <row r="140" spans="1:16" s="788" customFormat="1" x14ac:dyDescent="0.25">
      <c r="A140" s="779"/>
      <c r="B140" s="780" t="s">
        <v>381</v>
      </c>
      <c r="C140" s="781">
        <v>81447</v>
      </c>
      <c r="D140" s="782">
        <v>13646</v>
      </c>
      <c r="E140" s="782">
        <v>13354</v>
      </c>
      <c r="F140" s="783"/>
      <c r="G140" s="782"/>
      <c r="H140" s="784">
        <f>SUM(C140:G140)</f>
        <v>108447</v>
      </c>
      <c r="I140" s="794"/>
      <c r="J140" s="783"/>
      <c r="K140" s="783"/>
      <c r="L140" s="784">
        <f>SUM(I140:K140)</f>
        <v>0</v>
      </c>
      <c r="M140" s="787">
        <f>SUM(H140+L140)</f>
        <v>108447</v>
      </c>
      <c r="N140" s="787"/>
      <c r="O140" s="787">
        <f>SUM(M140+N140)</f>
        <v>108447</v>
      </c>
    </row>
    <row r="141" spans="1:16" s="788" customFormat="1" x14ac:dyDescent="0.25">
      <c r="A141" s="779"/>
      <c r="B141" s="780" t="s">
        <v>380</v>
      </c>
      <c r="C141" s="781">
        <v>879</v>
      </c>
      <c r="D141" s="782">
        <v>286</v>
      </c>
      <c r="E141" s="782"/>
      <c r="F141" s="783"/>
      <c r="G141" s="782"/>
      <c r="H141" s="784">
        <f>SUM(C141:G141)</f>
        <v>1165</v>
      </c>
      <c r="I141" s="794"/>
      <c r="J141" s="783"/>
      <c r="K141" s="783"/>
      <c r="L141" s="784">
        <f>SUM(I141:K141)</f>
        <v>0</v>
      </c>
      <c r="M141" s="787">
        <f>SUM(H141+L141)</f>
        <v>1165</v>
      </c>
      <c r="N141" s="787"/>
      <c r="O141" s="787">
        <f>SUM(M141+N141)</f>
        <v>1165</v>
      </c>
    </row>
    <row r="142" spans="1:16" s="788" customFormat="1" x14ac:dyDescent="0.25">
      <c r="A142" s="779"/>
      <c r="B142" s="780" t="s">
        <v>131</v>
      </c>
      <c r="C142" s="781"/>
      <c r="D142" s="782"/>
      <c r="E142" s="782"/>
      <c r="F142" s="783"/>
      <c r="G142" s="782"/>
      <c r="H142" s="784"/>
      <c r="I142" s="794"/>
      <c r="J142" s="783"/>
      <c r="K142" s="783"/>
      <c r="L142" s="784"/>
      <c r="M142" s="787"/>
      <c r="N142" s="787"/>
      <c r="O142" s="787"/>
    </row>
    <row r="143" spans="1:16" s="788" customFormat="1" ht="31.5" x14ac:dyDescent="0.25">
      <c r="A143" s="779"/>
      <c r="B143" s="724" t="s">
        <v>1325</v>
      </c>
      <c r="C143" s="810">
        <v>87</v>
      </c>
      <c r="D143" s="811">
        <v>14</v>
      </c>
      <c r="E143" s="811"/>
      <c r="F143" s="783"/>
      <c r="G143" s="782"/>
      <c r="H143" s="797">
        <f t="shared" ref="H143:H147" si="54">SUM(C143:G143)</f>
        <v>101</v>
      </c>
      <c r="I143" s="794"/>
      <c r="J143" s="783"/>
      <c r="K143" s="783"/>
      <c r="L143" s="797">
        <f t="shared" ref="L143:L147" si="55">SUM(I143:K143)</f>
        <v>0</v>
      </c>
      <c r="M143" s="798">
        <f t="shared" ref="M143:M147" si="56">SUM(H143+L143)</f>
        <v>101</v>
      </c>
      <c r="N143" s="787"/>
      <c r="O143" s="798">
        <f t="shared" ref="O143:O147" si="57">SUM(M143+N143)</f>
        <v>101</v>
      </c>
    </row>
    <row r="144" spans="1:16" s="788" customFormat="1" ht="31.5" x14ac:dyDescent="0.25">
      <c r="A144" s="779"/>
      <c r="B144" s="724" t="s">
        <v>1331</v>
      </c>
      <c r="C144" s="810">
        <v>1320</v>
      </c>
      <c r="D144" s="811">
        <v>210</v>
      </c>
      <c r="E144" s="811"/>
      <c r="F144" s="783"/>
      <c r="G144" s="782"/>
      <c r="H144" s="797">
        <f t="shared" si="54"/>
        <v>1530</v>
      </c>
      <c r="I144" s="794"/>
      <c r="J144" s="783"/>
      <c r="K144" s="783"/>
      <c r="L144" s="797">
        <f t="shared" si="55"/>
        <v>0</v>
      </c>
      <c r="M144" s="798">
        <f t="shared" si="56"/>
        <v>1530</v>
      </c>
      <c r="N144" s="787"/>
      <c r="O144" s="798">
        <f t="shared" si="57"/>
        <v>1530</v>
      </c>
    </row>
    <row r="145" spans="1:16" s="788" customFormat="1" ht="31.5" x14ac:dyDescent="0.25">
      <c r="A145" s="779"/>
      <c r="B145" s="724" t="s">
        <v>565</v>
      </c>
      <c r="C145" s="810">
        <v>-561</v>
      </c>
      <c r="D145" s="811">
        <v>-88</v>
      </c>
      <c r="E145" s="811">
        <v>649</v>
      </c>
      <c r="F145" s="783"/>
      <c r="G145" s="782"/>
      <c r="H145" s="797">
        <f t="shared" si="54"/>
        <v>0</v>
      </c>
      <c r="I145" s="794"/>
      <c r="J145" s="783"/>
      <c r="K145" s="783"/>
      <c r="L145" s="797">
        <f t="shared" si="55"/>
        <v>0</v>
      </c>
      <c r="M145" s="798">
        <f t="shared" si="56"/>
        <v>0</v>
      </c>
      <c r="N145" s="787"/>
      <c r="O145" s="798">
        <f t="shared" si="57"/>
        <v>0</v>
      </c>
    </row>
    <row r="146" spans="1:16" s="788" customFormat="1" ht="63" x14ac:dyDescent="0.25">
      <c r="A146" s="779"/>
      <c r="B146" s="724" t="s">
        <v>1333</v>
      </c>
      <c r="C146" s="810">
        <v>336</v>
      </c>
      <c r="D146" s="811">
        <v>52</v>
      </c>
      <c r="E146" s="811"/>
      <c r="F146" s="783"/>
      <c r="G146" s="782"/>
      <c r="H146" s="797">
        <f t="shared" si="54"/>
        <v>388</v>
      </c>
      <c r="I146" s="794"/>
      <c r="J146" s="783"/>
      <c r="K146" s="783"/>
      <c r="L146" s="797">
        <f t="shared" si="55"/>
        <v>0</v>
      </c>
      <c r="M146" s="798">
        <f t="shared" si="56"/>
        <v>388</v>
      </c>
      <c r="N146" s="787"/>
      <c r="O146" s="798">
        <f t="shared" si="57"/>
        <v>388</v>
      </c>
    </row>
    <row r="147" spans="1:16" s="788" customFormat="1" ht="31.5" x14ac:dyDescent="0.25">
      <c r="A147" s="816"/>
      <c r="B147" s="724" t="s">
        <v>961</v>
      </c>
      <c r="C147" s="810"/>
      <c r="D147" s="811"/>
      <c r="E147" s="811">
        <v>308</v>
      </c>
      <c r="F147" s="783"/>
      <c r="G147" s="782"/>
      <c r="H147" s="797">
        <f t="shared" si="54"/>
        <v>308</v>
      </c>
      <c r="I147" s="794"/>
      <c r="J147" s="783"/>
      <c r="K147" s="783"/>
      <c r="L147" s="797">
        <f t="shared" si="55"/>
        <v>0</v>
      </c>
      <c r="M147" s="797">
        <f t="shared" si="56"/>
        <v>308</v>
      </c>
      <c r="N147" s="784"/>
      <c r="O147" s="797">
        <f t="shared" si="57"/>
        <v>308</v>
      </c>
    </row>
    <row r="148" spans="1:16" s="788" customFormat="1" x14ac:dyDescent="0.25">
      <c r="A148" s="779"/>
      <c r="B148" s="780" t="s">
        <v>132</v>
      </c>
      <c r="C148" s="810"/>
      <c r="D148" s="811"/>
      <c r="E148" s="811"/>
      <c r="F148" s="783"/>
      <c r="G148" s="782"/>
      <c r="H148" s="797"/>
      <c r="I148" s="794"/>
      <c r="J148" s="783"/>
      <c r="K148" s="783"/>
      <c r="L148" s="797"/>
      <c r="M148" s="798"/>
      <c r="N148" s="787"/>
      <c r="O148" s="798"/>
    </row>
    <row r="149" spans="1:16" s="788" customFormat="1" x14ac:dyDescent="0.25">
      <c r="A149" s="779"/>
      <c r="B149" s="724" t="s">
        <v>1330</v>
      </c>
      <c r="C149" s="810">
        <v>494</v>
      </c>
      <c r="D149" s="811">
        <v>74</v>
      </c>
      <c r="E149" s="811"/>
      <c r="F149" s="783"/>
      <c r="G149" s="782"/>
      <c r="H149" s="797">
        <f>SUM(C149:G149)</f>
        <v>568</v>
      </c>
      <c r="I149" s="794"/>
      <c r="J149" s="783"/>
      <c r="K149" s="783"/>
      <c r="L149" s="797">
        <f>SUM(I149:K149)</f>
        <v>0</v>
      </c>
      <c r="M149" s="798">
        <f>SUM(H149+L149)</f>
        <v>568</v>
      </c>
      <c r="N149" s="787"/>
      <c r="O149" s="798">
        <f>SUM(M149+N149)</f>
        <v>568</v>
      </c>
    </row>
    <row r="150" spans="1:16" s="788" customFormat="1" ht="94.5" x14ac:dyDescent="0.25">
      <c r="A150" s="816"/>
      <c r="B150" s="772" t="s">
        <v>1332</v>
      </c>
      <c r="C150" s="810"/>
      <c r="D150" s="811"/>
      <c r="E150" s="811">
        <v>20</v>
      </c>
      <c r="F150" s="783"/>
      <c r="G150" s="782"/>
      <c r="H150" s="797">
        <f>SUM(C150:G150)</f>
        <v>20</v>
      </c>
      <c r="I150" s="794"/>
      <c r="J150" s="783"/>
      <c r="K150" s="783"/>
      <c r="L150" s="797">
        <f>SUM(I150:K150)</f>
        <v>0</v>
      </c>
      <c r="M150" s="797">
        <f>SUM(H150+L150)</f>
        <v>20</v>
      </c>
      <c r="N150" s="784"/>
      <c r="O150" s="797">
        <f>SUM(M150+N150)</f>
        <v>20</v>
      </c>
    </row>
    <row r="151" spans="1:16" s="788" customFormat="1" ht="63" x14ac:dyDescent="0.25">
      <c r="A151" s="816"/>
      <c r="B151" s="772" t="s">
        <v>1335</v>
      </c>
      <c r="C151" s="810">
        <v>168</v>
      </c>
      <c r="D151" s="811">
        <v>26</v>
      </c>
      <c r="E151" s="811"/>
      <c r="F151" s="783"/>
      <c r="G151" s="782"/>
      <c r="H151" s="797">
        <f>SUM(C151:G151)</f>
        <v>194</v>
      </c>
      <c r="I151" s="794"/>
      <c r="J151" s="783"/>
      <c r="K151" s="783"/>
      <c r="L151" s="797">
        <f>SUM(I151:K151)</f>
        <v>0</v>
      </c>
      <c r="M151" s="797">
        <f>SUM(H151+L151)</f>
        <v>194</v>
      </c>
      <c r="N151" s="784"/>
      <c r="O151" s="797">
        <f>SUM(M151+N151)</f>
        <v>194</v>
      </c>
    </row>
    <row r="152" spans="1:16" s="788" customFormat="1" ht="95.25" thickBot="1" x14ac:dyDescent="0.3">
      <c r="A152" s="779"/>
      <c r="B152" s="724" t="s">
        <v>1336</v>
      </c>
      <c r="C152" s="810">
        <v>744</v>
      </c>
      <c r="D152" s="811">
        <v>112</v>
      </c>
      <c r="E152" s="811"/>
      <c r="F152" s="783"/>
      <c r="G152" s="782"/>
      <c r="H152" s="797">
        <f>SUM(C152:G152)</f>
        <v>856</v>
      </c>
      <c r="I152" s="794"/>
      <c r="J152" s="783"/>
      <c r="K152" s="783"/>
      <c r="L152" s="797">
        <f>SUM(I152:K152)</f>
        <v>0</v>
      </c>
      <c r="M152" s="798">
        <f>SUM(H152+L152)</f>
        <v>856</v>
      </c>
      <c r="N152" s="787"/>
      <c r="O152" s="798">
        <f>SUM(M152+N152)</f>
        <v>856</v>
      </c>
    </row>
    <row r="153" spans="1:16" ht="17.25" thickTop="1" thickBot="1" x14ac:dyDescent="0.3">
      <c r="A153" s="791"/>
      <c r="B153" s="792" t="s">
        <v>379</v>
      </c>
      <c r="C153" s="793">
        <f>+C139+C143+C149+C144+C145+C146+C147+C150+C151+C152</f>
        <v>84914</v>
      </c>
      <c r="D153" s="793">
        <f t="shared" ref="D153:O153" si="58">+D139+D143+D149+D144+D145+D146+D147+D150+D151+D152</f>
        <v>14332</v>
      </c>
      <c r="E153" s="793">
        <f t="shared" si="58"/>
        <v>14331</v>
      </c>
      <c r="F153" s="793">
        <f t="shared" si="58"/>
        <v>0</v>
      </c>
      <c r="G153" s="793">
        <f t="shared" si="58"/>
        <v>0</v>
      </c>
      <c r="H153" s="793">
        <f t="shared" si="58"/>
        <v>113577</v>
      </c>
      <c r="I153" s="793">
        <f t="shared" si="58"/>
        <v>0</v>
      </c>
      <c r="J153" s="793">
        <f t="shared" si="58"/>
        <v>0</v>
      </c>
      <c r="K153" s="793">
        <f t="shared" si="58"/>
        <v>0</v>
      </c>
      <c r="L153" s="793">
        <f t="shared" si="58"/>
        <v>0</v>
      </c>
      <c r="M153" s="793">
        <f t="shared" si="58"/>
        <v>113577</v>
      </c>
      <c r="N153" s="793">
        <f t="shared" si="58"/>
        <v>0</v>
      </c>
      <c r="O153" s="793">
        <f t="shared" si="58"/>
        <v>113577</v>
      </c>
      <c r="P153" s="698">
        <f>O154+O155</f>
        <v>113577</v>
      </c>
    </row>
    <row r="154" spans="1:16" ht="17.25" thickTop="1" thickBot="1" x14ac:dyDescent="0.3">
      <c r="A154" s="791"/>
      <c r="B154" s="792" t="s">
        <v>378</v>
      </c>
      <c r="C154" s="793">
        <f>+C140+C143+C144+C145+C146+C147</f>
        <v>82629</v>
      </c>
      <c r="D154" s="793">
        <f t="shared" ref="D154:O154" si="59">+D140+D143+D144+D145+D146+D147</f>
        <v>13834</v>
      </c>
      <c r="E154" s="793">
        <f t="shared" si="59"/>
        <v>14311</v>
      </c>
      <c r="F154" s="793">
        <f t="shared" si="59"/>
        <v>0</v>
      </c>
      <c r="G154" s="793">
        <f t="shared" si="59"/>
        <v>0</v>
      </c>
      <c r="H154" s="793">
        <f t="shared" si="59"/>
        <v>110774</v>
      </c>
      <c r="I154" s="793">
        <f t="shared" si="59"/>
        <v>0</v>
      </c>
      <c r="J154" s="793">
        <f t="shared" si="59"/>
        <v>0</v>
      </c>
      <c r="K154" s="793">
        <f t="shared" si="59"/>
        <v>0</v>
      </c>
      <c r="L154" s="793">
        <f t="shared" si="59"/>
        <v>0</v>
      </c>
      <c r="M154" s="793">
        <f t="shared" si="59"/>
        <v>110774</v>
      </c>
      <c r="N154" s="793">
        <f t="shared" si="59"/>
        <v>0</v>
      </c>
      <c r="O154" s="793">
        <f t="shared" si="59"/>
        <v>110774</v>
      </c>
    </row>
    <row r="155" spans="1:16" ht="17.25" thickTop="1" thickBot="1" x14ac:dyDescent="0.3">
      <c r="A155" s="791"/>
      <c r="B155" s="792" t="s">
        <v>377</v>
      </c>
      <c r="C155" s="793">
        <f t="shared" ref="C155:O155" si="60">+C141+C149+C150+C151+C152</f>
        <v>2285</v>
      </c>
      <c r="D155" s="793">
        <f t="shared" si="60"/>
        <v>498</v>
      </c>
      <c r="E155" s="793">
        <f t="shared" si="60"/>
        <v>20</v>
      </c>
      <c r="F155" s="793">
        <f t="shared" si="60"/>
        <v>0</v>
      </c>
      <c r="G155" s="793">
        <f t="shared" si="60"/>
        <v>0</v>
      </c>
      <c r="H155" s="793">
        <f t="shared" si="60"/>
        <v>2803</v>
      </c>
      <c r="I155" s="793">
        <f t="shared" si="60"/>
        <v>0</v>
      </c>
      <c r="J155" s="793">
        <f t="shared" si="60"/>
        <v>0</v>
      </c>
      <c r="K155" s="793">
        <f t="shared" si="60"/>
        <v>0</v>
      </c>
      <c r="L155" s="793">
        <f t="shared" si="60"/>
        <v>0</v>
      </c>
      <c r="M155" s="793">
        <f t="shared" si="60"/>
        <v>2803</v>
      </c>
      <c r="N155" s="793">
        <f t="shared" si="60"/>
        <v>0</v>
      </c>
      <c r="O155" s="793">
        <f t="shared" si="60"/>
        <v>2803</v>
      </c>
    </row>
    <row r="156" spans="1:16" ht="17.25" thickTop="1" thickBot="1" x14ac:dyDescent="0.3">
      <c r="A156" s="791"/>
      <c r="B156" s="792" t="s">
        <v>404</v>
      </c>
      <c r="C156" s="793">
        <f t="shared" ref="C156:O156" si="61">SUM(C57+C77+C96+C115+C135+C153)</f>
        <v>504301</v>
      </c>
      <c r="D156" s="793">
        <f t="shared" si="61"/>
        <v>85282</v>
      </c>
      <c r="E156" s="793">
        <f t="shared" si="61"/>
        <v>78989</v>
      </c>
      <c r="F156" s="793">
        <f t="shared" si="61"/>
        <v>0</v>
      </c>
      <c r="G156" s="793">
        <f t="shared" si="61"/>
        <v>0</v>
      </c>
      <c r="H156" s="793">
        <f t="shared" si="61"/>
        <v>668572</v>
      </c>
      <c r="I156" s="793">
        <f t="shared" si="61"/>
        <v>724</v>
      </c>
      <c r="J156" s="793">
        <f t="shared" si="61"/>
        <v>0</v>
      </c>
      <c r="K156" s="793">
        <f t="shared" si="61"/>
        <v>0</v>
      </c>
      <c r="L156" s="793">
        <f t="shared" si="61"/>
        <v>724</v>
      </c>
      <c r="M156" s="793">
        <f t="shared" si="61"/>
        <v>669296</v>
      </c>
      <c r="N156" s="793">
        <f t="shared" si="61"/>
        <v>0</v>
      </c>
      <c r="O156" s="793">
        <f t="shared" si="61"/>
        <v>669296</v>
      </c>
    </row>
    <row r="157" spans="1:16" ht="16.5" thickTop="1" x14ac:dyDescent="0.25">
      <c r="A157" s="771" t="s">
        <v>152</v>
      </c>
      <c r="B157" s="772" t="s">
        <v>403</v>
      </c>
      <c r="C157" s="773"/>
      <c r="D157" s="774"/>
      <c r="E157" s="774"/>
      <c r="F157" s="790"/>
      <c r="G157" s="774"/>
      <c r="H157" s="776"/>
      <c r="I157" s="777"/>
      <c r="J157" s="775"/>
      <c r="K157" s="775"/>
      <c r="L157" s="776"/>
      <c r="M157" s="776"/>
      <c r="N157" s="776"/>
      <c r="O157" s="776"/>
    </row>
    <row r="158" spans="1:16" x14ac:dyDescent="0.25">
      <c r="A158" s="771"/>
      <c r="B158" s="724" t="s">
        <v>347</v>
      </c>
      <c r="C158" s="773">
        <f>SUM(C159:C160)</f>
        <v>180939</v>
      </c>
      <c r="D158" s="773">
        <f>SUM(D159:D160)</f>
        <v>33637</v>
      </c>
      <c r="E158" s="773">
        <f>SUM(E159:E160)</f>
        <v>60759</v>
      </c>
      <c r="F158" s="773">
        <f t="shared" ref="F158" si="62">SUM(F159:F160)</f>
        <v>0</v>
      </c>
      <c r="G158" s="773">
        <f>SUM(G159:G160)</f>
        <v>0</v>
      </c>
      <c r="H158" s="773">
        <f t="shared" ref="H158:K158" si="63">SUM(H159:H160)</f>
        <v>275335</v>
      </c>
      <c r="I158" s="773">
        <f t="shared" si="63"/>
        <v>45</v>
      </c>
      <c r="J158" s="775">
        <f t="shared" si="63"/>
        <v>0</v>
      </c>
      <c r="K158" s="775">
        <f t="shared" si="63"/>
        <v>0</v>
      </c>
      <c r="L158" s="776">
        <f>SUM(I158:K158)</f>
        <v>45</v>
      </c>
      <c r="M158" s="778">
        <f>SUM(H158+L158)</f>
        <v>275380</v>
      </c>
      <c r="N158" s="778"/>
      <c r="O158" s="778">
        <f>SUM(M158+N158)</f>
        <v>275380</v>
      </c>
    </row>
    <row r="159" spans="1:16" x14ac:dyDescent="0.25">
      <c r="A159" s="771"/>
      <c r="B159" s="780" t="s">
        <v>381</v>
      </c>
      <c r="C159" s="781">
        <v>179148</v>
      </c>
      <c r="D159" s="782">
        <v>33055</v>
      </c>
      <c r="E159" s="782">
        <v>60659</v>
      </c>
      <c r="F159" s="783"/>
      <c r="G159" s="782"/>
      <c r="H159" s="784">
        <f>SUM(C159:G159)</f>
        <v>272862</v>
      </c>
      <c r="I159" s="794">
        <v>45</v>
      </c>
      <c r="J159" s="783"/>
      <c r="K159" s="783"/>
      <c r="L159" s="784">
        <f>SUM(I159:K159)</f>
        <v>45</v>
      </c>
      <c r="M159" s="787">
        <f>SUM(H159+L159)</f>
        <v>272907</v>
      </c>
      <c r="N159" s="787"/>
      <c r="O159" s="787">
        <f>SUM(M159+N159)</f>
        <v>272907</v>
      </c>
    </row>
    <row r="160" spans="1:16" x14ac:dyDescent="0.25">
      <c r="A160" s="771"/>
      <c r="B160" s="780" t="s">
        <v>380</v>
      </c>
      <c r="C160" s="781">
        <v>1791</v>
      </c>
      <c r="D160" s="782">
        <v>582</v>
      </c>
      <c r="E160" s="782">
        <v>100</v>
      </c>
      <c r="F160" s="783"/>
      <c r="G160" s="782"/>
      <c r="H160" s="784">
        <f>SUM(C160:G160)</f>
        <v>2473</v>
      </c>
      <c r="I160" s="794"/>
      <c r="J160" s="783"/>
      <c r="K160" s="783"/>
      <c r="L160" s="784">
        <f>SUM(I160:K160)</f>
        <v>0</v>
      </c>
      <c r="M160" s="787">
        <f>SUM(H160+L160)</f>
        <v>2473</v>
      </c>
      <c r="N160" s="787"/>
      <c r="O160" s="787">
        <f>SUM(M160+N160)</f>
        <v>2473</v>
      </c>
    </row>
    <row r="161" spans="1:16" x14ac:dyDescent="0.25">
      <c r="A161" s="771"/>
      <c r="B161" s="780" t="s">
        <v>131</v>
      </c>
      <c r="C161" s="781"/>
      <c r="D161" s="782"/>
      <c r="E161" s="782"/>
      <c r="F161" s="783"/>
      <c r="G161" s="782"/>
      <c r="H161" s="784"/>
      <c r="I161" s="794"/>
      <c r="J161" s="783"/>
      <c r="K161" s="783"/>
      <c r="L161" s="784"/>
      <c r="M161" s="787"/>
      <c r="N161" s="787"/>
      <c r="O161" s="787"/>
    </row>
    <row r="162" spans="1:16" ht="31.5" x14ac:dyDescent="0.25">
      <c r="A162" s="771"/>
      <c r="B162" s="724" t="s">
        <v>1325</v>
      </c>
      <c r="C162" s="810">
        <v>6</v>
      </c>
      <c r="D162" s="811">
        <v>1</v>
      </c>
      <c r="E162" s="811"/>
      <c r="F162" s="812"/>
      <c r="G162" s="782"/>
      <c r="H162" s="797">
        <f t="shared" ref="H162:H167" si="64">SUM(C162:G162)</f>
        <v>7</v>
      </c>
      <c r="I162" s="794"/>
      <c r="J162" s="783"/>
      <c r="K162" s="783"/>
      <c r="L162" s="797">
        <f t="shared" ref="L162:L167" si="65">SUM(I162:K162)</f>
        <v>0</v>
      </c>
      <c r="M162" s="798">
        <f t="shared" ref="M162:M167" si="66">SUM(H162+L162)</f>
        <v>7</v>
      </c>
      <c r="N162" s="787"/>
      <c r="O162" s="798">
        <f t="shared" ref="O162:O167" si="67">SUM(M162+N162)</f>
        <v>7</v>
      </c>
    </row>
    <row r="163" spans="1:16" ht="31.5" x14ac:dyDescent="0.25">
      <c r="A163" s="771"/>
      <c r="B163" s="724" t="s">
        <v>565</v>
      </c>
      <c r="C163" s="810"/>
      <c r="D163" s="811"/>
      <c r="E163" s="811">
        <v>-146</v>
      </c>
      <c r="F163" s="812"/>
      <c r="G163" s="782"/>
      <c r="H163" s="797">
        <f t="shared" si="64"/>
        <v>-146</v>
      </c>
      <c r="I163" s="815">
        <v>146</v>
      </c>
      <c r="J163" s="783"/>
      <c r="K163" s="783"/>
      <c r="L163" s="797">
        <f t="shared" si="65"/>
        <v>146</v>
      </c>
      <c r="M163" s="798">
        <f t="shared" si="66"/>
        <v>0</v>
      </c>
      <c r="N163" s="787"/>
      <c r="O163" s="798">
        <f t="shared" si="67"/>
        <v>0</v>
      </c>
    </row>
    <row r="164" spans="1:16" ht="63" x14ac:dyDescent="0.25">
      <c r="A164" s="771"/>
      <c r="B164" s="724" t="s">
        <v>1337</v>
      </c>
      <c r="C164" s="810">
        <v>5119</v>
      </c>
      <c r="D164" s="811">
        <v>793</v>
      </c>
      <c r="E164" s="811"/>
      <c r="F164" s="812"/>
      <c r="G164" s="782"/>
      <c r="H164" s="797">
        <f t="shared" si="64"/>
        <v>5912</v>
      </c>
      <c r="I164" s="794"/>
      <c r="J164" s="783"/>
      <c r="K164" s="783"/>
      <c r="L164" s="797">
        <f t="shared" si="65"/>
        <v>0</v>
      </c>
      <c r="M164" s="798">
        <f t="shared" si="66"/>
        <v>5912</v>
      </c>
      <c r="N164" s="787"/>
      <c r="O164" s="798">
        <f t="shared" si="67"/>
        <v>5912</v>
      </c>
    </row>
    <row r="165" spans="1:16" ht="31.5" x14ac:dyDescent="0.25">
      <c r="A165" s="771"/>
      <c r="B165" s="724" t="s">
        <v>1338</v>
      </c>
      <c r="C165" s="810">
        <v>1644</v>
      </c>
      <c r="D165" s="811">
        <v>255</v>
      </c>
      <c r="E165" s="811"/>
      <c r="F165" s="812"/>
      <c r="G165" s="782"/>
      <c r="H165" s="797">
        <f t="shared" si="64"/>
        <v>1899</v>
      </c>
      <c r="I165" s="794"/>
      <c r="J165" s="783"/>
      <c r="K165" s="783"/>
      <c r="L165" s="797">
        <f t="shared" si="65"/>
        <v>0</v>
      </c>
      <c r="M165" s="798">
        <f t="shared" si="66"/>
        <v>1899</v>
      </c>
      <c r="N165" s="787"/>
      <c r="O165" s="798">
        <f t="shared" si="67"/>
        <v>1899</v>
      </c>
    </row>
    <row r="166" spans="1:16" ht="31.5" x14ac:dyDescent="0.25">
      <c r="A166" s="771"/>
      <c r="B166" s="724" t="s">
        <v>961</v>
      </c>
      <c r="C166" s="810"/>
      <c r="D166" s="811"/>
      <c r="E166" s="811">
        <v>1502</v>
      </c>
      <c r="F166" s="812"/>
      <c r="G166" s="782"/>
      <c r="H166" s="797">
        <f t="shared" si="64"/>
        <v>1502</v>
      </c>
      <c r="I166" s="794"/>
      <c r="J166" s="783"/>
      <c r="K166" s="783"/>
      <c r="L166" s="797">
        <f t="shared" si="65"/>
        <v>0</v>
      </c>
      <c r="M166" s="798">
        <f t="shared" si="66"/>
        <v>1502</v>
      </c>
      <c r="N166" s="787"/>
      <c r="O166" s="798">
        <f t="shared" si="67"/>
        <v>1502</v>
      </c>
    </row>
    <row r="167" spans="1:16" ht="30" customHeight="1" x14ac:dyDescent="0.25">
      <c r="A167" s="771"/>
      <c r="B167" s="724" t="s">
        <v>1339</v>
      </c>
      <c r="C167" s="810"/>
      <c r="D167" s="811"/>
      <c r="E167" s="811">
        <v>-6031</v>
      </c>
      <c r="F167" s="812"/>
      <c r="G167" s="782"/>
      <c r="H167" s="797">
        <f t="shared" si="64"/>
        <v>-6031</v>
      </c>
      <c r="I167" s="815"/>
      <c r="J167" s="783"/>
      <c r="K167" s="783"/>
      <c r="L167" s="797">
        <f t="shared" si="65"/>
        <v>0</v>
      </c>
      <c r="M167" s="798">
        <f t="shared" si="66"/>
        <v>-6031</v>
      </c>
      <c r="N167" s="787"/>
      <c r="O167" s="798">
        <f t="shared" si="67"/>
        <v>-6031</v>
      </c>
    </row>
    <row r="168" spans="1:16" x14ac:dyDescent="0.25">
      <c r="A168" s="771"/>
      <c r="B168" s="780" t="s">
        <v>132</v>
      </c>
      <c r="C168" s="810"/>
      <c r="D168" s="811"/>
      <c r="E168" s="811"/>
      <c r="F168" s="812"/>
      <c r="G168" s="782"/>
      <c r="H168" s="797"/>
      <c r="I168" s="794"/>
      <c r="J168" s="783"/>
      <c r="K168" s="783"/>
      <c r="L168" s="797"/>
      <c r="M168" s="798"/>
      <c r="N168" s="787"/>
      <c r="O168" s="798"/>
    </row>
    <row r="169" spans="1:16" x14ac:dyDescent="0.25">
      <c r="A169" s="771"/>
      <c r="B169" s="724" t="s">
        <v>1330</v>
      </c>
      <c r="C169" s="810">
        <v>1019</v>
      </c>
      <c r="D169" s="811">
        <v>153</v>
      </c>
      <c r="E169" s="811"/>
      <c r="F169" s="812"/>
      <c r="G169" s="782"/>
      <c r="H169" s="797">
        <f>SUM(C169:G169)</f>
        <v>1172</v>
      </c>
      <c r="I169" s="815"/>
      <c r="J169" s="783"/>
      <c r="K169" s="783"/>
      <c r="L169" s="797">
        <f>SUM(I169:K169)</f>
        <v>0</v>
      </c>
      <c r="M169" s="798">
        <f>SUM(H169+L169)</f>
        <v>1172</v>
      </c>
      <c r="N169" s="787"/>
      <c r="O169" s="798">
        <f>SUM(M169+N169)</f>
        <v>1172</v>
      </c>
    </row>
    <row r="170" spans="1:16" ht="94.5" x14ac:dyDescent="0.25">
      <c r="A170" s="771"/>
      <c r="B170" s="724" t="s">
        <v>1332</v>
      </c>
      <c r="C170" s="810"/>
      <c r="D170" s="811"/>
      <c r="E170" s="811">
        <v>100</v>
      </c>
      <c r="F170" s="812"/>
      <c r="G170" s="782"/>
      <c r="H170" s="797">
        <f>SUM(C170:G170)</f>
        <v>100</v>
      </c>
      <c r="I170" s="815"/>
      <c r="J170" s="783"/>
      <c r="K170" s="783"/>
      <c r="L170" s="797">
        <f>SUM(I170:K170)</f>
        <v>0</v>
      </c>
      <c r="M170" s="798">
        <f>SUM(H170+L170)</f>
        <v>100</v>
      </c>
      <c r="N170" s="787"/>
      <c r="O170" s="798">
        <f>SUM(M170+N170)</f>
        <v>100</v>
      </c>
    </row>
    <row r="171" spans="1:16" ht="110.25" x14ac:dyDescent="0.25">
      <c r="A171" s="795"/>
      <c r="B171" s="772" t="s">
        <v>1340</v>
      </c>
      <c r="C171" s="810"/>
      <c r="D171" s="811"/>
      <c r="E171" s="811">
        <v>30</v>
      </c>
      <c r="F171" s="812"/>
      <c r="G171" s="782"/>
      <c r="H171" s="797">
        <f>SUM(C171:G171)</f>
        <v>30</v>
      </c>
      <c r="I171" s="815"/>
      <c r="J171" s="783"/>
      <c r="K171" s="783"/>
      <c r="L171" s="797">
        <f>SUM(I171:K171)</f>
        <v>0</v>
      </c>
      <c r="M171" s="797">
        <f>SUM(H171+L171)</f>
        <v>30</v>
      </c>
      <c r="N171" s="784"/>
      <c r="O171" s="797">
        <f>SUM(M171+N171)</f>
        <v>30</v>
      </c>
    </row>
    <row r="172" spans="1:16" ht="95.25" thickBot="1" x14ac:dyDescent="0.3">
      <c r="A172" s="935"/>
      <c r="B172" s="936" t="s">
        <v>1336</v>
      </c>
      <c r="C172" s="960">
        <v>1560</v>
      </c>
      <c r="D172" s="961">
        <v>234</v>
      </c>
      <c r="E172" s="961"/>
      <c r="F172" s="962"/>
      <c r="G172" s="963"/>
      <c r="H172" s="940">
        <f>SUM(C172:G172)</f>
        <v>1794</v>
      </c>
      <c r="I172" s="964"/>
      <c r="J172" s="965"/>
      <c r="K172" s="965"/>
      <c r="L172" s="940">
        <f>SUM(I172:K172)</f>
        <v>0</v>
      </c>
      <c r="M172" s="940">
        <f>SUM(H172+L172)</f>
        <v>1794</v>
      </c>
      <c r="N172" s="966"/>
      <c r="O172" s="940">
        <f>SUM(M172+N172)</f>
        <v>1794</v>
      </c>
    </row>
    <row r="173" spans="1:16" ht="17.25" thickTop="1" thickBot="1" x14ac:dyDescent="0.3">
      <c r="A173" s="791"/>
      <c r="B173" s="792" t="s">
        <v>379</v>
      </c>
      <c r="C173" s="793">
        <f>+C158+C162+C169+C163+C170+C164+C165+C166+C167+C171+C172</f>
        <v>190287</v>
      </c>
      <c r="D173" s="793">
        <f t="shared" ref="D173:O173" si="68">+D158+D162+D169+D163+D170+D164+D165+D166+D167+D171+D172</f>
        <v>35073</v>
      </c>
      <c r="E173" s="793">
        <f t="shared" si="68"/>
        <v>56214</v>
      </c>
      <c r="F173" s="793">
        <f t="shared" si="68"/>
        <v>0</v>
      </c>
      <c r="G173" s="793">
        <f t="shared" si="68"/>
        <v>0</v>
      </c>
      <c r="H173" s="793">
        <f t="shared" si="68"/>
        <v>281574</v>
      </c>
      <c r="I173" s="793">
        <f t="shared" si="68"/>
        <v>191</v>
      </c>
      <c r="J173" s="793">
        <f t="shared" si="68"/>
        <v>0</v>
      </c>
      <c r="K173" s="793">
        <f t="shared" si="68"/>
        <v>0</v>
      </c>
      <c r="L173" s="793">
        <f t="shared" si="68"/>
        <v>191</v>
      </c>
      <c r="M173" s="793">
        <f t="shared" si="68"/>
        <v>281765</v>
      </c>
      <c r="N173" s="793">
        <f t="shared" si="68"/>
        <v>0</v>
      </c>
      <c r="O173" s="793">
        <f t="shared" si="68"/>
        <v>281765</v>
      </c>
      <c r="P173" s="698">
        <f>O174+O175</f>
        <v>281765</v>
      </c>
    </row>
    <row r="174" spans="1:16" ht="17.25" thickTop="1" thickBot="1" x14ac:dyDescent="0.3">
      <c r="A174" s="791"/>
      <c r="B174" s="792" t="s">
        <v>378</v>
      </c>
      <c r="C174" s="793">
        <f>+C159+C162+C163+C164+C165+C166+C167</f>
        <v>185917</v>
      </c>
      <c r="D174" s="793">
        <f t="shared" ref="D174:O174" si="69">+D159+D162+D163+D164+D165+D166+D167</f>
        <v>34104</v>
      </c>
      <c r="E174" s="793">
        <f t="shared" si="69"/>
        <v>55984</v>
      </c>
      <c r="F174" s="793">
        <f t="shared" si="69"/>
        <v>0</v>
      </c>
      <c r="G174" s="793">
        <f t="shared" si="69"/>
        <v>0</v>
      </c>
      <c r="H174" s="793">
        <f t="shared" si="69"/>
        <v>276005</v>
      </c>
      <c r="I174" s="793">
        <f t="shared" si="69"/>
        <v>191</v>
      </c>
      <c r="J174" s="793">
        <f t="shared" si="69"/>
        <v>0</v>
      </c>
      <c r="K174" s="793">
        <f t="shared" si="69"/>
        <v>0</v>
      </c>
      <c r="L174" s="793">
        <f t="shared" si="69"/>
        <v>191</v>
      </c>
      <c r="M174" s="793">
        <f t="shared" si="69"/>
        <v>276196</v>
      </c>
      <c r="N174" s="793">
        <f t="shared" si="69"/>
        <v>0</v>
      </c>
      <c r="O174" s="793">
        <f t="shared" si="69"/>
        <v>276196</v>
      </c>
    </row>
    <row r="175" spans="1:16" ht="17.25" thickTop="1" thickBot="1" x14ac:dyDescent="0.3">
      <c r="A175" s="791"/>
      <c r="B175" s="792" t="s">
        <v>377</v>
      </c>
      <c r="C175" s="793">
        <f t="shared" ref="C175:O175" si="70">+C160+C169+C170+C171+C172</f>
        <v>4370</v>
      </c>
      <c r="D175" s="793">
        <f t="shared" si="70"/>
        <v>969</v>
      </c>
      <c r="E175" s="793">
        <f t="shared" si="70"/>
        <v>230</v>
      </c>
      <c r="F175" s="793">
        <f t="shared" si="70"/>
        <v>0</v>
      </c>
      <c r="G175" s="793">
        <f t="shared" si="70"/>
        <v>0</v>
      </c>
      <c r="H175" s="793">
        <f t="shared" si="70"/>
        <v>5569</v>
      </c>
      <c r="I175" s="793">
        <f t="shared" si="70"/>
        <v>0</v>
      </c>
      <c r="J175" s="793">
        <f t="shared" si="70"/>
        <v>0</v>
      </c>
      <c r="K175" s="793">
        <f t="shared" si="70"/>
        <v>0</v>
      </c>
      <c r="L175" s="793">
        <f t="shared" si="70"/>
        <v>0</v>
      </c>
      <c r="M175" s="793">
        <f t="shared" si="70"/>
        <v>5569</v>
      </c>
      <c r="N175" s="793">
        <f t="shared" si="70"/>
        <v>0</v>
      </c>
      <c r="O175" s="793">
        <f t="shared" si="70"/>
        <v>5569</v>
      </c>
    </row>
    <row r="176" spans="1:16" ht="16.5" thickTop="1" x14ac:dyDescent="0.25">
      <c r="A176" s="771" t="s">
        <v>0</v>
      </c>
      <c r="B176" s="772" t="s">
        <v>660</v>
      </c>
      <c r="C176" s="773"/>
      <c r="D176" s="774"/>
      <c r="E176" s="774"/>
      <c r="F176" s="790"/>
      <c r="G176" s="774"/>
      <c r="H176" s="776"/>
      <c r="I176" s="777"/>
      <c r="J176" s="775"/>
      <c r="K176" s="775"/>
      <c r="L176" s="776"/>
      <c r="M176" s="776"/>
      <c r="N176" s="776"/>
      <c r="O176" s="776"/>
    </row>
    <row r="177" spans="1:16" x14ac:dyDescent="0.25">
      <c r="A177" s="771"/>
      <c r="B177" s="724" t="s">
        <v>347</v>
      </c>
      <c r="C177" s="773">
        <f>SUM(C178:C179)</f>
        <v>182805</v>
      </c>
      <c r="D177" s="773">
        <f>SUM(D178:D179)</f>
        <v>33995</v>
      </c>
      <c r="E177" s="773">
        <f>SUM(E178:E179)</f>
        <v>59198</v>
      </c>
      <c r="F177" s="773">
        <f t="shared" ref="F177:G177" si="71">SUM(F178:F179)</f>
        <v>0</v>
      </c>
      <c r="G177" s="773">
        <f t="shared" si="71"/>
        <v>0</v>
      </c>
      <c r="H177" s="776">
        <f>SUM(C177:G177)</f>
        <v>275998</v>
      </c>
      <c r="I177" s="777">
        <f>SUM(I178:I179)</f>
        <v>25</v>
      </c>
      <c r="J177" s="775">
        <f t="shared" ref="J177:K177" si="72">SUM(J178:J179)</f>
        <v>0</v>
      </c>
      <c r="K177" s="775">
        <f t="shared" si="72"/>
        <v>0</v>
      </c>
      <c r="L177" s="776">
        <f>SUM(I177:K177)</f>
        <v>25</v>
      </c>
      <c r="M177" s="778">
        <f>SUM(H177+L177)</f>
        <v>276023</v>
      </c>
      <c r="N177" s="778"/>
      <c r="O177" s="778">
        <f>SUM(M177+N177)</f>
        <v>276023</v>
      </c>
    </row>
    <row r="178" spans="1:16" s="788" customFormat="1" x14ac:dyDescent="0.25">
      <c r="A178" s="779"/>
      <c r="B178" s="780" t="s">
        <v>381</v>
      </c>
      <c r="C178" s="781">
        <v>180990</v>
      </c>
      <c r="D178" s="782">
        <v>33405</v>
      </c>
      <c r="E178" s="782">
        <v>59198</v>
      </c>
      <c r="F178" s="783"/>
      <c r="G178" s="782"/>
      <c r="H178" s="784">
        <f>SUM(C178:G178)</f>
        <v>273593</v>
      </c>
      <c r="I178" s="794">
        <v>25</v>
      </c>
      <c r="J178" s="783"/>
      <c r="K178" s="783"/>
      <c r="L178" s="784">
        <f>SUM(I178:K178)</f>
        <v>25</v>
      </c>
      <c r="M178" s="787">
        <f>SUM(H178+L178)</f>
        <v>273618</v>
      </c>
      <c r="N178" s="787"/>
      <c r="O178" s="787">
        <f>SUM(M178+N178)</f>
        <v>273618</v>
      </c>
    </row>
    <row r="179" spans="1:16" s="788" customFormat="1" x14ac:dyDescent="0.25">
      <c r="A179" s="779"/>
      <c r="B179" s="780" t="s">
        <v>380</v>
      </c>
      <c r="C179" s="781">
        <v>1815</v>
      </c>
      <c r="D179" s="782">
        <v>590</v>
      </c>
      <c r="E179" s="782"/>
      <c r="F179" s="783"/>
      <c r="G179" s="782"/>
      <c r="H179" s="784">
        <f>SUM(C179:G179)</f>
        <v>2405</v>
      </c>
      <c r="I179" s="794"/>
      <c r="J179" s="783"/>
      <c r="K179" s="783"/>
      <c r="L179" s="784">
        <f>SUM(I179:K179)</f>
        <v>0</v>
      </c>
      <c r="M179" s="787">
        <f>SUM(H179+L179)</f>
        <v>2405</v>
      </c>
      <c r="N179" s="787"/>
      <c r="O179" s="787">
        <f>SUM(M179+N179)</f>
        <v>2405</v>
      </c>
    </row>
    <row r="180" spans="1:16" s="788" customFormat="1" x14ac:dyDescent="0.25">
      <c r="A180" s="779"/>
      <c r="B180" s="780" t="s">
        <v>131</v>
      </c>
      <c r="C180" s="781"/>
      <c r="D180" s="782"/>
      <c r="E180" s="782"/>
      <c r="F180" s="783"/>
      <c r="G180" s="782"/>
      <c r="H180" s="784"/>
      <c r="I180" s="794"/>
      <c r="J180" s="783"/>
      <c r="K180" s="783"/>
      <c r="L180" s="784"/>
      <c r="M180" s="787"/>
      <c r="N180" s="787"/>
      <c r="O180" s="787"/>
    </row>
    <row r="181" spans="1:16" s="788" customFormat="1" ht="31.5" x14ac:dyDescent="0.25">
      <c r="A181" s="779"/>
      <c r="B181" s="724" t="s">
        <v>1325</v>
      </c>
      <c r="C181" s="810">
        <v>105</v>
      </c>
      <c r="D181" s="811">
        <v>17</v>
      </c>
      <c r="E181" s="811"/>
      <c r="F181" s="783"/>
      <c r="G181" s="782"/>
      <c r="H181" s="797">
        <f t="shared" ref="H181:H187" si="73">SUM(C181:G181)</f>
        <v>122</v>
      </c>
      <c r="I181" s="794"/>
      <c r="J181" s="783"/>
      <c r="K181" s="783"/>
      <c r="L181" s="797">
        <f t="shared" ref="L181:L187" si="74">SUM(I181:K181)</f>
        <v>0</v>
      </c>
      <c r="M181" s="798">
        <f t="shared" ref="M181:M187" si="75">SUM(H181+L181)</f>
        <v>122</v>
      </c>
      <c r="N181" s="787"/>
      <c r="O181" s="798">
        <f t="shared" ref="O181:O187" si="76">SUM(M181+N181)</f>
        <v>122</v>
      </c>
    </row>
    <row r="182" spans="1:16" s="788" customFormat="1" ht="63" x14ac:dyDescent="0.25">
      <c r="A182" s="779"/>
      <c r="B182" s="724" t="s">
        <v>1326</v>
      </c>
      <c r="C182" s="810">
        <v>2262</v>
      </c>
      <c r="D182" s="811">
        <v>393</v>
      </c>
      <c r="E182" s="811"/>
      <c r="F182" s="783"/>
      <c r="G182" s="782"/>
      <c r="H182" s="797">
        <f t="shared" si="73"/>
        <v>2655</v>
      </c>
      <c r="I182" s="794"/>
      <c r="J182" s="783"/>
      <c r="K182" s="783"/>
      <c r="L182" s="797">
        <f t="shared" si="74"/>
        <v>0</v>
      </c>
      <c r="M182" s="798">
        <f t="shared" si="75"/>
        <v>2655</v>
      </c>
      <c r="N182" s="787"/>
      <c r="O182" s="798">
        <f t="shared" si="76"/>
        <v>2655</v>
      </c>
    </row>
    <row r="183" spans="1:16" s="788" customFormat="1" ht="63" x14ac:dyDescent="0.25">
      <c r="A183" s="779"/>
      <c r="B183" s="724" t="s">
        <v>1337</v>
      </c>
      <c r="C183" s="810">
        <v>5081</v>
      </c>
      <c r="D183" s="811">
        <v>788</v>
      </c>
      <c r="E183" s="811"/>
      <c r="F183" s="783"/>
      <c r="G183" s="782"/>
      <c r="H183" s="797">
        <f t="shared" si="73"/>
        <v>5869</v>
      </c>
      <c r="I183" s="794"/>
      <c r="J183" s="783"/>
      <c r="K183" s="783"/>
      <c r="L183" s="797">
        <f t="shared" si="74"/>
        <v>0</v>
      </c>
      <c r="M183" s="798">
        <f t="shared" si="75"/>
        <v>5869</v>
      </c>
      <c r="N183" s="787"/>
      <c r="O183" s="798">
        <f t="shared" si="76"/>
        <v>5869</v>
      </c>
    </row>
    <row r="184" spans="1:16" s="788" customFormat="1" ht="31.5" x14ac:dyDescent="0.25">
      <c r="A184" s="779"/>
      <c r="B184" s="724" t="s">
        <v>1338</v>
      </c>
      <c r="C184" s="810">
        <v>1644</v>
      </c>
      <c r="D184" s="811">
        <v>255</v>
      </c>
      <c r="E184" s="811"/>
      <c r="F184" s="783"/>
      <c r="G184" s="782"/>
      <c r="H184" s="797">
        <f t="shared" si="73"/>
        <v>1899</v>
      </c>
      <c r="I184" s="794"/>
      <c r="J184" s="783"/>
      <c r="K184" s="783"/>
      <c r="L184" s="797">
        <f t="shared" si="74"/>
        <v>0</v>
      </c>
      <c r="M184" s="798">
        <f t="shared" si="75"/>
        <v>1899</v>
      </c>
      <c r="N184" s="787"/>
      <c r="O184" s="798">
        <f t="shared" si="76"/>
        <v>1899</v>
      </c>
    </row>
    <row r="185" spans="1:16" s="788" customFormat="1" ht="31.5" x14ac:dyDescent="0.25">
      <c r="A185" s="779"/>
      <c r="B185" s="724" t="s">
        <v>1327</v>
      </c>
      <c r="C185" s="810">
        <v>-21312</v>
      </c>
      <c r="D185" s="811">
        <v>-3480</v>
      </c>
      <c r="E185" s="811"/>
      <c r="F185" s="783"/>
      <c r="G185" s="782"/>
      <c r="H185" s="797">
        <f t="shared" si="73"/>
        <v>-24792</v>
      </c>
      <c r="I185" s="794"/>
      <c r="J185" s="783"/>
      <c r="K185" s="783"/>
      <c r="L185" s="797">
        <f t="shared" si="74"/>
        <v>0</v>
      </c>
      <c r="M185" s="798">
        <f t="shared" si="75"/>
        <v>-24792</v>
      </c>
      <c r="N185" s="787"/>
      <c r="O185" s="798">
        <f t="shared" si="76"/>
        <v>-24792</v>
      </c>
    </row>
    <row r="186" spans="1:16" s="788" customFormat="1" ht="31.5" x14ac:dyDescent="0.25">
      <c r="A186" s="779"/>
      <c r="B186" s="724" t="s">
        <v>961</v>
      </c>
      <c r="C186" s="810"/>
      <c r="D186" s="811"/>
      <c r="E186" s="811">
        <v>165</v>
      </c>
      <c r="F186" s="783"/>
      <c r="G186" s="782"/>
      <c r="H186" s="797">
        <f t="shared" si="73"/>
        <v>165</v>
      </c>
      <c r="I186" s="794"/>
      <c r="J186" s="783"/>
      <c r="K186" s="783"/>
      <c r="L186" s="797">
        <f t="shared" si="74"/>
        <v>0</v>
      </c>
      <c r="M186" s="798">
        <f t="shared" si="75"/>
        <v>165</v>
      </c>
      <c r="N186" s="787"/>
      <c r="O186" s="798">
        <f t="shared" si="76"/>
        <v>165</v>
      </c>
    </row>
    <row r="187" spans="1:16" s="788" customFormat="1" ht="33" customHeight="1" x14ac:dyDescent="0.25">
      <c r="A187" s="779"/>
      <c r="B187" s="724" t="s">
        <v>1339</v>
      </c>
      <c r="C187" s="810"/>
      <c r="D187" s="811"/>
      <c r="E187" s="811">
        <v>-11997</v>
      </c>
      <c r="F187" s="783"/>
      <c r="G187" s="782"/>
      <c r="H187" s="797">
        <f t="shared" si="73"/>
        <v>-11997</v>
      </c>
      <c r="I187" s="794"/>
      <c r="J187" s="783"/>
      <c r="K187" s="783"/>
      <c r="L187" s="797">
        <f t="shared" si="74"/>
        <v>0</v>
      </c>
      <c r="M187" s="798">
        <f t="shared" si="75"/>
        <v>-11997</v>
      </c>
      <c r="N187" s="787"/>
      <c r="O187" s="798">
        <f t="shared" si="76"/>
        <v>-11997</v>
      </c>
    </row>
    <row r="188" spans="1:16" s="788" customFormat="1" x14ac:dyDescent="0.25">
      <c r="A188" s="779"/>
      <c r="B188" s="780" t="s">
        <v>132</v>
      </c>
      <c r="C188" s="810"/>
      <c r="D188" s="811"/>
      <c r="E188" s="811"/>
      <c r="F188" s="783"/>
      <c r="G188" s="782"/>
      <c r="H188" s="797"/>
      <c r="I188" s="794"/>
      <c r="J188" s="783"/>
      <c r="K188" s="783"/>
      <c r="L188" s="797"/>
      <c r="M188" s="798"/>
      <c r="N188" s="787"/>
      <c r="O188" s="798"/>
    </row>
    <row r="189" spans="1:16" s="788" customFormat="1" x14ac:dyDescent="0.25">
      <c r="A189" s="779"/>
      <c r="B189" s="724" t="s">
        <v>1330</v>
      </c>
      <c r="C189" s="810">
        <v>959</v>
      </c>
      <c r="D189" s="811">
        <v>144</v>
      </c>
      <c r="E189" s="811"/>
      <c r="F189" s="783"/>
      <c r="G189" s="782"/>
      <c r="H189" s="797">
        <f>SUM(C189:G189)</f>
        <v>1103</v>
      </c>
      <c r="I189" s="794"/>
      <c r="J189" s="783"/>
      <c r="K189" s="783"/>
      <c r="L189" s="797">
        <f>SUM(I189:K189)</f>
        <v>0</v>
      </c>
      <c r="M189" s="798">
        <f>SUM(H189+L189)</f>
        <v>1103</v>
      </c>
      <c r="N189" s="787"/>
      <c r="O189" s="798">
        <f>SUM(M189+N189)</f>
        <v>1103</v>
      </c>
    </row>
    <row r="190" spans="1:16" s="788" customFormat="1" ht="110.25" x14ac:dyDescent="0.25">
      <c r="A190" s="779"/>
      <c r="B190" s="724" t="s">
        <v>1341</v>
      </c>
      <c r="C190" s="810"/>
      <c r="D190" s="811"/>
      <c r="E190" s="811">
        <v>50</v>
      </c>
      <c r="F190" s="783"/>
      <c r="G190" s="782"/>
      <c r="H190" s="797">
        <f>SUM(C190:G190)</f>
        <v>50</v>
      </c>
      <c r="I190" s="794"/>
      <c r="J190" s="783"/>
      <c r="K190" s="783"/>
      <c r="L190" s="797">
        <f>SUM(I190:K190)</f>
        <v>0</v>
      </c>
      <c r="M190" s="798">
        <f>SUM(H190+L190)</f>
        <v>50</v>
      </c>
      <c r="N190" s="787"/>
      <c r="O190" s="798">
        <f>SUM(M190+N190)</f>
        <v>50</v>
      </c>
    </row>
    <row r="191" spans="1:16" s="788" customFormat="1" ht="95.25" thickBot="1" x14ac:dyDescent="0.3">
      <c r="A191" s="779"/>
      <c r="B191" s="724" t="s">
        <v>1336</v>
      </c>
      <c r="C191" s="810">
        <v>1234</v>
      </c>
      <c r="D191" s="811">
        <v>185</v>
      </c>
      <c r="E191" s="811"/>
      <c r="F191" s="783"/>
      <c r="G191" s="782"/>
      <c r="H191" s="797">
        <f>SUM(C191:G191)</f>
        <v>1419</v>
      </c>
      <c r="I191" s="794"/>
      <c r="J191" s="783"/>
      <c r="K191" s="783"/>
      <c r="L191" s="797">
        <f>SUM(I191:K191)</f>
        <v>0</v>
      </c>
      <c r="M191" s="798">
        <f>SUM(H191+L191)</f>
        <v>1419</v>
      </c>
      <c r="N191" s="787"/>
      <c r="O191" s="798">
        <f>SUM(M191+N191)</f>
        <v>1419</v>
      </c>
    </row>
    <row r="192" spans="1:16" ht="17.25" thickTop="1" thickBot="1" x14ac:dyDescent="0.3">
      <c r="A192" s="791"/>
      <c r="B192" s="792" t="s">
        <v>379</v>
      </c>
      <c r="C192" s="793">
        <f>+C177+C181+C189+C182+C183+C184+C185+C186+C187+C190+C191</f>
        <v>172778</v>
      </c>
      <c r="D192" s="793">
        <f t="shared" ref="D192:O192" si="77">+D177+D181+D189+D182+D183+D184+D185+D186+D187+D190+D191</f>
        <v>32297</v>
      </c>
      <c r="E192" s="793">
        <f t="shared" si="77"/>
        <v>47416</v>
      </c>
      <c r="F192" s="793">
        <f t="shared" si="77"/>
        <v>0</v>
      </c>
      <c r="G192" s="793">
        <f t="shared" si="77"/>
        <v>0</v>
      </c>
      <c r="H192" s="793">
        <f t="shared" si="77"/>
        <v>252491</v>
      </c>
      <c r="I192" s="793">
        <f t="shared" si="77"/>
        <v>25</v>
      </c>
      <c r="J192" s="793">
        <f t="shared" si="77"/>
        <v>0</v>
      </c>
      <c r="K192" s="793">
        <f t="shared" si="77"/>
        <v>0</v>
      </c>
      <c r="L192" s="793">
        <f t="shared" si="77"/>
        <v>25</v>
      </c>
      <c r="M192" s="793">
        <f t="shared" si="77"/>
        <v>252516</v>
      </c>
      <c r="N192" s="793">
        <f t="shared" si="77"/>
        <v>0</v>
      </c>
      <c r="O192" s="793">
        <f t="shared" si="77"/>
        <v>252516</v>
      </c>
      <c r="P192" s="698">
        <f>O193+O194</f>
        <v>252516</v>
      </c>
    </row>
    <row r="193" spans="1:15" ht="17.25" thickTop="1" thickBot="1" x14ac:dyDescent="0.3">
      <c r="A193" s="791"/>
      <c r="B193" s="792" t="s">
        <v>378</v>
      </c>
      <c r="C193" s="793">
        <f>+C178+C181+C182+C183+C184+C185+C186+C187</f>
        <v>168770</v>
      </c>
      <c r="D193" s="793">
        <f t="shared" ref="D193:O193" si="78">+D178+D181+D182+D183+D184+D185+D186+D187</f>
        <v>31378</v>
      </c>
      <c r="E193" s="793">
        <f t="shared" si="78"/>
        <v>47366</v>
      </c>
      <c r="F193" s="793">
        <f t="shared" si="78"/>
        <v>0</v>
      </c>
      <c r="G193" s="793">
        <f t="shared" si="78"/>
        <v>0</v>
      </c>
      <c r="H193" s="793">
        <f t="shared" si="78"/>
        <v>247514</v>
      </c>
      <c r="I193" s="793">
        <f t="shared" si="78"/>
        <v>25</v>
      </c>
      <c r="J193" s="793">
        <f t="shared" si="78"/>
        <v>0</v>
      </c>
      <c r="K193" s="793">
        <f t="shared" si="78"/>
        <v>0</v>
      </c>
      <c r="L193" s="793">
        <f t="shared" si="78"/>
        <v>25</v>
      </c>
      <c r="M193" s="793">
        <f t="shared" si="78"/>
        <v>247539</v>
      </c>
      <c r="N193" s="793">
        <f t="shared" si="78"/>
        <v>0</v>
      </c>
      <c r="O193" s="793">
        <f t="shared" si="78"/>
        <v>247539</v>
      </c>
    </row>
    <row r="194" spans="1:15" ht="17.25" thickTop="1" thickBot="1" x14ac:dyDescent="0.3">
      <c r="A194" s="791"/>
      <c r="B194" s="792" t="s">
        <v>377</v>
      </c>
      <c r="C194" s="793">
        <f t="shared" ref="C194:O194" si="79">+C179+C189+C190+C191</f>
        <v>4008</v>
      </c>
      <c r="D194" s="793">
        <f t="shared" si="79"/>
        <v>919</v>
      </c>
      <c r="E194" s="793">
        <f t="shared" si="79"/>
        <v>50</v>
      </c>
      <c r="F194" s="793">
        <f t="shared" si="79"/>
        <v>0</v>
      </c>
      <c r="G194" s="793">
        <f t="shared" si="79"/>
        <v>0</v>
      </c>
      <c r="H194" s="793">
        <f t="shared" si="79"/>
        <v>4977</v>
      </c>
      <c r="I194" s="793">
        <f t="shared" si="79"/>
        <v>0</v>
      </c>
      <c r="J194" s="793">
        <f t="shared" si="79"/>
        <v>0</v>
      </c>
      <c r="K194" s="793">
        <f t="shared" si="79"/>
        <v>0</v>
      </c>
      <c r="L194" s="793">
        <f t="shared" si="79"/>
        <v>0</v>
      </c>
      <c r="M194" s="793">
        <f t="shared" si="79"/>
        <v>4977</v>
      </c>
      <c r="N194" s="793">
        <f t="shared" si="79"/>
        <v>0</v>
      </c>
      <c r="O194" s="793">
        <f t="shared" si="79"/>
        <v>4977</v>
      </c>
    </row>
    <row r="195" spans="1:15" ht="32.25" thickTop="1" x14ac:dyDescent="0.25">
      <c r="A195" s="817" t="s">
        <v>1</v>
      </c>
      <c r="B195" s="818" t="s">
        <v>661</v>
      </c>
      <c r="C195" s="819"/>
      <c r="D195" s="820"/>
      <c r="E195" s="820"/>
      <c r="F195" s="821"/>
      <c r="G195" s="820"/>
      <c r="H195" s="822"/>
      <c r="I195" s="823"/>
      <c r="J195" s="821"/>
      <c r="K195" s="821"/>
      <c r="L195" s="822"/>
      <c r="M195" s="822"/>
      <c r="N195" s="822"/>
      <c r="O195" s="822"/>
    </row>
    <row r="196" spans="1:15" x14ac:dyDescent="0.25">
      <c r="A196" s="771"/>
      <c r="B196" s="724" t="s">
        <v>347</v>
      </c>
      <c r="C196" s="773">
        <f>SUM(C197:C198)</f>
        <v>201965</v>
      </c>
      <c r="D196" s="773">
        <f>SUM(D197:D198)</f>
        <v>37198</v>
      </c>
      <c r="E196" s="773">
        <f>SUM(E197:E198)</f>
        <v>85856</v>
      </c>
      <c r="F196" s="775"/>
      <c r="G196" s="774"/>
      <c r="H196" s="776">
        <f>SUM(C196:G196)</f>
        <v>325019</v>
      </c>
      <c r="I196" s="777"/>
      <c r="J196" s="775"/>
      <c r="K196" s="775"/>
      <c r="L196" s="776">
        <f>SUM(I196:K196)</f>
        <v>0</v>
      </c>
      <c r="M196" s="778">
        <f>SUM(H196+L196)</f>
        <v>325019</v>
      </c>
      <c r="N196" s="778"/>
      <c r="O196" s="778">
        <f>SUM(M196+N196)</f>
        <v>325019</v>
      </c>
    </row>
    <row r="197" spans="1:15" s="788" customFormat="1" x14ac:dyDescent="0.25">
      <c r="A197" s="779"/>
      <c r="B197" s="780" t="s">
        <v>381</v>
      </c>
      <c r="C197" s="781">
        <v>200135</v>
      </c>
      <c r="D197" s="782">
        <v>36603</v>
      </c>
      <c r="E197" s="782">
        <v>85856</v>
      </c>
      <c r="F197" s="783"/>
      <c r="G197" s="782"/>
      <c r="H197" s="784">
        <f>SUM(C197:G197)</f>
        <v>322594</v>
      </c>
      <c r="I197" s="794"/>
      <c r="J197" s="783"/>
      <c r="K197" s="783"/>
      <c r="L197" s="784">
        <f>SUM(I197:K197)</f>
        <v>0</v>
      </c>
      <c r="M197" s="787">
        <f>SUM(H197+L197)</f>
        <v>322594</v>
      </c>
      <c r="N197" s="787"/>
      <c r="O197" s="787">
        <f>SUM(M197+N197)</f>
        <v>322594</v>
      </c>
    </row>
    <row r="198" spans="1:15" s="788" customFormat="1" x14ac:dyDescent="0.25">
      <c r="A198" s="779"/>
      <c r="B198" s="780" t="s">
        <v>380</v>
      </c>
      <c r="C198" s="781">
        <v>1830</v>
      </c>
      <c r="D198" s="782">
        <v>595</v>
      </c>
      <c r="E198" s="782"/>
      <c r="F198" s="783"/>
      <c r="G198" s="782"/>
      <c r="H198" s="784">
        <f>SUM(C198:G198)</f>
        <v>2425</v>
      </c>
      <c r="I198" s="794"/>
      <c r="J198" s="783"/>
      <c r="K198" s="783"/>
      <c r="L198" s="784">
        <f>SUM(I198:K198)</f>
        <v>0</v>
      </c>
      <c r="M198" s="787">
        <f>SUM(H198+L198)</f>
        <v>2425</v>
      </c>
      <c r="N198" s="787"/>
      <c r="O198" s="787">
        <f>SUM(M198+N198)</f>
        <v>2425</v>
      </c>
    </row>
    <row r="199" spans="1:15" s="788" customFormat="1" x14ac:dyDescent="0.25">
      <c r="A199" s="779"/>
      <c r="B199" s="780" t="s">
        <v>131</v>
      </c>
      <c r="C199" s="781"/>
      <c r="D199" s="782"/>
      <c r="E199" s="782"/>
      <c r="F199" s="783"/>
      <c r="G199" s="782"/>
      <c r="H199" s="784"/>
      <c r="I199" s="794"/>
      <c r="J199" s="783"/>
      <c r="K199" s="783"/>
      <c r="L199" s="784"/>
      <c r="M199" s="787"/>
      <c r="N199" s="787"/>
      <c r="O199" s="787"/>
    </row>
    <row r="200" spans="1:15" s="788" customFormat="1" ht="31.5" x14ac:dyDescent="0.25">
      <c r="A200" s="779"/>
      <c r="B200" s="724" t="s">
        <v>1325</v>
      </c>
      <c r="C200" s="810">
        <v>142</v>
      </c>
      <c r="D200" s="811">
        <v>23</v>
      </c>
      <c r="E200" s="811"/>
      <c r="F200" s="783"/>
      <c r="G200" s="782"/>
      <c r="H200" s="797">
        <f t="shared" ref="H200:H206" si="80">SUM(C200:G200)</f>
        <v>165</v>
      </c>
      <c r="I200" s="794"/>
      <c r="J200" s="783"/>
      <c r="K200" s="783"/>
      <c r="L200" s="797">
        <f t="shared" ref="L200:L206" si="81">SUM(I200:K200)</f>
        <v>0</v>
      </c>
      <c r="M200" s="798">
        <f t="shared" ref="M200:M206" si="82">SUM(H200+L200)</f>
        <v>165</v>
      </c>
      <c r="N200" s="787"/>
      <c r="O200" s="798">
        <f t="shared" ref="O200:O206" si="83">SUM(M200+N200)</f>
        <v>165</v>
      </c>
    </row>
    <row r="201" spans="1:15" s="788" customFormat="1" ht="63" x14ac:dyDescent="0.25">
      <c r="A201" s="779"/>
      <c r="B201" s="724" t="s">
        <v>1326</v>
      </c>
      <c r="C201" s="810">
        <v>3875</v>
      </c>
      <c r="D201" s="811">
        <v>678</v>
      </c>
      <c r="E201" s="811"/>
      <c r="F201" s="783"/>
      <c r="G201" s="782"/>
      <c r="H201" s="797">
        <f t="shared" si="80"/>
        <v>4553</v>
      </c>
      <c r="I201" s="794"/>
      <c r="J201" s="783"/>
      <c r="K201" s="783"/>
      <c r="L201" s="797">
        <f t="shared" si="81"/>
        <v>0</v>
      </c>
      <c r="M201" s="798">
        <f t="shared" si="82"/>
        <v>4553</v>
      </c>
      <c r="N201" s="787"/>
      <c r="O201" s="798">
        <f t="shared" si="83"/>
        <v>4553</v>
      </c>
    </row>
    <row r="202" spans="1:15" s="788" customFormat="1" ht="63" x14ac:dyDescent="0.25">
      <c r="A202" s="779"/>
      <c r="B202" s="724" t="s">
        <v>1337</v>
      </c>
      <c r="C202" s="810">
        <v>5503</v>
      </c>
      <c r="D202" s="811">
        <v>853</v>
      </c>
      <c r="E202" s="811"/>
      <c r="F202" s="783"/>
      <c r="G202" s="782"/>
      <c r="H202" s="797">
        <f t="shared" si="80"/>
        <v>6356</v>
      </c>
      <c r="I202" s="794"/>
      <c r="J202" s="783"/>
      <c r="K202" s="783"/>
      <c r="L202" s="797">
        <f t="shared" si="81"/>
        <v>0</v>
      </c>
      <c r="M202" s="798">
        <f t="shared" si="82"/>
        <v>6356</v>
      </c>
      <c r="N202" s="787"/>
      <c r="O202" s="798">
        <f t="shared" si="83"/>
        <v>6356</v>
      </c>
    </row>
    <row r="203" spans="1:15" s="788" customFormat="1" ht="31.5" x14ac:dyDescent="0.25">
      <c r="A203" s="779"/>
      <c r="B203" s="724" t="s">
        <v>1338</v>
      </c>
      <c r="C203" s="810">
        <v>1535</v>
      </c>
      <c r="D203" s="811">
        <v>238</v>
      </c>
      <c r="E203" s="811"/>
      <c r="F203" s="783"/>
      <c r="G203" s="782"/>
      <c r="H203" s="797">
        <f t="shared" si="80"/>
        <v>1773</v>
      </c>
      <c r="I203" s="794"/>
      <c r="J203" s="783"/>
      <c r="K203" s="783"/>
      <c r="L203" s="797">
        <f t="shared" si="81"/>
        <v>0</v>
      </c>
      <c r="M203" s="798">
        <f t="shared" si="82"/>
        <v>1773</v>
      </c>
      <c r="N203" s="787"/>
      <c r="O203" s="798">
        <f t="shared" si="83"/>
        <v>1773</v>
      </c>
    </row>
    <row r="204" spans="1:15" s="788" customFormat="1" ht="31.5" x14ac:dyDescent="0.25">
      <c r="A204" s="779"/>
      <c r="B204" s="724" t="s">
        <v>1327</v>
      </c>
      <c r="C204" s="810">
        <v>-4688</v>
      </c>
      <c r="D204" s="811">
        <v>-1060</v>
      </c>
      <c r="E204" s="811"/>
      <c r="F204" s="783"/>
      <c r="G204" s="782"/>
      <c r="H204" s="797">
        <f t="shared" si="80"/>
        <v>-5748</v>
      </c>
      <c r="I204" s="794"/>
      <c r="J204" s="783"/>
      <c r="K204" s="783"/>
      <c r="L204" s="797">
        <f t="shared" si="81"/>
        <v>0</v>
      </c>
      <c r="M204" s="798">
        <f t="shared" si="82"/>
        <v>-5748</v>
      </c>
      <c r="N204" s="787"/>
      <c r="O204" s="798">
        <f t="shared" si="83"/>
        <v>-5748</v>
      </c>
    </row>
    <row r="205" spans="1:15" s="788" customFormat="1" ht="31.5" x14ac:dyDescent="0.25">
      <c r="A205" s="779"/>
      <c r="B205" s="724" t="s">
        <v>961</v>
      </c>
      <c r="C205" s="810"/>
      <c r="D205" s="811"/>
      <c r="E205" s="811">
        <v>318</v>
      </c>
      <c r="F205" s="783"/>
      <c r="G205" s="782"/>
      <c r="H205" s="797">
        <f t="shared" si="80"/>
        <v>318</v>
      </c>
      <c r="I205" s="794"/>
      <c r="J205" s="783"/>
      <c r="K205" s="783"/>
      <c r="L205" s="797">
        <f t="shared" si="81"/>
        <v>0</v>
      </c>
      <c r="M205" s="798">
        <f t="shared" si="82"/>
        <v>318</v>
      </c>
      <c r="N205" s="787"/>
      <c r="O205" s="798">
        <f t="shared" si="83"/>
        <v>318</v>
      </c>
    </row>
    <row r="206" spans="1:15" s="788" customFormat="1" ht="30" customHeight="1" x14ac:dyDescent="0.25">
      <c r="A206" s="779"/>
      <c r="B206" s="724" t="s">
        <v>1339</v>
      </c>
      <c r="C206" s="810"/>
      <c r="D206" s="811"/>
      <c r="E206" s="811">
        <v>-11809</v>
      </c>
      <c r="F206" s="783"/>
      <c r="G206" s="782"/>
      <c r="H206" s="797">
        <f t="shared" si="80"/>
        <v>-11809</v>
      </c>
      <c r="I206" s="794"/>
      <c r="J206" s="783"/>
      <c r="K206" s="783"/>
      <c r="L206" s="797">
        <f t="shared" si="81"/>
        <v>0</v>
      </c>
      <c r="M206" s="798">
        <f t="shared" si="82"/>
        <v>-11809</v>
      </c>
      <c r="N206" s="787"/>
      <c r="O206" s="798">
        <f t="shared" si="83"/>
        <v>-11809</v>
      </c>
    </row>
    <row r="207" spans="1:15" s="788" customFormat="1" x14ac:dyDescent="0.25">
      <c r="A207" s="779"/>
      <c r="B207" s="780" t="s">
        <v>132</v>
      </c>
      <c r="C207" s="810"/>
      <c r="D207" s="811"/>
      <c r="E207" s="811"/>
      <c r="F207" s="783"/>
      <c r="G207" s="782"/>
      <c r="H207" s="797"/>
      <c r="I207" s="794"/>
      <c r="J207" s="783"/>
      <c r="K207" s="783"/>
      <c r="L207" s="797"/>
      <c r="M207" s="798"/>
      <c r="N207" s="787"/>
      <c r="O207" s="798"/>
    </row>
    <row r="208" spans="1:15" s="788" customFormat="1" x14ac:dyDescent="0.25">
      <c r="A208" s="779"/>
      <c r="B208" s="724" t="s">
        <v>1330</v>
      </c>
      <c r="C208" s="810">
        <v>1046</v>
      </c>
      <c r="D208" s="811">
        <v>157</v>
      </c>
      <c r="E208" s="811"/>
      <c r="F208" s="783"/>
      <c r="G208" s="782"/>
      <c r="H208" s="797">
        <f>SUM(C208:G208)</f>
        <v>1203</v>
      </c>
      <c r="I208" s="794"/>
      <c r="J208" s="783"/>
      <c r="K208" s="783"/>
      <c r="L208" s="797">
        <f>SUM(I208:K208)</f>
        <v>0</v>
      </c>
      <c r="M208" s="798">
        <f>SUM(H208+L208)</f>
        <v>1203</v>
      </c>
      <c r="N208" s="787"/>
      <c r="O208" s="798">
        <f>SUM(M208+N208)</f>
        <v>1203</v>
      </c>
    </row>
    <row r="209" spans="1:16" s="788" customFormat="1" ht="94.5" x14ac:dyDescent="0.25">
      <c r="A209" s="779"/>
      <c r="B209" s="724" t="s">
        <v>1334</v>
      </c>
      <c r="C209" s="810"/>
      <c r="D209" s="811"/>
      <c r="E209" s="811">
        <v>15</v>
      </c>
      <c r="F209" s="783"/>
      <c r="G209" s="782"/>
      <c r="H209" s="797">
        <f>SUM(C209:G209)</f>
        <v>15</v>
      </c>
      <c r="I209" s="794"/>
      <c r="J209" s="783"/>
      <c r="K209" s="783"/>
      <c r="L209" s="797">
        <f>SUM(I209:K209)</f>
        <v>0</v>
      </c>
      <c r="M209" s="798">
        <f>SUM(H209+L209)</f>
        <v>15</v>
      </c>
      <c r="N209" s="787"/>
      <c r="O209" s="798">
        <f>SUM(M209+N209)</f>
        <v>15</v>
      </c>
    </row>
    <row r="210" spans="1:16" s="788" customFormat="1" ht="95.25" thickBot="1" x14ac:dyDescent="0.3">
      <c r="A210" s="779"/>
      <c r="B210" s="724" t="s">
        <v>1336</v>
      </c>
      <c r="C210" s="810">
        <v>1797</v>
      </c>
      <c r="D210" s="811">
        <v>270</v>
      </c>
      <c r="E210" s="811"/>
      <c r="F210" s="783"/>
      <c r="G210" s="782"/>
      <c r="H210" s="797">
        <f>SUM(C210:G210)</f>
        <v>2067</v>
      </c>
      <c r="I210" s="794"/>
      <c r="J210" s="783"/>
      <c r="K210" s="783"/>
      <c r="L210" s="797">
        <f>SUM(I210:K210)</f>
        <v>0</v>
      </c>
      <c r="M210" s="798">
        <f>SUM(H210+L210)</f>
        <v>2067</v>
      </c>
      <c r="N210" s="787"/>
      <c r="O210" s="798">
        <f>SUM(M210+N210)</f>
        <v>2067</v>
      </c>
    </row>
    <row r="211" spans="1:16" ht="17.25" thickTop="1" thickBot="1" x14ac:dyDescent="0.3">
      <c r="A211" s="791"/>
      <c r="B211" s="792" t="s">
        <v>379</v>
      </c>
      <c r="C211" s="793">
        <f>+C196+C200+C208+C201+C202+C203+C204+C205+C206+C209+C210</f>
        <v>211175</v>
      </c>
      <c r="D211" s="793">
        <f t="shared" ref="D211:O211" si="84">+D196+D200+D208+D201+D202+D203+D204+D205+D206+D209+D210</f>
        <v>38357</v>
      </c>
      <c r="E211" s="793">
        <f t="shared" si="84"/>
        <v>74380</v>
      </c>
      <c r="F211" s="793">
        <f t="shared" si="84"/>
        <v>0</v>
      </c>
      <c r="G211" s="793">
        <f t="shared" si="84"/>
        <v>0</v>
      </c>
      <c r="H211" s="793">
        <f t="shared" si="84"/>
        <v>323912</v>
      </c>
      <c r="I211" s="793">
        <f t="shared" si="84"/>
        <v>0</v>
      </c>
      <c r="J211" s="793">
        <f t="shared" si="84"/>
        <v>0</v>
      </c>
      <c r="K211" s="793">
        <f t="shared" si="84"/>
        <v>0</v>
      </c>
      <c r="L211" s="793">
        <f t="shared" si="84"/>
        <v>0</v>
      </c>
      <c r="M211" s="793">
        <f t="shared" si="84"/>
        <v>323912</v>
      </c>
      <c r="N211" s="793">
        <f t="shared" si="84"/>
        <v>0</v>
      </c>
      <c r="O211" s="793">
        <f t="shared" si="84"/>
        <v>323912</v>
      </c>
      <c r="P211" s="698">
        <f>O212+O213</f>
        <v>323912</v>
      </c>
    </row>
    <row r="212" spans="1:16" ht="17.25" thickTop="1" thickBot="1" x14ac:dyDescent="0.3">
      <c r="A212" s="791"/>
      <c r="B212" s="792" t="s">
        <v>378</v>
      </c>
      <c r="C212" s="793">
        <f t="shared" ref="C212:O212" si="85">+C197+C200+C201+C202+C203+C204+C205+C206</f>
        <v>206502</v>
      </c>
      <c r="D212" s="793">
        <f t="shared" si="85"/>
        <v>37335</v>
      </c>
      <c r="E212" s="793">
        <f t="shared" si="85"/>
        <v>74365</v>
      </c>
      <c r="F212" s="793">
        <f t="shared" si="85"/>
        <v>0</v>
      </c>
      <c r="G212" s="793">
        <f t="shared" si="85"/>
        <v>0</v>
      </c>
      <c r="H212" s="793">
        <f t="shared" si="85"/>
        <v>318202</v>
      </c>
      <c r="I212" s="793">
        <f t="shared" si="85"/>
        <v>0</v>
      </c>
      <c r="J212" s="793">
        <f t="shared" si="85"/>
        <v>0</v>
      </c>
      <c r="K212" s="793">
        <f t="shared" si="85"/>
        <v>0</v>
      </c>
      <c r="L212" s="793">
        <f t="shared" si="85"/>
        <v>0</v>
      </c>
      <c r="M212" s="793">
        <f t="shared" si="85"/>
        <v>318202</v>
      </c>
      <c r="N212" s="793">
        <f t="shared" si="85"/>
        <v>0</v>
      </c>
      <c r="O212" s="793">
        <f t="shared" si="85"/>
        <v>318202</v>
      </c>
    </row>
    <row r="213" spans="1:16" ht="17.25" thickTop="1" thickBot="1" x14ac:dyDescent="0.3">
      <c r="A213" s="791"/>
      <c r="B213" s="792" t="s">
        <v>377</v>
      </c>
      <c r="C213" s="793">
        <f>+C198+C208+C209+C210</f>
        <v>4673</v>
      </c>
      <c r="D213" s="793">
        <f t="shared" ref="D213:O213" si="86">+D198+D208+D209+D210</f>
        <v>1022</v>
      </c>
      <c r="E213" s="793">
        <f t="shared" si="86"/>
        <v>15</v>
      </c>
      <c r="F213" s="793">
        <f t="shared" si="86"/>
        <v>0</v>
      </c>
      <c r="G213" s="793">
        <f t="shared" si="86"/>
        <v>0</v>
      </c>
      <c r="H213" s="793">
        <f t="shared" si="86"/>
        <v>5710</v>
      </c>
      <c r="I213" s="793">
        <f t="shared" si="86"/>
        <v>0</v>
      </c>
      <c r="J213" s="793">
        <f t="shared" si="86"/>
        <v>0</v>
      </c>
      <c r="K213" s="793">
        <f t="shared" si="86"/>
        <v>0</v>
      </c>
      <c r="L213" s="793">
        <f t="shared" si="86"/>
        <v>0</v>
      </c>
      <c r="M213" s="793">
        <f t="shared" si="86"/>
        <v>5710</v>
      </c>
      <c r="N213" s="793">
        <f t="shared" si="86"/>
        <v>0</v>
      </c>
      <c r="O213" s="793">
        <f t="shared" si="86"/>
        <v>5710</v>
      </c>
    </row>
    <row r="214" spans="1:16" ht="16.5" thickTop="1" x14ac:dyDescent="0.25">
      <c r="A214" s="771" t="s">
        <v>2</v>
      </c>
      <c r="B214" s="772" t="s">
        <v>402</v>
      </c>
      <c r="C214" s="773"/>
      <c r="D214" s="774"/>
      <c r="E214" s="774"/>
      <c r="F214" s="790"/>
      <c r="G214" s="774"/>
      <c r="H214" s="776"/>
      <c r="I214" s="777"/>
      <c r="J214" s="775"/>
      <c r="K214" s="775"/>
      <c r="L214" s="776"/>
      <c r="M214" s="776"/>
      <c r="N214" s="776"/>
      <c r="O214" s="776"/>
    </row>
    <row r="215" spans="1:16" x14ac:dyDescent="0.25">
      <c r="A215" s="795"/>
      <c r="B215" s="772" t="s">
        <v>347</v>
      </c>
      <c r="C215" s="773">
        <f>SUM(C216:C217)</f>
        <v>135113</v>
      </c>
      <c r="D215" s="773">
        <f>SUM(D216:D217)</f>
        <v>24812</v>
      </c>
      <c r="E215" s="773">
        <f>SUM(E216:E217)</f>
        <v>51809</v>
      </c>
      <c r="F215" s="775"/>
      <c r="G215" s="774"/>
      <c r="H215" s="776">
        <f>SUM(C215:G215)</f>
        <v>211734</v>
      </c>
      <c r="I215" s="777"/>
      <c r="J215" s="775"/>
      <c r="K215" s="775"/>
      <c r="L215" s="776">
        <f>SUM(I215:K215)</f>
        <v>0</v>
      </c>
      <c r="M215" s="778">
        <f>SUM(H215+L215)</f>
        <v>211734</v>
      </c>
      <c r="N215" s="778"/>
      <c r="O215" s="778">
        <f>SUM(M215+N215)</f>
        <v>211734</v>
      </c>
    </row>
    <row r="216" spans="1:16" s="788" customFormat="1" x14ac:dyDescent="0.25">
      <c r="A216" s="816"/>
      <c r="B216" s="780" t="s">
        <v>381</v>
      </c>
      <c r="C216" s="781">
        <v>133920</v>
      </c>
      <c r="D216" s="782">
        <v>24424</v>
      </c>
      <c r="E216" s="782">
        <v>51809</v>
      </c>
      <c r="F216" s="783"/>
      <c r="G216" s="782"/>
      <c r="H216" s="784">
        <f>SUM(C216:G216)</f>
        <v>210153</v>
      </c>
      <c r="I216" s="794"/>
      <c r="J216" s="783"/>
      <c r="K216" s="783"/>
      <c r="L216" s="784">
        <f>SUM(I216:K216)</f>
        <v>0</v>
      </c>
      <c r="M216" s="787">
        <f>SUM(H216+L216)</f>
        <v>210153</v>
      </c>
      <c r="N216" s="787"/>
      <c r="O216" s="787">
        <f>SUM(M216+N216)</f>
        <v>210153</v>
      </c>
    </row>
    <row r="217" spans="1:16" s="788" customFormat="1" x14ac:dyDescent="0.25">
      <c r="A217" s="816"/>
      <c r="B217" s="780" t="s">
        <v>380</v>
      </c>
      <c r="C217" s="781">
        <v>1193</v>
      </c>
      <c r="D217" s="782">
        <v>388</v>
      </c>
      <c r="E217" s="782"/>
      <c r="F217" s="783"/>
      <c r="G217" s="782"/>
      <c r="H217" s="784">
        <f>SUM(C217:G217)</f>
        <v>1581</v>
      </c>
      <c r="I217" s="794"/>
      <c r="J217" s="783"/>
      <c r="K217" s="783"/>
      <c r="L217" s="784">
        <f>SUM(I217:K217)</f>
        <v>0</v>
      </c>
      <c r="M217" s="787">
        <f>SUM(H217+L217)</f>
        <v>1581</v>
      </c>
      <c r="N217" s="787"/>
      <c r="O217" s="787">
        <f>SUM(M217+N217)</f>
        <v>1581</v>
      </c>
    </row>
    <row r="218" spans="1:16" x14ac:dyDescent="0.25">
      <c r="A218" s="795"/>
      <c r="B218" s="796" t="s">
        <v>131</v>
      </c>
      <c r="C218" s="773"/>
      <c r="D218" s="774"/>
      <c r="E218" s="774"/>
      <c r="F218" s="775"/>
      <c r="G218" s="774"/>
      <c r="H218" s="784"/>
      <c r="I218" s="777"/>
      <c r="J218" s="775"/>
      <c r="K218" s="775"/>
      <c r="L218" s="784"/>
      <c r="M218" s="787"/>
      <c r="N218" s="778"/>
      <c r="O218" s="787"/>
    </row>
    <row r="219" spans="1:16" ht="31.5" x14ac:dyDescent="0.25">
      <c r="A219" s="795"/>
      <c r="B219" s="724" t="s">
        <v>1325</v>
      </c>
      <c r="C219" s="810">
        <v>268</v>
      </c>
      <c r="D219" s="811">
        <v>44</v>
      </c>
      <c r="E219" s="811"/>
      <c r="F219" s="812"/>
      <c r="G219" s="811"/>
      <c r="H219" s="797">
        <f t="shared" ref="H219:H229" si="87">SUM(C219:G219)</f>
        <v>312</v>
      </c>
      <c r="I219" s="815"/>
      <c r="J219" s="812"/>
      <c r="K219" s="812"/>
      <c r="L219" s="797">
        <f t="shared" ref="L219:L229" si="88">SUM(I219:K219)</f>
        <v>0</v>
      </c>
      <c r="M219" s="798">
        <f t="shared" ref="M219:M229" si="89">SUM(H219+L219)</f>
        <v>312</v>
      </c>
      <c r="N219" s="798"/>
      <c r="O219" s="798">
        <f t="shared" ref="O219:O229" si="90">SUM(M219+N219)</f>
        <v>312</v>
      </c>
    </row>
    <row r="220" spans="1:16" ht="63" x14ac:dyDescent="0.25">
      <c r="A220" s="795"/>
      <c r="B220" s="772" t="s">
        <v>1337</v>
      </c>
      <c r="C220" s="810">
        <v>3574</v>
      </c>
      <c r="D220" s="811">
        <v>554</v>
      </c>
      <c r="E220" s="811"/>
      <c r="F220" s="812"/>
      <c r="G220" s="811"/>
      <c r="H220" s="797">
        <f t="shared" si="87"/>
        <v>4128</v>
      </c>
      <c r="I220" s="815"/>
      <c r="J220" s="812"/>
      <c r="K220" s="812"/>
      <c r="L220" s="797">
        <f t="shared" si="88"/>
        <v>0</v>
      </c>
      <c r="M220" s="797">
        <f t="shared" si="89"/>
        <v>4128</v>
      </c>
      <c r="N220" s="797"/>
      <c r="O220" s="797">
        <f t="shared" si="90"/>
        <v>4128</v>
      </c>
    </row>
    <row r="221" spans="1:16" ht="31.5" x14ac:dyDescent="0.25">
      <c r="A221" s="795"/>
      <c r="B221" s="772" t="s">
        <v>1338</v>
      </c>
      <c r="C221" s="810">
        <v>549</v>
      </c>
      <c r="D221" s="811">
        <v>85</v>
      </c>
      <c r="E221" s="811"/>
      <c r="F221" s="812"/>
      <c r="G221" s="811"/>
      <c r="H221" s="797">
        <f t="shared" si="87"/>
        <v>634</v>
      </c>
      <c r="I221" s="815"/>
      <c r="J221" s="812"/>
      <c r="K221" s="812"/>
      <c r="L221" s="797">
        <f t="shared" si="88"/>
        <v>0</v>
      </c>
      <c r="M221" s="797">
        <f t="shared" si="89"/>
        <v>634</v>
      </c>
      <c r="N221" s="797"/>
      <c r="O221" s="797">
        <f t="shared" si="90"/>
        <v>634</v>
      </c>
    </row>
    <row r="222" spans="1:16" ht="31.5" x14ac:dyDescent="0.25">
      <c r="A222" s="795"/>
      <c r="B222" s="724" t="s">
        <v>1327</v>
      </c>
      <c r="C222" s="810">
        <v>-3903</v>
      </c>
      <c r="D222" s="811">
        <v>-1022</v>
      </c>
      <c r="E222" s="811"/>
      <c r="F222" s="812"/>
      <c r="G222" s="811"/>
      <c r="H222" s="797">
        <f t="shared" si="87"/>
        <v>-4925</v>
      </c>
      <c r="I222" s="815"/>
      <c r="J222" s="812"/>
      <c r="K222" s="812"/>
      <c r="L222" s="797">
        <f t="shared" si="88"/>
        <v>0</v>
      </c>
      <c r="M222" s="798">
        <f t="shared" si="89"/>
        <v>-4925</v>
      </c>
      <c r="N222" s="798"/>
      <c r="O222" s="798">
        <f t="shared" si="90"/>
        <v>-4925</v>
      </c>
    </row>
    <row r="223" spans="1:16" ht="31.5" x14ac:dyDescent="0.25">
      <c r="A223" s="795"/>
      <c r="B223" s="724" t="s">
        <v>961</v>
      </c>
      <c r="C223" s="810"/>
      <c r="D223" s="811"/>
      <c r="E223" s="811">
        <v>263</v>
      </c>
      <c r="F223" s="812"/>
      <c r="G223" s="811"/>
      <c r="H223" s="797">
        <f t="shared" si="87"/>
        <v>263</v>
      </c>
      <c r="I223" s="815"/>
      <c r="J223" s="812"/>
      <c r="K223" s="812"/>
      <c r="L223" s="797">
        <f t="shared" si="88"/>
        <v>0</v>
      </c>
      <c r="M223" s="797">
        <f t="shared" si="89"/>
        <v>263</v>
      </c>
      <c r="N223" s="797"/>
      <c r="O223" s="797">
        <f t="shared" si="90"/>
        <v>263</v>
      </c>
    </row>
    <row r="224" spans="1:16" ht="47.25" x14ac:dyDescent="0.25">
      <c r="A224" s="795"/>
      <c r="B224" s="724" t="s">
        <v>1342</v>
      </c>
      <c r="C224" s="810">
        <v>20588</v>
      </c>
      <c r="D224" s="811">
        <v>3124</v>
      </c>
      <c r="E224" s="811">
        <v>7757</v>
      </c>
      <c r="F224" s="812"/>
      <c r="G224" s="811">
        <v>-246</v>
      </c>
      <c r="H224" s="797">
        <f t="shared" si="87"/>
        <v>31223</v>
      </c>
      <c r="I224" s="815"/>
      <c r="J224" s="812"/>
      <c r="K224" s="812"/>
      <c r="L224" s="797">
        <f t="shared" si="88"/>
        <v>0</v>
      </c>
      <c r="M224" s="797">
        <f t="shared" si="89"/>
        <v>31223</v>
      </c>
      <c r="N224" s="797"/>
      <c r="O224" s="797">
        <f t="shared" si="90"/>
        <v>31223</v>
      </c>
    </row>
    <row r="225" spans="1:16" ht="81.75" customHeight="1" x14ac:dyDescent="0.25">
      <c r="A225" s="795"/>
      <c r="B225" s="724" t="s">
        <v>1343</v>
      </c>
      <c r="C225" s="810">
        <v>1699</v>
      </c>
      <c r="D225" s="811">
        <v>263</v>
      </c>
      <c r="E225" s="811"/>
      <c r="F225" s="812"/>
      <c r="G225" s="811"/>
      <c r="H225" s="797">
        <f t="shared" si="87"/>
        <v>1962</v>
      </c>
      <c r="I225" s="815"/>
      <c r="J225" s="812"/>
      <c r="K225" s="812"/>
      <c r="L225" s="797">
        <f t="shared" si="88"/>
        <v>0</v>
      </c>
      <c r="M225" s="797">
        <f t="shared" si="89"/>
        <v>1962</v>
      </c>
      <c r="N225" s="798"/>
      <c r="O225" s="797">
        <f t="shared" si="90"/>
        <v>1962</v>
      </c>
    </row>
    <row r="226" spans="1:16" ht="47.25" x14ac:dyDescent="0.25">
      <c r="A226" s="795"/>
      <c r="B226" s="724" t="s">
        <v>1344</v>
      </c>
      <c r="C226" s="810">
        <v>329</v>
      </c>
      <c r="D226" s="811">
        <v>50</v>
      </c>
      <c r="E226" s="811"/>
      <c r="F226" s="812"/>
      <c r="G226" s="811"/>
      <c r="H226" s="797">
        <f t="shared" si="87"/>
        <v>379</v>
      </c>
      <c r="I226" s="815"/>
      <c r="J226" s="812"/>
      <c r="K226" s="812"/>
      <c r="L226" s="797">
        <f t="shared" si="88"/>
        <v>0</v>
      </c>
      <c r="M226" s="797">
        <f t="shared" si="89"/>
        <v>379</v>
      </c>
      <c r="N226" s="798"/>
      <c r="O226" s="797">
        <f t="shared" si="90"/>
        <v>379</v>
      </c>
    </row>
    <row r="227" spans="1:16" ht="31.5" x14ac:dyDescent="0.25">
      <c r="A227" s="795"/>
      <c r="B227" s="724" t="s">
        <v>1345</v>
      </c>
      <c r="C227" s="810">
        <v>-497</v>
      </c>
      <c r="D227" s="811">
        <v>-118</v>
      </c>
      <c r="E227" s="811"/>
      <c r="F227" s="812"/>
      <c r="G227" s="811"/>
      <c r="H227" s="797">
        <f t="shared" si="87"/>
        <v>-615</v>
      </c>
      <c r="I227" s="815"/>
      <c r="J227" s="812"/>
      <c r="K227" s="812"/>
      <c r="L227" s="797">
        <f t="shared" si="88"/>
        <v>0</v>
      </c>
      <c r="M227" s="797">
        <f t="shared" si="89"/>
        <v>-615</v>
      </c>
      <c r="N227" s="798"/>
      <c r="O227" s="797">
        <f t="shared" si="90"/>
        <v>-615</v>
      </c>
    </row>
    <row r="228" spans="1:16" ht="29.25" customHeight="1" x14ac:dyDescent="0.25">
      <c r="A228" s="795"/>
      <c r="B228" s="724" t="s">
        <v>1346</v>
      </c>
      <c r="C228" s="810"/>
      <c r="D228" s="811"/>
      <c r="E228" s="811"/>
      <c r="F228" s="812"/>
      <c r="G228" s="811">
        <v>285</v>
      </c>
      <c r="H228" s="797">
        <f t="shared" si="87"/>
        <v>285</v>
      </c>
      <c r="I228" s="815"/>
      <c r="J228" s="812"/>
      <c r="K228" s="812"/>
      <c r="L228" s="797">
        <f t="shared" si="88"/>
        <v>0</v>
      </c>
      <c r="M228" s="798">
        <f t="shared" si="89"/>
        <v>285</v>
      </c>
      <c r="N228" s="798"/>
      <c r="O228" s="798">
        <f t="shared" si="90"/>
        <v>285</v>
      </c>
    </row>
    <row r="229" spans="1:16" ht="39" customHeight="1" x14ac:dyDescent="0.25">
      <c r="A229" s="795"/>
      <c r="B229" s="724" t="s">
        <v>1347</v>
      </c>
      <c r="C229" s="810">
        <v>-25000</v>
      </c>
      <c r="D229" s="811">
        <v>-3622</v>
      </c>
      <c r="E229" s="811">
        <v>-15920</v>
      </c>
      <c r="F229" s="812"/>
      <c r="G229" s="811"/>
      <c r="H229" s="797">
        <f t="shared" si="87"/>
        <v>-44542</v>
      </c>
      <c r="I229" s="815"/>
      <c r="J229" s="812"/>
      <c r="K229" s="812"/>
      <c r="L229" s="797">
        <f t="shared" si="88"/>
        <v>0</v>
      </c>
      <c r="M229" s="798">
        <f t="shared" si="89"/>
        <v>-44542</v>
      </c>
      <c r="N229" s="798"/>
      <c r="O229" s="798">
        <f t="shared" si="90"/>
        <v>-44542</v>
      </c>
    </row>
    <row r="230" spans="1:16" x14ac:dyDescent="0.25">
      <c r="A230" s="795"/>
      <c r="B230" s="729" t="s">
        <v>132</v>
      </c>
      <c r="C230" s="810"/>
      <c r="D230" s="811"/>
      <c r="E230" s="811"/>
      <c r="F230" s="812"/>
      <c r="G230" s="811"/>
      <c r="H230" s="797"/>
      <c r="I230" s="815"/>
      <c r="J230" s="812"/>
      <c r="K230" s="812"/>
      <c r="L230" s="797"/>
      <c r="M230" s="797"/>
      <c r="N230" s="797"/>
      <c r="O230" s="798"/>
    </row>
    <row r="231" spans="1:16" x14ac:dyDescent="0.25">
      <c r="A231" s="795"/>
      <c r="B231" s="724" t="s">
        <v>1330</v>
      </c>
      <c r="C231" s="810">
        <v>683</v>
      </c>
      <c r="D231" s="811">
        <v>102</v>
      </c>
      <c r="E231" s="811"/>
      <c r="F231" s="812"/>
      <c r="G231" s="811"/>
      <c r="H231" s="797">
        <f t="shared" ref="H231:H236" si="91">SUM(C231:G231)</f>
        <v>785</v>
      </c>
      <c r="I231" s="815"/>
      <c r="J231" s="812"/>
      <c r="K231" s="812"/>
      <c r="L231" s="797">
        <f t="shared" ref="L231:L236" si="92">SUM(I231:K231)</f>
        <v>0</v>
      </c>
      <c r="M231" s="798">
        <f t="shared" ref="M231:M236" si="93">SUM(H231+L231)</f>
        <v>785</v>
      </c>
      <c r="N231" s="798"/>
      <c r="O231" s="798">
        <f t="shared" ref="O231:O236" si="94">SUM(M231+N231)</f>
        <v>785</v>
      </c>
    </row>
    <row r="232" spans="1:16" x14ac:dyDescent="0.25">
      <c r="A232" s="795"/>
      <c r="B232" s="724" t="s">
        <v>1348</v>
      </c>
      <c r="C232" s="810">
        <v>285</v>
      </c>
      <c r="D232" s="811">
        <v>43</v>
      </c>
      <c r="E232" s="811"/>
      <c r="F232" s="812"/>
      <c r="G232" s="811"/>
      <c r="H232" s="797">
        <f t="shared" si="91"/>
        <v>328</v>
      </c>
      <c r="I232" s="815"/>
      <c r="J232" s="812"/>
      <c r="K232" s="812"/>
      <c r="L232" s="797">
        <f t="shared" si="92"/>
        <v>0</v>
      </c>
      <c r="M232" s="798">
        <f t="shared" si="93"/>
        <v>328</v>
      </c>
      <c r="N232" s="798"/>
      <c r="O232" s="798">
        <f t="shared" si="94"/>
        <v>328</v>
      </c>
    </row>
    <row r="233" spans="1:16" ht="78.75" x14ac:dyDescent="0.25">
      <c r="A233" s="795"/>
      <c r="B233" s="724" t="s">
        <v>1349</v>
      </c>
      <c r="C233" s="810"/>
      <c r="D233" s="811"/>
      <c r="E233" s="811">
        <v>235</v>
      </c>
      <c r="F233" s="812"/>
      <c r="G233" s="811"/>
      <c r="H233" s="797">
        <f t="shared" si="91"/>
        <v>235</v>
      </c>
      <c r="I233" s="815"/>
      <c r="J233" s="812"/>
      <c r="K233" s="812"/>
      <c r="L233" s="797">
        <f t="shared" si="92"/>
        <v>0</v>
      </c>
      <c r="M233" s="798">
        <f t="shared" si="93"/>
        <v>235</v>
      </c>
      <c r="N233" s="798"/>
      <c r="O233" s="798">
        <f t="shared" si="94"/>
        <v>235</v>
      </c>
    </row>
    <row r="234" spans="1:16" ht="110.25" x14ac:dyDescent="0.25">
      <c r="A234" s="795"/>
      <c r="B234" s="724" t="s">
        <v>1350</v>
      </c>
      <c r="C234" s="810"/>
      <c r="D234" s="811"/>
      <c r="E234" s="811">
        <v>30</v>
      </c>
      <c r="F234" s="812"/>
      <c r="G234" s="811"/>
      <c r="H234" s="797">
        <f t="shared" si="91"/>
        <v>30</v>
      </c>
      <c r="I234" s="815"/>
      <c r="J234" s="812"/>
      <c r="K234" s="812"/>
      <c r="L234" s="797">
        <f t="shared" si="92"/>
        <v>0</v>
      </c>
      <c r="M234" s="798">
        <f t="shared" si="93"/>
        <v>30</v>
      </c>
      <c r="N234" s="798"/>
      <c r="O234" s="798">
        <f t="shared" si="94"/>
        <v>30</v>
      </c>
    </row>
    <row r="235" spans="1:16" ht="94.5" x14ac:dyDescent="0.25">
      <c r="A235" s="795"/>
      <c r="B235" s="724" t="s">
        <v>1336</v>
      </c>
      <c r="C235" s="810">
        <v>981</v>
      </c>
      <c r="D235" s="811">
        <v>147</v>
      </c>
      <c r="E235" s="811"/>
      <c r="F235" s="812"/>
      <c r="G235" s="811"/>
      <c r="H235" s="797">
        <f t="shared" si="91"/>
        <v>1128</v>
      </c>
      <c r="I235" s="815"/>
      <c r="J235" s="812"/>
      <c r="K235" s="812"/>
      <c r="L235" s="797">
        <f t="shared" si="92"/>
        <v>0</v>
      </c>
      <c r="M235" s="798">
        <f t="shared" si="93"/>
        <v>1128</v>
      </c>
      <c r="N235" s="798"/>
      <c r="O235" s="798">
        <f t="shared" si="94"/>
        <v>1128</v>
      </c>
    </row>
    <row r="236" spans="1:16" ht="66" customHeight="1" thickBot="1" x14ac:dyDescent="0.3">
      <c r="A236" s="795"/>
      <c r="B236" s="724" t="s">
        <v>1342</v>
      </c>
      <c r="C236" s="810">
        <v>-285</v>
      </c>
      <c r="D236" s="811">
        <v>-43</v>
      </c>
      <c r="E236" s="811"/>
      <c r="F236" s="812"/>
      <c r="G236" s="811"/>
      <c r="H236" s="797">
        <f t="shared" si="91"/>
        <v>-328</v>
      </c>
      <c r="I236" s="815"/>
      <c r="J236" s="812"/>
      <c r="K236" s="812"/>
      <c r="L236" s="797">
        <f t="shared" si="92"/>
        <v>0</v>
      </c>
      <c r="M236" s="798">
        <f t="shared" si="93"/>
        <v>-328</v>
      </c>
      <c r="N236" s="798"/>
      <c r="O236" s="798">
        <f t="shared" si="94"/>
        <v>-328</v>
      </c>
    </row>
    <row r="237" spans="1:16" ht="17.25" thickTop="1" thickBot="1" x14ac:dyDescent="0.3">
      <c r="A237" s="791"/>
      <c r="B237" s="792" t="s">
        <v>379</v>
      </c>
      <c r="C237" s="793">
        <f>+C215+C219+C220+C231+C221+C222+C223+C224+C228+C233+C234+C232+C225+C226+C227+C235+C229+C236</f>
        <v>134384</v>
      </c>
      <c r="D237" s="793">
        <f t="shared" ref="D237:O237" si="95">+D215+D219+D220+D231+D221+D222+D223+D224+D228+D233+D234+D232+D225+D226+D227+D235+D229+D236</f>
        <v>24419</v>
      </c>
      <c r="E237" s="793">
        <f t="shared" si="95"/>
        <v>44174</v>
      </c>
      <c r="F237" s="793">
        <f t="shared" si="95"/>
        <v>0</v>
      </c>
      <c r="G237" s="793">
        <f t="shared" si="95"/>
        <v>39</v>
      </c>
      <c r="H237" s="793">
        <f t="shared" si="95"/>
        <v>203016</v>
      </c>
      <c r="I237" s="793">
        <f t="shared" si="95"/>
        <v>0</v>
      </c>
      <c r="J237" s="793">
        <f t="shared" si="95"/>
        <v>0</v>
      </c>
      <c r="K237" s="793">
        <f t="shared" si="95"/>
        <v>0</v>
      </c>
      <c r="L237" s="793">
        <f t="shared" si="95"/>
        <v>0</v>
      </c>
      <c r="M237" s="793">
        <f t="shared" si="95"/>
        <v>203016</v>
      </c>
      <c r="N237" s="793">
        <f t="shared" si="95"/>
        <v>0</v>
      </c>
      <c r="O237" s="793">
        <f t="shared" si="95"/>
        <v>203016</v>
      </c>
      <c r="P237" s="698">
        <f>O238+O239</f>
        <v>203016</v>
      </c>
    </row>
    <row r="238" spans="1:16" ht="17.25" thickTop="1" thickBot="1" x14ac:dyDescent="0.3">
      <c r="A238" s="791"/>
      <c r="B238" s="792" t="s">
        <v>378</v>
      </c>
      <c r="C238" s="793">
        <f>+C216+C219+C220+C221+C222+C223+C224+C228+C225+C226+C227+C229</f>
        <v>131527</v>
      </c>
      <c r="D238" s="793">
        <f t="shared" ref="D238:O238" si="96">+D216+D219+D220+D221+D222+D223+D224+D228+D225+D226+D227+D229</f>
        <v>23782</v>
      </c>
      <c r="E238" s="793">
        <f t="shared" si="96"/>
        <v>43909</v>
      </c>
      <c r="F238" s="793">
        <f t="shared" si="96"/>
        <v>0</v>
      </c>
      <c r="G238" s="793">
        <f t="shared" si="96"/>
        <v>39</v>
      </c>
      <c r="H238" s="793">
        <f t="shared" si="96"/>
        <v>199257</v>
      </c>
      <c r="I238" s="793">
        <f t="shared" si="96"/>
        <v>0</v>
      </c>
      <c r="J238" s="793">
        <f t="shared" si="96"/>
        <v>0</v>
      </c>
      <c r="K238" s="793">
        <f t="shared" si="96"/>
        <v>0</v>
      </c>
      <c r="L238" s="793">
        <f t="shared" si="96"/>
        <v>0</v>
      </c>
      <c r="M238" s="793">
        <f t="shared" si="96"/>
        <v>199257</v>
      </c>
      <c r="N238" s="793">
        <f t="shared" si="96"/>
        <v>0</v>
      </c>
      <c r="O238" s="793">
        <f t="shared" si="96"/>
        <v>199257</v>
      </c>
    </row>
    <row r="239" spans="1:16" ht="17.25" thickTop="1" thickBot="1" x14ac:dyDescent="0.3">
      <c r="A239" s="791"/>
      <c r="B239" s="792" t="s">
        <v>377</v>
      </c>
      <c r="C239" s="793">
        <f>+C217+C231+C233+C234+C232+C235+C236</f>
        <v>2857</v>
      </c>
      <c r="D239" s="793">
        <f t="shared" ref="D239:O239" si="97">+D217+D231+D233+D234+D232+D235+D236</f>
        <v>637</v>
      </c>
      <c r="E239" s="793">
        <f t="shared" si="97"/>
        <v>265</v>
      </c>
      <c r="F239" s="793">
        <f t="shared" si="97"/>
        <v>0</v>
      </c>
      <c r="G239" s="793">
        <f t="shared" si="97"/>
        <v>0</v>
      </c>
      <c r="H239" s="793">
        <f t="shared" si="97"/>
        <v>3759</v>
      </c>
      <c r="I239" s="793">
        <f t="shared" si="97"/>
        <v>0</v>
      </c>
      <c r="J239" s="793">
        <f t="shared" si="97"/>
        <v>0</v>
      </c>
      <c r="K239" s="793">
        <f t="shared" si="97"/>
        <v>0</v>
      </c>
      <c r="L239" s="793">
        <f t="shared" si="97"/>
        <v>0</v>
      </c>
      <c r="M239" s="793">
        <f t="shared" si="97"/>
        <v>3759</v>
      </c>
      <c r="N239" s="793">
        <f t="shared" si="97"/>
        <v>0</v>
      </c>
      <c r="O239" s="793">
        <f t="shared" si="97"/>
        <v>3759</v>
      </c>
    </row>
    <row r="240" spans="1:16" ht="16.5" thickTop="1" x14ac:dyDescent="0.25">
      <c r="A240" s="771" t="s">
        <v>3</v>
      </c>
      <c r="B240" s="772" t="s">
        <v>401</v>
      </c>
      <c r="C240" s="773"/>
      <c r="D240" s="774"/>
      <c r="E240" s="774"/>
      <c r="F240" s="790"/>
      <c r="G240" s="774"/>
      <c r="H240" s="776"/>
      <c r="I240" s="777"/>
      <c r="J240" s="775"/>
      <c r="K240" s="775"/>
      <c r="L240" s="776"/>
      <c r="M240" s="776"/>
      <c r="N240" s="776"/>
      <c r="O240" s="776"/>
    </row>
    <row r="241" spans="1:15" x14ac:dyDescent="0.25">
      <c r="A241" s="771"/>
      <c r="B241" s="724" t="s">
        <v>347</v>
      </c>
      <c r="C241" s="773">
        <f>SUM(C242:C243)</f>
        <v>158646</v>
      </c>
      <c r="D241" s="773">
        <f>SUM(D242:D243)</f>
        <v>29389</v>
      </c>
      <c r="E241" s="773">
        <f>SUM(E242:E243)</f>
        <v>57049</v>
      </c>
      <c r="F241" s="775"/>
      <c r="G241" s="774"/>
      <c r="H241" s="776">
        <f>SUM(C241:G241)</f>
        <v>245084</v>
      </c>
      <c r="I241" s="777"/>
      <c r="J241" s="775"/>
      <c r="K241" s="775"/>
      <c r="L241" s="776">
        <f>SUM(I241:K241)</f>
        <v>0</v>
      </c>
      <c r="M241" s="778">
        <f>SUM(H241+L241)</f>
        <v>245084</v>
      </c>
      <c r="N241" s="778"/>
      <c r="O241" s="778">
        <f>SUM(M241+N241)</f>
        <v>245084</v>
      </c>
    </row>
    <row r="242" spans="1:15" s="788" customFormat="1" x14ac:dyDescent="0.25">
      <c r="A242" s="779"/>
      <c r="B242" s="780" t="s">
        <v>381</v>
      </c>
      <c r="C242" s="781">
        <v>157101</v>
      </c>
      <c r="D242" s="782">
        <v>28887</v>
      </c>
      <c r="E242" s="782">
        <v>57049</v>
      </c>
      <c r="F242" s="783"/>
      <c r="G242" s="782"/>
      <c r="H242" s="784">
        <f>SUM(C242:G242)</f>
        <v>243037</v>
      </c>
      <c r="I242" s="794"/>
      <c r="J242" s="783"/>
      <c r="K242" s="783"/>
      <c r="L242" s="784">
        <f>SUM(I242:K242)</f>
        <v>0</v>
      </c>
      <c r="M242" s="787">
        <f>SUM(H242+L242)</f>
        <v>243037</v>
      </c>
      <c r="N242" s="787"/>
      <c r="O242" s="787">
        <f>SUM(M242+N242)</f>
        <v>243037</v>
      </c>
    </row>
    <row r="243" spans="1:15" s="788" customFormat="1" x14ac:dyDescent="0.25">
      <c r="A243" s="779"/>
      <c r="B243" s="780" t="s">
        <v>380</v>
      </c>
      <c r="C243" s="781">
        <v>1545</v>
      </c>
      <c r="D243" s="782">
        <v>502</v>
      </c>
      <c r="E243" s="782"/>
      <c r="F243" s="783"/>
      <c r="G243" s="782"/>
      <c r="H243" s="784">
        <f>SUM(C243:G243)</f>
        <v>2047</v>
      </c>
      <c r="I243" s="794"/>
      <c r="J243" s="783"/>
      <c r="K243" s="783"/>
      <c r="L243" s="784">
        <f>SUM(I243:K243)</f>
        <v>0</v>
      </c>
      <c r="M243" s="787">
        <f>SUM(H243+L243)</f>
        <v>2047</v>
      </c>
      <c r="N243" s="787"/>
      <c r="O243" s="787">
        <f>SUM(M243+N243)</f>
        <v>2047</v>
      </c>
    </row>
    <row r="244" spans="1:15" s="788" customFormat="1" x14ac:dyDescent="0.25">
      <c r="A244" s="779"/>
      <c r="B244" s="780" t="s">
        <v>131</v>
      </c>
      <c r="C244" s="781"/>
      <c r="D244" s="782"/>
      <c r="E244" s="782"/>
      <c r="F244" s="783"/>
      <c r="G244" s="782"/>
      <c r="H244" s="784"/>
      <c r="I244" s="794"/>
      <c r="J244" s="783"/>
      <c r="K244" s="783"/>
      <c r="L244" s="784"/>
      <c r="M244" s="787"/>
      <c r="N244" s="787"/>
      <c r="O244" s="787"/>
    </row>
    <row r="245" spans="1:15" s="788" customFormat="1" ht="63" x14ac:dyDescent="0.25">
      <c r="A245" s="779"/>
      <c r="B245" s="724" t="s">
        <v>1326</v>
      </c>
      <c r="C245" s="810">
        <v>1681</v>
      </c>
      <c r="D245" s="811">
        <v>260</v>
      </c>
      <c r="E245" s="811"/>
      <c r="F245" s="812"/>
      <c r="G245" s="782"/>
      <c r="H245" s="797">
        <f t="shared" ref="H245:H251" si="98">SUM(C245:G245)</f>
        <v>1941</v>
      </c>
      <c r="I245" s="794"/>
      <c r="J245" s="783"/>
      <c r="K245" s="783"/>
      <c r="L245" s="797">
        <f t="shared" ref="L245:L251" si="99">SUM(I245:K245)</f>
        <v>0</v>
      </c>
      <c r="M245" s="798">
        <f t="shared" ref="M245:M251" si="100">SUM(H245+L245)</f>
        <v>1941</v>
      </c>
      <c r="N245" s="787"/>
      <c r="O245" s="798">
        <f t="shared" ref="O245:O251" si="101">SUM(M245+N245)</f>
        <v>1941</v>
      </c>
    </row>
    <row r="246" spans="1:15" s="788" customFormat="1" ht="31.5" x14ac:dyDescent="0.25">
      <c r="A246" s="779"/>
      <c r="B246" s="724" t="s">
        <v>565</v>
      </c>
      <c r="C246" s="810"/>
      <c r="D246" s="811"/>
      <c r="E246" s="811">
        <v>-826</v>
      </c>
      <c r="F246" s="812"/>
      <c r="G246" s="782"/>
      <c r="H246" s="797">
        <f t="shared" si="98"/>
        <v>-826</v>
      </c>
      <c r="I246" s="815">
        <v>826</v>
      </c>
      <c r="J246" s="783"/>
      <c r="K246" s="783"/>
      <c r="L246" s="797">
        <f t="shared" si="99"/>
        <v>826</v>
      </c>
      <c r="M246" s="798">
        <f t="shared" si="100"/>
        <v>0</v>
      </c>
      <c r="N246" s="787"/>
      <c r="O246" s="798">
        <f t="shared" si="101"/>
        <v>0</v>
      </c>
    </row>
    <row r="247" spans="1:15" s="788" customFormat="1" ht="63" x14ac:dyDescent="0.25">
      <c r="A247" s="779"/>
      <c r="B247" s="724" t="s">
        <v>1337</v>
      </c>
      <c r="C247" s="810">
        <v>4292</v>
      </c>
      <c r="D247" s="811">
        <v>665</v>
      </c>
      <c r="E247" s="811"/>
      <c r="F247" s="812"/>
      <c r="G247" s="782"/>
      <c r="H247" s="797">
        <f t="shared" si="98"/>
        <v>4957</v>
      </c>
      <c r="I247" s="794"/>
      <c r="J247" s="783"/>
      <c r="K247" s="783"/>
      <c r="L247" s="797">
        <f t="shared" si="99"/>
        <v>0</v>
      </c>
      <c r="M247" s="798">
        <f t="shared" si="100"/>
        <v>4957</v>
      </c>
      <c r="N247" s="787"/>
      <c r="O247" s="798">
        <f t="shared" si="101"/>
        <v>4957</v>
      </c>
    </row>
    <row r="248" spans="1:15" s="788" customFormat="1" ht="31.5" x14ac:dyDescent="0.25">
      <c r="A248" s="779"/>
      <c r="B248" s="724" t="s">
        <v>1338</v>
      </c>
      <c r="C248" s="810">
        <v>1644</v>
      </c>
      <c r="D248" s="811">
        <v>255</v>
      </c>
      <c r="E248" s="811"/>
      <c r="F248" s="812"/>
      <c r="G248" s="782"/>
      <c r="H248" s="797">
        <f t="shared" si="98"/>
        <v>1899</v>
      </c>
      <c r="I248" s="794"/>
      <c r="J248" s="783"/>
      <c r="K248" s="783"/>
      <c r="L248" s="797">
        <f t="shared" si="99"/>
        <v>0</v>
      </c>
      <c r="M248" s="798">
        <f t="shared" si="100"/>
        <v>1899</v>
      </c>
      <c r="N248" s="787"/>
      <c r="O248" s="798">
        <f t="shared" si="101"/>
        <v>1899</v>
      </c>
    </row>
    <row r="249" spans="1:15" s="788" customFormat="1" ht="31.5" x14ac:dyDescent="0.25">
      <c r="A249" s="779"/>
      <c r="B249" s="724" t="s">
        <v>1327</v>
      </c>
      <c r="C249" s="810">
        <v>-363</v>
      </c>
      <c r="D249" s="811">
        <v>-293</v>
      </c>
      <c r="E249" s="811"/>
      <c r="F249" s="812"/>
      <c r="G249" s="782"/>
      <c r="H249" s="797">
        <f t="shared" si="98"/>
        <v>-656</v>
      </c>
      <c r="I249" s="794"/>
      <c r="J249" s="783"/>
      <c r="K249" s="783"/>
      <c r="L249" s="797">
        <f t="shared" si="99"/>
        <v>0</v>
      </c>
      <c r="M249" s="798">
        <f t="shared" si="100"/>
        <v>-656</v>
      </c>
      <c r="N249" s="787"/>
      <c r="O249" s="798">
        <f t="shared" si="101"/>
        <v>-656</v>
      </c>
    </row>
    <row r="250" spans="1:15" s="788" customFormat="1" ht="36" customHeight="1" x14ac:dyDescent="0.25">
      <c r="A250" s="779"/>
      <c r="B250" s="724" t="s">
        <v>1339</v>
      </c>
      <c r="C250" s="810"/>
      <c r="D250" s="811"/>
      <c r="E250" s="811">
        <v>-5528</v>
      </c>
      <c r="F250" s="812"/>
      <c r="G250" s="782"/>
      <c r="H250" s="797">
        <f t="shared" si="98"/>
        <v>-5528</v>
      </c>
      <c r="I250" s="794"/>
      <c r="J250" s="783"/>
      <c r="K250" s="783"/>
      <c r="L250" s="797">
        <f t="shared" si="99"/>
        <v>0</v>
      </c>
      <c r="M250" s="798">
        <f t="shared" si="100"/>
        <v>-5528</v>
      </c>
      <c r="N250" s="787"/>
      <c r="O250" s="798">
        <f t="shared" si="101"/>
        <v>-5528</v>
      </c>
    </row>
    <row r="251" spans="1:15" s="788" customFormat="1" ht="31.5" x14ac:dyDescent="0.25">
      <c r="A251" s="779"/>
      <c r="B251" s="724" t="s">
        <v>961</v>
      </c>
      <c r="C251" s="810"/>
      <c r="D251" s="811"/>
      <c r="E251" s="811">
        <v>60</v>
      </c>
      <c r="F251" s="812"/>
      <c r="G251" s="782"/>
      <c r="H251" s="797">
        <f t="shared" si="98"/>
        <v>60</v>
      </c>
      <c r="I251" s="794"/>
      <c r="J251" s="783"/>
      <c r="K251" s="783"/>
      <c r="L251" s="797">
        <f t="shared" si="99"/>
        <v>0</v>
      </c>
      <c r="M251" s="798">
        <f t="shared" si="100"/>
        <v>60</v>
      </c>
      <c r="N251" s="787"/>
      <c r="O251" s="798">
        <f t="shared" si="101"/>
        <v>60</v>
      </c>
    </row>
    <row r="252" spans="1:15" s="788" customFormat="1" x14ac:dyDescent="0.25">
      <c r="A252" s="779"/>
      <c r="B252" s="780" t="s">
        <v>132</v>
      </c>
      <c r="C252" s="810"/>
      <c r="D252" s="811"/>
      <c r="E252" s="811"/>
      <c r="F252" s="812"/>
      <c r="G252" s="782"/>
      <c r="H252" s="797"/>
      <c r="I252" s="794"/>
      <c r="J252" s="783"/>
      <c r="K252" s="783"/>
      <c r="L252" s="797"/>
      <c r="M252" s="798"/>
      <c r="N252" s="787"/>
      <c r="O252" s="798"/>
    </row>
    <row r="253" spans="1:15" s="788" customFormat="1" x14ac:dyDescent="0.25">
      <c r="A253" s="779"/>
      <c r="B253" s="724" t="s">
        <v>1330</v>
      </c>
      <c r="C253" s="810">
        <v>874</v>
      </c>
      <c r="D253" s="811">
        <v>131</v>
      </c>
      <c r="E253" s="811"/>
      <c r="F253" s="812"/>
      <c r="G253" s="782"/>
      <c r="H253" s="797">
        <f>SUM(C253:G253)</f>
        <v>1005</v>
      </c>
      <c r="I253" s="815"/>
      <c r="J253" s="783"/>
      <c r="K253" s="783"/>
      <c r="L253" s="797">
        <f>SUM(I253:K253)</f>
        <v>0</v>
      </c>
      <c r="M253" s="798">
        <f>SUM(H253+L253)</f>
        <v>1005</v>
      </c>
      <c r="N253" s="787"/>
      <c r="O253" s="798">
        <f>SUM(M253+N253)</f>
        <v>1005</v>
      </c>
    </row>
    <row r="254" spans="1:15" s="788" customFormat="1" ht="63" x14ac:dyDescent="0.25">
      <c r="A254" s="779"/>
      <c r="B254" s="724" t="s">
        <v>1351</v>
      </c>
      <c r="C254" s="810"/>
      <c r="D254" s="811"/>
      <c r="E254" s="811">
        <v>35</v>
      </c>
      <c r="F254" s="812"/>
      <c r="G254" s="782"/>
      <c r="H254" s="797">
        <f t="shared" ref="H254:H257" si="102">SUM(C254:G254)</f>
        <v>35</v>
      </c>
      <c r="I254" s="815"/>
      <c r="J254" s="783"/>
      <c r="K254" s="783"/>
      <c r="L254" s="797">
        <f t="shared" ref="L254:L257" si="103">SUM(I254:K254)</f>
        <v>0</v>
      </c>
      <c r="M254" s="798">
        <f t="shared" ref="M254:M257" si="104">SUM(H254+L254)</f>
        <v>35</v>
      </c>
      <c r="N254" s="787"/>
      <c r="O254" s="798">
        <f t="shared" ref="O254:O257" si="105">SUM(M254+N254)</f>
        <v>35</v>
      </c>
    </row>
    <row r="255" spans="1:15" s="788" customFormat="1" ht="63" x14ac:dyDescent="0.25">
      <c r="A255" s="779"/>
      <c r="B255" s="724" t="s">
        <v>1352</v>
      </c>
      <c r="C255" s="810"/>
      <c r="D255" s="811"/>
      <c r="E255" s="811">
        <v>40</v>
      </c>
      <c r="F255" s="812"/>
      <c r="G255" s="782"/>
      <c r="H255" s="797">
        <f t="shared" si="102"/>
        <v>40</v>
      </c>
      <c r="I255" s="815"/>
      <c r="J255" s="783"/>
      <c r="K255" s="783"/>
      <c r="L255" s="797">
        <f t="shared" si="103"/>
        <v>0</v>
      </c>
      <c r="M255" s="798">
        <f t="shared" si="104"/>
        <v>40</v>
      </c>
      <c r="N255" s="787"/>
      <c r="O255" s="798">
        <f t="shared" si="105"/>
        <v>40</v>
      </c>
    </row>
    <row r="256" spans="1:15" s="788" customFormat="1" ht="110.25" x14ac:dyDescent="0.25">
      <c r="A256" s="779"/>
      <c r="B256" s="724" t="s">
        <v>1353</v>
      </c>
      <c r="C256" s="810"/>
      <c r="D256" s="811"/>
      <c r="E256" s="811">
        <v>130</v>
      </c>
      <c r="F256" s="812"/>
      <c r="G256" s="782"/>
      <c r="H256" s="797">
        <f t="shared" si="102"/>
        <v>130</v>
      </c>
      <c r="I256" s="815"/>
      <c r="J256" s="783"/>
      <c r="K256" s="783"/>
      <c r="L256" s="797">
        <f t="shared" si="103"/>
        <v>0</v>
      </c>
      <c r="M256" s="798">
        <f t="shared" si="104"/>
        <v>130</v>
      </c>
      <c r="N256" s="787"/>
      <c r="O256" s="798">
        <f t="shared" si="105"/>
        <v>130</v>
      </c>
    </row>
    <row r="257" spans="1:16" s="788" customFormat="1" ht="95.25" thickBot="1" x14ac:dyDescent="0.3">
      <c r="A257" s="779"/>
      <c r="B257" s="724" t="s">
        <v>1336</v>
      </c>
      <c r="C257" s="810">
        <v>1454</v>
      </c>
      <c r="D257" s="811">
        <v>218</v>
      </c>
      <c r="E257" s="811"/>
      <c r="F257" s="812"/>
      <c r="G257" s="782"/>
      <c r="H257" s="797">
        <f t="shared" si="102"/>
        <v>1672</v>
      </c>
      <c r="I257" s="815"/>
      <c r="J257" s="783"/>
      <c r="K257" s="783"/>
      <c r="L257" s="797">
        <f t="shared" si="103"/>
        <v>0</v>
      </c>
      <c r="M257" s="798">
        <f t="shared" si="104"/>
        <v>1672</v>
      </c>
      <c r="N257" s="787"/>
      <c r="O257" s="798">
        <f t="shared" si="105"/>
        <v>1672</v>
      </c>
    </row>
    <row r="258" spans="1:16" ht="17.25" thickTop="1" thickBot="1" x14ac:dyDescent="0.3">
      <c r="A258" s="791"/>
      <c r="B258" s="792" t="s">
        <v>379</v>
      </c>
      <c r="C258" s="793">
        <f>+C241+C245+C253+C246+C247+C248+C249+C250+C251+C254+C255+C256+C257</f>
        <v>168228</v>
      </c>
      <c r="D258" s="793">
        <f t="shared" ref="D258:O258" si="106">+D241+D245+D253+D246+D247+D248+D249+D250+D251+D254+D255+D256+D257</f>
        <v>30625</v>
      </c>
      <c r="E258" s="793">
        <f t="shared" si="106"/>
        <v>50960</v>
      </c>
      <c r="F258" s="793">
        <f t="shared" si="106"/>
        <v>0</v>
      </c>
      <c r="G258" s="793">
        <f t="shared" si="106"/>
        <v>0</v>
      </c>
      <c r="H258" s="793">
        <f t="shared" si="106"/>
        <v>249813</v>
      </c>
      <c r="I258" s="793">
        <f t="shared" si="106"/>
        <v>826</v>
      </c>
      <c r="J258" s="793">
        <f t="shared" si="106"/>
        <v>0</v>
      </c>
      <c r="K258" s="793">
        <f t="shared" si="106"/>
        <v>0</v>
      </c>
      <c r="L258" s="793">
        <f t="shared" si="106"/>
        <v>826</v>
      </c>
      <c r="M258" s="793">
        <f t="shared" si="106"/>
        <v>250639</v>
      </c>
      <c r="N258" s="793">
        <f t="shared" si="106"/>
        <v>0</v>
      </c>
      <c r="O258" s="793">
        <f t="shared" si="106"/>
        <v>250639</v>
      </c>
      <c r="P258" s="698">
        <f>O259+O260</f>
        <v>250639</v>
      </c>
    </row>
    <row r="259" spans="1:16" ht="17.25" thickTop="1" thickBot="1" x14ac:dyDescent="0.3">
      <c r="A259" s="791"/>
      <c r="B259" s="792" t="s">
        <v>378</v>
      </c>
      <c r="C259" s="793">
        <f t="shared" ref="C259:O259" si="107">+C242+C245+C246+C247+C248+C249+C250+C251</f>
        <v>164355</v>
      </c>
      <c r="D259" s="793">
        <f t="shared" si="107"/>
        <v>29774</v>
      </c>
      <c r="E259" s="793">
        <f t="shared" si="107"/>
        <v>50755</v>
      </c>
      <c r="F259" s="793">
        <f t="shared" si="107"/>
        <v>0</v>
      </c>
      <c r="G259" s="793">
        <f t="shared" si="107"/>
        <v>0</v>
      </c>
      <c r="H259" s="793">
        <f t="shared" si="107"/>
        <v>244884</v>
      </c>
      <c r="I259" s="793">
        <f t="shared" si="107"/>
        <v>826</v>
      </c>
      <c r="J259" s="793">
        <f t="shared" si="107"/>
        <v>0</v>
      </c>
      <c r="K259" s="793">
        <f t="shared" si="107"/>
        <v>0</v>
      </c>
      <c r="L259" s="793">
        <f t="shared" si="107"/>
        <v>826</v>
      </c>
      <c r="M259" s="793">
        <f t="shared" si="107"/>
        <v>245710</v>
      </c>
      <c r="N259" s="793">
        <f t="shared" si="107"/>
        <v>0</v>
      </c>
      <c r="O259" s="793">
        <f t="shared" si="107"/>
        <v>245710</v>
      </c>
    </row>
    <row r="260" spans="1:16" ht="17.25" thickTop="1" thickBot="1" x14ac:dyDescent="0.3">
      <c r="A260" s="791"/>
      <c r="B260" s="792" t="s">
        <v>377</v>
      </c>
      <c r="C260" s="793">
        <f>+C243+C253+C254+C255+C256+C257</f>
        <v>3873</v>
      </c>
      <c r="D260" s="793">
        <f t="shared" ref="D260:O260" si="108">+D243+D253+D254+D255+D256+D257</f>
        <v>851</v>
      </c>
      <c r="E260" s="793">
        <f t="shared" si="108"/>
        <v>205</v>
      </c>
      <c r="F260" s="793">
        <f t="shared" si="108"/>
        <v>0</v>
      </c>
      <c r="G260" s="793">
        <f t="shared" si="108"/>
        <v>0</v>
      </c>
      <c r="H260" s="793">
        <f t="shared" si="108"/>
        <v>4929</v>
      </c>
      <c r="I260" s="793">
        <f t="shared" si="108"/>
        <v>0</v>
      </c>
      <c r="J260" s="793">
        <f t="shared" si="108"/>
        <v>0</v>
      </c>
      <c r="K260" s="793">
        <f t="shared" si="108"/>
        <v>0</v>
      </c>
      <c r="L260" s="793">
        <f t="shared" si="108"/>
        <v>0</v>
      </c>
      <c r="M260" s="793">
        <f t="shared" si="108"/>
        <v>4929</v>
      </c>
      <c r="N260" s="793">
        <f t="shared" si="108"/>
        <v>0</v>
      </c>
      <c r="O260" s="793">
        <f t="shared" si="108"/>
        <v>4929</v>
      </c>
    </row>
    <row r="261" spans="1:16" ht="16.5" thickTop="1" x14ac:dyDescent="0.25">
      <c r="A261" s="771" t="s">
        <v>4</v>
      </c>
      <c r="B261" s="772" t="s">
        <v>400</v>
      </c>
      <c r="C261" s="773"/>
      <c r="D261" s="774"/>
      <c r="E261" s="774"/>
      <c r="F261" s="790"/>
      <c r="G261" s="774"/>
      <c r="H261" s="776"/>
      <c r="I261" s="777"/>
      <c r="J261" s="775"/>
      <c r="K261" s="775"/>
      <c r="L261" s="776"/>
      <c r="M261" s="776"/>
      <c r="N261" s="776"/>
      <c r="O261" s="776"/>
    </row>
    <row r="262" spans="1:16" x14ac:dyDescent="0.25">
      <c r="A262" s="795"/>
      <c r="B262" s="772" t="s">
        <v>347</v>
      </c>
      <c r="C262" s="773">
        <f>SUM(C263:C264)</f>
        <v>141515</v>
      </c>
      <c r="D262" s="773">
        <f>SUM(D263:D264)</f>
        <v>26148</v>
      </c>
      <c r="E262" s="773">
        <f>SUM(E263:E264)</f>
        <v>42487</v>
      </c>
      <c r="F262" s="775"/>
      <c r="G262" s="774"/>
      <c r="H262" s="776">
        <f>SUM(C262:G262)</f>
        <v>210150</v>
      </c>
      <c r="I262" s="777"/>
      <c r="J262" s="775"/>
      <c r="K262" s="775"/>
      <c r="L262" s="776">
        <f>SUM(I262:K262)</f>
        <v>0</v>
      </c>
      <c r="M262" s="778">
        <f>SUM(H262+L262)</f>
        <v>210150</v>
      </c>
      <c r="N262" s="778"/>
      <c r="O262" s="778">
        <f>SUM(M262+N262)</f>
        <v>210150</v>
      </c>
    </row>
    <row r="263" spans="1:16" s="788" customFormat="1" x14ac:dyDescent="0.25">
      <c r="A263" s="816"/>
      <c r="B263" s="796" t="s">
        <v>381</v>
      </c>
      <c r="C263" s="781">
        <v>140154</v>
      </c>
      <c r="D263" s="782">
        <v>25705</v>
      </c>
      <c r="E263" s="782">
        <v>42487</v>
      </c>
      <c r="F263" s="783"/>
      <c r="G263" s="782"/>
      <c r="H263" s="784">
        <f>SUM(C263:G263)</f>
        <v>208346</v>
      </c>
      <c r="I263" s="794"/>
      <c r="J263" s="783"/>
      <c r="K263" s="783"/>
      <c r="L263" s="784">
        <f>SUM(I263:K263)</f>
        <v>0</v>
      </c>
      <c r="M263" s="784">
        <f>SUM(H263+L263)</f>
        <v>208346</v>
      </c>
      <c r="N263" s="784"/>
      <c r="O263" s="784">
        <f>SUM(M263+N263)</f>
        <v>208346</v>
      </c>
    </row>
    <row r="264" spans="1:16" s="788" customFormat="1" x14ac:dyDescent="0.25">
      <c r="A264" s="816"/>
      <c r="B264" s="796" t="s">
        <v>380</v>
      </c>
      <c r="C264" s="781">
        <v>1361</v>
      </c>
      <c r="D264" s="782">
        <v>443</v>
      </c>
      <c r="E264" s="782"/>
      <c r="F264" s="783"/>
      <c r="G264" s="782"/>
      <c r="H264" s="784">
        <f>SUM(C264:G264)</f>
        <v>1804</v>
      </c>
      <c r="I264" s="794"/>
      <c r="J264" s="783"/>
      <c r="K264" s="783"/>
      <c r="L264" s="784">
        <f>SUM(I264:K264)</f>
        <v>0</v>
      </c>
      <c r="M264" s="784">
        <f>SUM(H264+L264)</f>
        <v>1804</v>
      </c>
      <c r="N264" s="784"/>
      <c r="O264" s="784">
        <f>SUM(M264+N264)</f>
        <v>1804</v>
      </c>
    </row>
    <row r="265" spans="1:16" s="788" customFormat="1" x14ac:dyDescent="0.25">
      <c r="A265" s="816"/>
      <c r="B265" s="780" t="s">
        <v>131</v>
      </c>
      <c r="C265" s="781"/>
      <c r="D265" s="782"/>
      <c r="E265" s="782"/>
      <c r="F265" s="783"/>
      <c r="G265" s="782"/>
      <c r="H265" s="784"/>
      <c r="I265" s="794"/>
      <c r="J265" s="783"/>
      <c r="K265" s="783"/>
      <c r="L265" s="784"/>
      <c r="M265" s="787"/>
      <c r="N265" s="787"/>
      <c r="O265" s="787"/>
    </row>
    <row r="266" spans="1:16" s="788" customFormat="1" ht="63" x14ac:dyDescent="0.25">
      <c r="A266" s="816"/>
      <c r="B266" s="724" t="s">
        <v>1326</v>
      </c>
      <c r="C266" s="810">
        <v>3718</v>
      </c>
      <c r="D266" s="811">
        <v>576</v>
      </c>
      <c r="E266" s="811"/>
      <c r="F266" s="812"/>
      <c r="G266" s="782"/>
      <c r="H266" s="797">
        <f t="shared" ref="H266:H272" si="109">SUM(C266:G266)</f>
        <v>4294</v>
      </c>
      <c r="I266" s="794"/>
      <c r="J266" s="783"/>
      <c r="K266" s="783"/>
      <c r="L266" s="797">
        <f t="shared" ref="L266:L272" si="110">SUM(I266:K266)</f>
        <v>0</v>
      </c>
      <c r="M266" s="797">
        <f t="shared" ref="M266:M272" si="111">SUM(H266+L266)</f>
        <v>4294</v>
      </c>
      <c r="N266" s="784"/>
      <c r="O266" s="797">
        <f t="shared" ref="O266:O272" si="112">SUM(M266+N266)</f>
        <v>4294</v>
      </c>
    </row>
    <row r="267" spans="1:16" s="788" customFormat="1" ht="31.5" x14ac:dyDescent="0.25">
      <c r="A267" s="816"/>
      <c r="B267" s="724" t="s">
        <v>565</v>
      </c>
      <c r="C267" s="810"/>
      <c r="D267" s="811"/>
      <c r="E267" s="811">
        <v>-243</v>
      </c>
      <c r="F267" s="812"/>
      <c r="G267" s="782"/>
      <c r="H267" s="797">
        <f t="shared" si="109"/>
        <v>-243</v>
      </c>
      <c r="I267" s="815">
        <v>243</v>
      </c>
      <c r="J267" s="783"/>
      <c r="K267" s="783"/>
      <c r="L267" s="797">
        <f t="shared" si="110"/>
        <v>243</v>
      </c>
      <c r="M267" s="797">
        <f t="shared" si="111"/>
        <v>0</v>
      </c>
      <c r="N267" s="784"/>
      <c r="O267" s="797">
        <f t="shared" si="112"/>
        <v>0</v>
      </c>
    </row>
    <row r="268" spans="1:16" s="788" customFormat="1" ht="63" x14ac:dyDescent="0.25">
      <c r="A268" s="816"/>
      <c r="B268" s="724" t="s">
        <v>1337</v>
      </c>
      <c r="C268" s="810">
        <v>4039</v>
      </c>
      <c r="D268" s="811">
        <v>626</v>
      </c>
      <c r="E268" s="811"/>
      <c r="F268" s="812"/>
      <c r="G268" s="782"/>
      <c r="H268" s="797">
        <f t="shared" si="109"/>
        <v>4665</v>
      </c>
      <c r="I268" s="794"/>
      <c r="J268" s="783"/>
      <c r="K268" s="783"/>
      <c r="L268" s="797">
        <f t="shared" si="110"/>
        <v>0</v>
      </c>
      <c r="M268" s="798">
        <f t="shared" si="111"/>
        <v>4665</v>
      </c>
      <c r="N268" s="787"/>
      <c r="O268" s="798">
        <f t="shared" si="112"/>
        <v>4665</v>
      </c>
    </row>
    <row r="269" spans="1:16" s="788" customFormat="1" ht="31.5" x14ac:dyDescent="0.25">
      <c r="A269" s="816"/>
      <c r="B269" s="724" t="s">
        <v>1338</v>
      </c>
      <c r="C269" s="810">
        <v>1535</v>
      </c>
      <c r="D269" s="811">
        <v>238</v>
      </c>
      <c r="E269" s="811"/>
      <c r="F269" s="812"/>
      <c r="G269" s="782"/>
      <c r="H269" s="797">
        <f t="shared" si="109"/>
        <v>1773</v>
      </c>
      <c r="I269" s="794"/>
      <c r="J269" s="783"/>
      <c r="K269" s="783"/>
      <c r="L269" s="797">
        <f t="shared" si="110"/>
        <v>0</v>
      </c>
      <c r="M269" s="798">
        <f t="shared" si="111"/>
        <v>1773</v>
      </c>
      <c r="N269" s="787"/>
      <c r="O269" s="798">
        <f t="shared" si="112"/>
        <v>1773</v>
      </c>
    </row>
    <row r="270" spans="1:16" s="788" customFormat="1" ht="31.5" x14ac:dyDescent="0.25">
      <c r="A270" s="816"/>
      <c r="B270" s="724" t="s">
        <v>1327</v>
      </c>
      <c r="C270" s="810">
        <v>-1132</v>
      </c>
      <c r="D270" s="811">
        <v>-478</v>
      </c>
      <c r="E270" s="811"/>
      <c r="F270" s="812"/>
      <c r="G270" s="782"/>
      <c r="H270" s="797">
        <f t="shared" si="109"/>
        <v>-1610</v>
      </c>
      <c r="I270" s="794"/>
      <c r="J270" s="783"/>
      <c r="K270" s="783"/>
      <c r="L270" s="797">
        <f t="shared" si="110"/>
        <v>0</v>
      </c>
      <c r="M270" s="798">
        <f t="shared" si="111"/>
        <v>-1610</v>
      </c>
      <c r="N270" s="787"/>
      <c r="O270" s="798">
        <f t="shared" si="112"/>
        <v>-1610</v>
      </c>
    </row>
    <row r="271" spans="1:16" s="788" customFormat="1" ht="33" customHeight="1" x14ac:dyDescent="0.25">
      <c r="A271" s="816"/>
      <c r="B271" s="724" t="s">
        <v>1339</v>
      </c>
      <c r="C271" s="810"/>
      <c r="D271" s="811"/>
      <c r="E271" s="811">
        <v>-5659</v>
      </c>
      <c r="F271" s="812"/>
      <c r="G271" s="782"/>
      <c r="H271" s="797">
        <f t="shared" si="109"/>
        <v>-5659</v>
      </c>
      <c r="I271" s="794"/>
      <c r="J271" s="783"/>
      <c r="K271" s="783"/>
      <c r="L271" s="797">
        <f t="shared" si="110"/>
        <v>0</v>
      </c>
      <c r="M271" s="798">
        <f t="shared" si="111"/>
        <v>-5659</v>
      </c>
      <c r="N271" s="787"/>
      <c r="O271" s="798">
        <f t="shared" si="112"/>
        <v>-5659</v>
      </c>
    </row>
    <row r="272" spans="1:16" s="788" customFormat="1" ht="33" customHeight="1" x14ac:dyDescent="0.25">
      <c r="A272" s="816"/>
      <c r="B272" s="724" t="s">
        <v>961</v>
      </c>
      <c r="C272" s="810"/>
      <c r="D272" s="811"/>
      <c r="E272" s="811">
        <v>175</v>
      </c>
      <c r="F272" s="812"/>
      <c r="G272" s="782"/>
      <c r="H272" s="797">
        <f t="shared" si="109"/>
        <v>175</v>
      </c>
      <c r="I272" s="794"/>
      <c r="J272" s="783"/>
      <c r="K272" s="783"/>
      <c r="L272" s="797">
        <f t="shared" si="110"/>
        <v>0</v>
      </c>
      <c r="M272" s="798">
        <f t="shared" si="111"/>
        <v>175</v>
      </c>
      <c r="N272" s="787"/>
      <c r="O272" s="798">
        <f t="shared" si="112"/>
        <v>175</v>
      </c>
    </row>
    <row r="273" spans="1:16" s="788" customFormat="1" x14ac:dyDescent="0.25">
      <c r="A273" s="816"/>
      <c r="B273" s="780" t="s">
        <v>132</v>
      </c>
      <c r="C273" s="810"/>
      <c r="D273" s="811"/>
      <c r="E273" s="811"/>
      <c r="F273" s="812"/>
      <c r="G273" s="782"/>
      <c r="H273" s="797"/>
      <c r="I273" s="794"/>
      <c r="J273" s="783"/>
      <c r="K273" s="783"/>
      <c r="L273" s="797"/>
      <c r="M273" s="798"/>
      <c r="N273" s="787"/>
      <c r="O273" s="798"/>
    </row>
    <row r="274" spans="1:16" s="788" customFormat="1" x14ac:dyDescent="0.25">
      <c r="A274" s="816"/>
      <c r="B274" s="724" t="s">
        <v>1330</v>
      </c>
      <c r="C274" s="810">
        <v>770</v>
      </c>
      <c r="D274" s="811">
        <v>116</v>
      </c>
      <c r="E274" s="811"/>
      <c r="F274" s="812"/>
      <c r="G274" s="782"/>
      <c r="H274" s="797">
        <f>SUM(C274:G274)</f>
        <v>886</v>
      </c>
      <c r="I274" s="794"/>
      <c r="J274" s="783"/>
      <c r="K274" s="783"/>
      <c r="L274" s="797">
        <f>SUM(I274:K274)</f>
        <v>0</v>
      </c>
      <c r="M274" s="798">
        <f>SUM(H274+L274)</f>
        <v>886</v>
      </c>
      <c r="N274" s="787"/>
      <c r="O274" s="798">
        <f>SUM(M274+N274)</f>
        <v>886</v>
      </c>
    </row>
    <row r="275" spans="1:16" s="788" customFormat="1" ht="94.5" x14ac:dyDescent="0.25">
      <c r="A275" s="816"/>
      <c r="B275" s="724" t="s">
        <v>1332</v>
      </c>
      <c r="C275" s="810"/>
      <c r="D275" s="811"/>
      <c r="E275" s="811">
        <v>15</v>
      </c>
      <c r="F275" s="812"/>
      <c r="G275" s="782"/>
      <c r="H275" s="797">
        <f>SUM(C275:G275)</f>
        <v>15</v>
      </c>
      <c r="I275" s="794"/>
      <c r="J275" s="783"/>
      <c r="K275" s="783"/>
      <c r="L275" s="797">
        <f>SUM(I275:K275)</f>
        <v>0</v>
      </c>
      <c r="M275" s="798">
        <f>SUM(H275+L275)</f>
        <v>15</v>
      </c>
      <c r="N275" s="787"/>
      <c r="O275" s="798">
        <f>SUM(M275+N275)</f>
        <v>15</v>
      </c>
    </row>
    <row r="276" spans="1:16" s="788" customFormat="1" ht="95.25" thickBot="1" x14ac:dyDescent="0.3">
      <c r="A276" s="816"/>
      <c r="B276" s="724" t="s">
        <v>1336</v>
      </c>
      <c r="C276" s="810">
        <v>1209</v>
      </c>
      <c r="D276" s="811">
        <v>181</v>
      </c>
      <c r="E276" s="811"/>
      <c r="F276" s="812"/>
      <c r="G276" s="782"/>
      <c r="H276" s="797">
        <f>SUM(C276:G276)</f>
        <v>1390</v>
      </c>
      <c r="I276" s="794"/>
      <c r="J276" s="783"/>
      <c r="K276" s="783"/>
      <c r="L276" s="797">
        <f>SUM(I276:K276)</f>
        <v>0</v>
      </c>
      <c r="M276" s="798">
        <f>SUM(H276+L276)</f>
        <v>1390</v>
      </c>
      <c r="N276" s="787"/>
      <c r="O276" s="798">
        <f>SUM(M276+N276)</f>
        <v>1390</v>
      </c>
    </row>
    <row r="277" spans="1:16" ht="17.25" thickTop="1" thickBot="1" x14ac:dyDescent="0.3">
      <c r="A277" s="791"/>
      <c r="B277" s="792" t="s">
        <v>379</v>
      </c>
      <c r="C277" s="793">
        <f>+C262+C266+C274+C267+C268+C269+C270+C271+C275+C276+C272</f>
        <v>151654</v>
      </c>
      <c r="D277" s="793">
        <f t="shared" ref="D277:O277" si="113">+D262+D266+D274+D267+D268+D269+D270+D271+D275+D276+D272</f>
        <v>27407</v>
      </c>
      <c r="E277" s="793">
        <f t="shared" si="113"/>
        <v>36775</v>
      </c>
      <c r="F277" s="793">
        <f t="shared" si="113"/>
        <v>0</v>
      </c>
      <c r="G277" s="793">
        <f t="shared" si="113"/>
        <v>0</v>
      </c>
      <c r="H277" s="793">
        <f t="shared" si="113"/>
        <v>215836</v>
      </c>
      <c r="I277" s="793">
        <f t="shared" si="113"/>
        <v>243</v>
      </c>
      <c r="J277" s="793">
        <f t="shared" si="113"/>
        <v>0</v>
      </c>
      <c r="K277" s="793">
        <f t="shared" si="113"/>
        <v>0</v>
      </c>
      <c r="L277" s="793">
        <f t="shared" si="113"/>
        <v>243</v>
      </c>
      <c r="M277" s="793">
        <f t="shared" si="113"/>
        <v>216079</v>
      </c>
      <c r="N277" s="793">
        <f t="shared" si="113"/>
        <v>0</v>
      </c>
      <c r="O277" s="793">
        <f t="shared" si="113"/>
        <v>216079</v>
      </c>
      <c r="P277" s="698">
        <f>O278+O279</f>
        <v>216079</v>
      </c>
    </row>
    <row r="278" spans="1:16" ht="17.25" thickTop="1" thickBot="1" x14ac:dyDescent="0.3">
      <c r="A278" s="791"/>
      <c r="B278" s="792" t="s">
        <v>378</v>
      </c>
      <c r="C278" s="793">
        <f>+C263+C266+C267+C268+C269+C270+C271+C272</f>
        <v>148314</v>
      </c>
      <c r="D278" s="793">
        <f t="shared" ref="D278:O278" si="114">+D263+D266+D267+D268+D269+D270+D271+D272</f>
        <v>26667</v>
      </c>
      <c r="E278" s="793">
        <f t="shared" si="114"/>
        <v>36760</v>
      </c>
      <c r="F278" s="793">
        <f t="shared" si="114"/>
        <v>0</v>
      </c>
      <c r="G278" s="793">
        <f t="shared" si="114"/>
        <v>0</v>
      </c>
      <c r="H278" s="793">
        <f t="shared" si="114"/>
        <v>211741</v>
      </c>
      <c r="I278" s="793">
        <f t="shared" si="114"/>
        <v>243</v>
      </c>
      <c r="J278" s="793">
        <f t="shared" si="114"/>
        <v>0</v>
      </c>
      <c r="K278" s="793">
        <f t="shared" si="114"/>
        <v>0</v>
      </c>
      <c r="L278" s="793">
        <f t="shared" si="114"/>
        <v>243</v>
      </c>
      <c r="M278" s="793">
        <f t="shared" si="114"/>
        <v>211984</v>
      </c>
      <c r="N278" s="793">
        <f t="shared" si="114"/>
        <v>0</v>
      </c>
      <c r="O278" s="793">
        <f t="shared" si="114"/>
        <v>211984</v>
      </c>
    </row>
    <row r="279" spans="1:16" ht="17.25" thickTop="1" thickBot="1" x14ac:dyDescent="0.3">
      <c r="A279" s="791"/>
      <c r="B279" s="792" t="s">
        <v>377</v>
      </c>
      <c r="C279" s="793">
        <f>+C264+C274+C275+C276</f>
        <v>3340</v>
      </c>
      <c r="D279" s="793">
        <f t="shared" ref="D279:O279" si="115">+D264+D274+D275+D276</f>
        <v>740</v>
      </c>
      <c r="E279" s="793">
        <f t="shared" si="115"/>
        <v>15</v>
      </c>
      <c r="F279" s="793">
        <f t="shared" si="115"/>
        <v>0</v>
      </c>
      <c r="G279" s="793">
        <f t="shared" si="115"/>
        <v>0</v>
      </c>
      <c r="H279" s="793">
        <f t="shared" si="115"/>
        <v>4095</v>
      </c>
      <c r="I279" s="793">
        <f t="shared" si="115"/>
        <v>0</v>
      </c>
      <c r="J279" s="793">
        <f t="shared" si="115"/>
        <v>0</v>
      </c>
      <c r="K279" s="793">
        <f t="shared" si="115"/>
        <v>0</v>
      </c>
      <c r="L279" s="793">
        <f t="shared" si="115"/>
        <v>0</v>
      </c>
      <c r="M279" s="793">
        <f t="shared" si="115"/>
        <v>4095</v>
      </c>
      <c r="N279" s="793">
        <f t="shared" si="115"/>
        <v>0</v>
      </c>
      <c r="O279" s="793">
        <f t="shared" si="115"/>
        <v>4095</v>
      </c>
    </row>
    <row r="280" spans="1:16" ht="16.5" thickTop="1" x14ac:dyDescent="0.25">
      <c r="A280" s="771" t="s">
        <v>5</v>
      </c>
      <c r="B280" s="772" t="s">
        <v>399</v>
      </c>
      <c r="C280" s="773"/>
      <c r="D280" s="774"/>
      <c r="E280" s="774"/>
      <c r="F280" s="790"/>
      <c r="G280" s="774"/>
      <c r="H280" s="776"/>
      <c r="I280" s="777"/>
      <c r="J280" s="775"/>
      <c r="K280" s="775"/>
      <c r="L280" s="776"/>
      <c r="M280" s="776"/>
      <c r="N280" s="776"/>
      <c r="O280" s="776"/>
    </row>
    <row r="281" spans="1:16" x14ac:dyDescent="0.25">
      <c r="A281" s="771"/>
      <c r="B281" s="724" t="s">
        <v>347</v>
      </c>
      <c r="C281" s="773">
        <f>SUM(C282:C283)</f>
        <v>165146</v>
      </c>
      <c r="D281" s="773">
        <f>SUM(D282:D283)</f>
        <v>30611</v>
      </c>
      <c r="E281" s="773">
        <f>SUM(E282:E283)</f>
        <v>66822</v>
      </c>
      <c r="F281" s="790"/>
      <c r="G281" s="774"/>
      <c r="H281" s="776">
        <f>SUM(C281:G281)</f>
        <v>262579</v>
      </c>
      <c r="I281" s="777"/>
      <c r="J281" s="775"/>
      <c r="K281" s="775"/>
      <c r="L281" s="776">
        <f>SUM(I281:K281)</f>
        <v>0</v>
      </c>
      <c r="M281" s="778">
        <f>SUM(H281+L281)</f>
        <v>262579</v>
      </c>
      <c r="N281" s="778"/>
      <c r="O281" s="778">
        <f>SUM(M281+N281)</f>
        <v>262579</v>
      </c>
    </row>
    <row r="282" spans="1:16" s="788" customFormat="1" x14ac:dyDescent="0.25">
      <c r="A282" s="779"/>
      <c r="B282" s="780" t="s">
        <v>381</v>
      </c>
      <c r="C282" s="781">
        <v>163596</v>
      </c>
      <c r="D282" s="782">
        <v>30107</v>
      </c>
      <c r="E282" s="782">
        <v>66822</v>
      </c>
      <c r="F282" s="786"/>
      <c r="G282" s="782"/>
      <c r="H282" s="784">
        <f>SUM(C282:G282)</f>
        <v>260525</v>
      </c>
      <c r="I282" s="794"/>
      <c r="J282" s="783"/>
      <c r="K282" s="783"/>
      <c r="L282" s="784">
        <f>SUM(I282:K282)</f>
        <v>0</v>
      </c>
      <c r="M282" s="787">
        <f>SUM(H282+L282)</f>
        <v>260525</v>
      </c>
      <c r="N282" s="787"/>
      <c r="O282" s="787">
        <f>SUM(M282+N282)</f>
        <v>260525</v>
      </c>
    </row>
    <row r="283" spans="1:16" s="788" customFormat="1" x14ac:dyDescent="0.25">
      <c r="A283" s="779"/>
      <c r="B283" s="780" t="s">
        <v>380</v>
      </c>
      <c r="C283" s="781">
        <v>1550</v>
      </c>
      <c r="D283" s="782">
        <v>504</v>
      </c>
      <c r="E283" s="782"/>
      <c r="F283" s="786"/>
      <c r="G283" s="782"/>
      <c r="H283" s="784">
        <f>SUM(C283:G283)</f>
        <v>2054</v>
      </c>
      <c r="I283" s="794"/>
      <c r="J283" s="783"/>
      <c r="K283" s="783"/>
      <c r="L283" s="784">
        <f>SUM(I283:K283)</f>
        <v>0</v>
      </c>
      <c r="M283" s="787">
        <f>SUM(H283+L283)</f>
        <v>2054</v>
      </c>
      <c r="N283" s="787"/>
      <c r="O283" s="787">
        <f>SUM(M283+N283)</f>
        <v>2054</v>
      </c>
    </row>
    <row r="284" spans="1:16" s="788" customFormat="1" x14ac:dyDescent="0.25">
      <c r="A284" s="779"/>
      <c r="B284" s="780" t="s">
        <v>131</v>
      </c>
      <c r="C284" s="781"/>
      <c r="D284" s="782"/>
      <c r="E284" s="782"/>
      <c r="F284" s="786"/>
      <c r="G284" s="782"/>
      <c r="H284" s="784"/>
      <c r="I284" s="794"/>
      <c r="J284" s="783"/>
      <c r="K284" s="783"/>
      <c r="L284" s="784"/>
      <c r="M284" s="787"/>
      <c r="N284" s="787"/>
      <c r="O284" s="787"/>
    </row>
    <row r="285" spans="1:16" s="788" customFormat="1" ht="31.5" x14ac:dyDescent="0.25">
      <c r="A285" s="779"/>
      <c r="B285" s="724" t="s">
        <v>1325</v>
      </c>
      <c r="C285" s="810">
        <v>2</v>
      </c>
      <c r="D285" s="811">
        <v>1</v>
      </c>
      <c r="E285" s="811"/>
      <c r="F285" s="814"/>
      <c r="G285" s="782"/>
      <c r="H285" s="797">
        <f t="shared" ref="H285:H292" si="116">SUM(C285:G285)</f>
        <v>3</v>
      </c>
      <c r="I285" s="794"/>
      <c r="J285" s="783"/>
      <c r="K285" s="783"/>
      <c r="L285" s="797">
        <f t="shared" ref="L285:L292" si="117">SUM(I285:K285)</f>
        <v>0</v>
      </c>
      <c r="M285" s="798">
        <f t="shared" ref="M285:M292" si="118">SUM(H285+L285)</f>
        <v>3</v>
      </c>
      <c r="N285" s="787"/>
      <c r="O285" s="798">
        <f t="shared" ref="O285:O292" si="119">SUM(M285+N285)</f>
        <v>3</v>
      </c>
    </row>
    <row r="286" spans="1:16" s="788" customFormat="1" ht="63" x14ac:dyDescent="0.25">
      <c r="A286" s="779"/>
      <c r="B286" s="724" t="s">
        <v>1326</v>
      </c>
      <c r="C286" s="810">
        <v>658</v>
      </c>
      <c r="D286" s="811">
        <v>115</v>
      </c>
      <c r="E286" s="811"/>
      <c r="F286" s="814"/>
      <c r="G286" s="782"/>
      <c r="H286" s="797">
        <f t="shared" si="116"/>
        <v>773</v>
      </c>
      <c r="I286" s="794"/>
      <c r="J286" s="783"/>
      <c r="K286" s="783"/>
      <c r="L286" s="797">
        <f t="shared" si="117"/>
        <v>0</v>
      </c>
      <c r="M286" s="798">
        <f t="shared" si="118"/>
        <v>773</v>
      </c>
      <c r="N286" s="787"/>
      <c r="O286" s="798">
        <f t="shared" si="119"/>
        <v>773</v>
      </c>
    </row>
    <row r="287" spans="1:16" s="788" customFormat="1" ht="31.5" x14ac:dyDescent="0.25">
      <c r="A287" s="816"/>
      <c r="B287" s="772" t="s">
        <v>565</v>
      </c>
      <c r="C287" s="810"/>
      <c r="D287" s="811"/>
      <c r="E287" s="811">
        <v>-85</v>
      </c>
      <c r="F287" s="812"/>
      <c r="G287" s="782"/>
      <c r="H287" s="797">
        <f t="shared" si="116"/>
        <v>-85</v>
      </c>
      <c r="I287" s="815">
        <v>85</v>
      </c>
      <c r="J287" s="783"/>
      <c r="K287" s="783"/>
      <c r="L287" s="797">
        <f t="shared" si="117"/>
        <v>85</v>
      </c>
      <c r="M287" s="797">
        <f t="shared" si="118"/>
        <v>0</v>
      </c>
      <c r="N287" s="784"/>
      <c r="O287" s="797">
        <f t="shared" si="119"/>
        <v>0</v>
      </c>
    </row>
    <row r="288" spans="1:16" s="788" customFormat="1" ht="63" x14ac:dyDescent="0.25">
      <c r="A288" s="816"/>
      <c r="B288" s="772" t="s">
        <v>1337</v>
      </c>
      <c r="C288" s="810">
        <v>4715</v>
      </c>
      <c r="D288" s="811">
        <v>731</v>
      </c>
      <c r="E288" s="811"/>
      <c r="F288" s="812"/>
      <c r="G288" s="782"/>
      <c r="H288" s="797">
        <f t="shared" si="116"/>
        <v>5446</v>
      </c>
      <c r="I288" s="794"/>
      <c r="J288" s="783"/>
      <c r="K288" s="783"/>
      <c r="L288" s="797">
        <f t="shared" si="117"/>
        <v>0</v>
      </c>
      <c r="M288" s="797">
        <f t="shared" si="118"/>
        <v>5446</v>
      </c>
      <c r="N288" s="784"/>
      <c r="O288" s="797">
        <f t="shared" si="119"/>
        <v>5446</v>
      </c>
    </row>
    <row r="289" spans="1:16" s="788" customFormat="1" ht="31.5" x14ac:dyDescent="0.25">
      <c r="A289" s="816"/>
      <c r="B289" s="772" t="s">
        <v>1338</v>
      </c>
      <c r="C289" s="810">
        <v>1644</v>
      </c>
      <c r="D289" s="811">
        <v>255</v>
      </c>
      <c r="E289" s="811"/>
      <c r="F289" s="812"/>
      <c r="G289" s="782"/>
      <c r="H289" s="797">
        <f t="shared" si="116"/>
        <v>1899</v>
      </c>
      <c r="I289" s="794"/>
      <c r="J289" s="783"/>
      <c r="K289" s="783"/>
      <c r="L289" s="797">
        <f t="shared" si="117"/>
        <v>0</v>
      </c>
      <c r="M289" s="797">
        <f t="shared" si="118"/>
        <v>1899</v>
      </c>
      <c r="N289" s="784"/>
      <c r="O289" s="797">
        <f t="shared" si="119"/>
        <v>1899</v>
      </c>
    </row>
    <row r="290" spans="1:16" s="788" customFormat="1" ht="31.5" x14ac:dyDescent="0.25">
      <c r="A290" s="779"/>
      <c r="B290" s="724" t="s">
        <v>1327</v>
      </c>
      <c r="C290" s="810">
        <v>-4126</v>
      </c>
      <c r="D290" s="811">
        <v>-861</v>
      </c>
      <c r="E290" s="811"/>
      <c r="F290" s="814"/>
      <c r="G290" s="782"/>
      <c r="H290" s="797">
        <f t="shared" si="116"/>
        <v>-4987</v>
      </c>
      <c r="I290" s="794"/>
      <c r="J290" s="783"/>
      <c r="K290" s="783"/>
      <c r="L290" s="797">
        <f t="shared" si="117"/>
        <v>0</v>
      </c>
      <c r="M290" s="798">
        <f t="shared" si="118"/>
        <v>-4987</v>
      </c>
      <c r="N290" s="787"/>
      <c r="O290" s="798">
        <f t="shared" si="119"/>
        <v>-4987</v>
      </c>
    </row>
    <row r="291" spans="1:16" s="788" customFormat="1" ht="33" customHeight="1" x14ac:dyDescent="0.25">
      <c r="A291" s="779"/>
      <c r="B291" s="724" t="s">
        <v>1339</v>
      </c>
      <c r="C291" s="810"/>
      <c r="D291" s="811"/>
      <c r="E291" s="811">
        <v>-13815</v>
      </c>
      <c r="F291" s="814"/>
      <c r="G291" s="782"/>
      <c r="H291" s="797">
        <f t="shared" si="116"/>
        <v>-13815</v>
      </c>
      <c r="I291" s="794"/>
      <c r="J291" s="783"/>
      <c r="K291" s="783"/>
      <c r="L291" s="797">
        <f t="shared" si="117"/>
        <v>0</v>
      </c>
      <c r="M291" s="798">
        <f t="shared" si="118"/>
        <v>-13815</v>
      </c>
      <c r="N291" s="787"/>
      <c r="O291" s="798">
        <f t="shared" si="119"/>
        <v>-13815</v>
      </c>
    </row>
    <row r="292" spans="1:16" s="788" customFormat="1" ht="31.5" x14ac:dyDescent="0.25">
      <c r="A292" s="779"/>
      <c r="B292" s="724" t="s">
        <v>961</v>
      </c>
      <c r="C292" s="810"/>
      <c r="D292" s="811"/>
      <c r="E292" s="811">
        <v>70</v>
      </c>
      <c r="F292" s="814"/>
      <c r="G292" s="782"/>
      <c r="H292" s="797">
        <f t="shared" si="116"/>
        <v>70</v>
      </c>
      <c r="I292" s="794"/>
      <c r="J292" s="783"/>
      <c r="K292" s="783"/>
      <c r="L292" s="797">
        <f t="shared" si="117"/>
        <v>0</v>
      </c>
      <c r="M292" s="798">
        <f t="shared" si="118"/>
        <v>70</v>
      </c>
      <c r="N292" s="787"/>
      <c r="O292" s="798">
        <f t="shared" si="119"/>
        <v>70</v>
      </c>
    </row>
    <row r="293" spans="1:16" s="788" customFormat="1" x14ac:dyDescent="0.25">
      <c r="A293" s="779"/>
      <c r="B293" s="780" t="s">
        <v>132</v>
      </c>
      <c r="C293" s="810"/>
      <c r="D293" s="811"/>
      <c r="E293" s="811"/>
      <c r="F293" s="814"/>
      <c r="G293" s="782"/>
      <c r="H293" s="797"/>
      <c r="I293" s="794"/>
      <c r="J293" s="783"/>
      <c r="K293" s="783"/>
      <c r="L293" s="797"/>
      <c r="M293" s="798"/>
      <c r="N293" s="787"/>
      <c r="O293" s="798"/>
    </row>
    <row r="294" spans="1:16" s="788" customFormat="1" x14ac:dyDescent="0.25">
      <c r="A294" s="779"/>
      <c r="B294" s="724" t="s">
        <v>1330</v>
      </c>
      <c r="C294" s="810">
        <v>877</v>
      </c>
      <c r="D294" s="811">
        <v>132</v>
      </c>
      <c r="E294" s="811"/>
      <c r="F294" s="814"/>
      <c r="G294" s="782"/>
      <c r="H294" s="797">
        <f>SUM(C294:G294)</f>
        <v>1009</v>
      </c>
      <c r="I294" s="794"/>
      <c r="J294" s="783"/>
      <c r="K294" s="783"/>
      <c r="L294" s="797">
        <f>SUM(I294:K294)</f>
        <v>0</v>
      </c>
      <c r="M294" s="798">
        <f>SUM(H294+L294)</f>
        <v>1009</v>
      </c>
      <c r="N294" s="787"/>
      <c r="O294" s="798">
        <f>SUM(M294+N294)</f>
        <v>1009</v>
      </c>
    </row>
    <row r="295" spans="1:16" s="788" customFormat="1" ht="94.5" x14ac:dyDescent="0.25">
      <c r="A295" s="779"/>
      <c r="B295" s="724" t="s">
        <v>1332</v>
      </c>
      <c r="C295" s="810"/>
      <c r="D295" s="811"/>
      <c r="E295" s="811">
        <v>100</v>
      </c>
      <c r="F295" s="814"/>
      <c r="G295" s="782"/>
      <c r="H295" s="797">
        <f>SUM(C295:G295)</f>
        <v>100</v>
      </c>
      <c r="I295" s="794"/>
      <c r="J295" s="783"/>
      <c r="K295" s="783"/>
      <c r="L295" s="797">
        <f>SUM(I295:K295)</f>
        <v>0</v>
      </c>
      <c r="M295" s="798">
        <f>SUM(H295+L295)</f>
        <v>100</v>
      </c>
      <c r="N295" s="787"/>
      <c r="O295" s="798">
        <f>SUM(M295+N295)</f>
        <v>100</v>
      </c>
    </row>
    <row r="296" spans="1:16" s="788" customFormat="1" ht="110.25" x14ac:dyDescent="0.25">
      <c r="A296" s="779"/>
      <c r="B296" s="724" t="s">
        <v>1354</v>
      </c>
      <c r="C296" s="810"/>
      <c r="D296" s="811"/>
      <c r="E296" s="811">
        <v>30</v>
      </c>
      <c r="F296" s="814"/>
      <c r="G296" s="782"/>
      <c r="H296" s="797">
        <f>SUM(C296:G296)</f>
        <v>30</v>
      </c>
      <c r="I296" s="794"/>
      <c r="J296" s="783"/>
      <c r="K296" s="783"/>
      <c r="L296" s="797">
        <f>SUM(I296:K296)</f>
        <v>0</v>
      </c>
      <c r="M296" s="798">
        <f>SUM(H296+L296)</f>
        <v>30</v>
      </c>
      <c r="N296" s="787"/>
      <c r="O296" s="798">
        <f>SUM(M296+N296)</f>
        <v>30</v>
      </c>
    </row>
    <row r="297" spans="1:16" s="788" customFormat="1" ht="95.25" thickBot="1" x14ac:dyDescent="0.3">
      <c r="A297" s="779"/>
      <c r="B297" s="724" t="s">
        <v>1336</v>
      </c>
      <c r="C297" s="810">
        <v>1438</v>
      </c>
      <c r="D297" s="811">
        <v>215</v>
      </c>
      <c r="E297" s="811"/>
      <c r="F297" s="814"/>
      <c r="G297" s="782"/>
      <c r="H297" s="797">
        <f>SUM(C297:G297)</f>
        <v>1653</v>
      </c>
      <c r="I297" s="794"/>
      <c r="J297" s="783"/>
      <c r="K297" s="783"/>
      <c r="L297" s="797">
        <f>SUM(I297:K297)</f>
        <v>0</v>
      </c>
      <c r="M297" s="798">
        <f>SUM(H297+L297)</f>
        <v>1653</v>
      </c>
      <c r="N297" s="787"/>
      <c r="O297" s="798">
        <f>SUM(M297+N297)</f>
        <v>1653</v>
      </c>
    </row>
    <row r="298" spans="1:16" ht="17.25" thickTop="1" thickBot="1" x14ac:dyDescent="0.3">
      <c r="A298" s="791"/>
      <c r="B298" s="792" t="s">
        <v>379</v>
      </c>
      <c r="C298" s="793">
        <f>+C281+C285+C286+C294+C287+C288+C289+C290+C291+C292+C295+C296+C297</f>
        <v>170354</v>
      </c>
      <c r="D298" s="793">
        <f t="shared" ref="D298:O298" si="120">+D281+D285+D286+D294+D287+D288+D289+D290+D291+D292+D295+D296+D297</f>
        <v>31199</v>
      </c>
      <c r="E298" s="793">
        <f t="shared" si="120"/>
        <v>53122</v>
      </c>
      <c r="F298" s="793">
        <f t="shared" si="120"/>
        <v>0</v>
      </c>
      <c r="G298" s="793">
        <f t="shared" si="120"/>
        <v>0</v>
      </c>
      <c r="H298" s="793">
        <f t="shared" si="120"/>
        <v>254675</v>
      </c>
      <c r="I298" s="793">
        <f t="shared" si="120"/>
        <v>85</v>
      </c>
      <c r="J298" s="793">
        <f t="shared" si="120"/>
        <v>0</v>
      </c>
      <c r="K298" s="793">
        <f t="shared" si="120"/>
        <v>0</v>
      </c>
      <c r="L298" s="793">
        <f t="shared" si="120"/>
        <v>85</v>
      </c>
      <c r="M298" s="793">
        <f t="shared" si="120"/>
        <v>254760</v>
      </c>
      <c r="N298" s="793">
        <f t="shared" si="120"/>
        <v>0</v>
      </c>
      <c r="O298" s="793">
        <f t="shared" si="120"/>
        <v>254760</v>
      </c>
      <c r="P298" s="698">
        <f>O299+O300</f>
        <v>254760</v>
      </c>
    </row>
    <row r="299" spans="1:16" ht="17.25" thickTop="1" thickBot="1" x14ac:dyDescent="0.3">
      <c r="A299" s="791"/>
      <c r="B299" s="792" t="s">
        <v>378</v>
      </c>
      <c r="C299" s="793">
        <f t="shared" ref="C299:O299" si="121">+C282+C285+C286+C287+C288+C289+C290+C291+C292</f>
        <v>166489</v>
      </c>
      <c r="D299" s="793">
        <f t="shared" si="121"/>
        <v>30348</v>
      </c>
      <c r="E299" s="793">
        <f t="shared" si="121"/>
        <v>52992</v>
      </c>
      <c r="F299" s="793">
        <f t="shared" si="121"/>
        <v>0</v>
      </c>
      <c r="G299" s="793">
        <f t="shared" si="121"/>
        <v>0</v>
      </c>
      <c r="H299" s="793">
        <f t="shared" si="121"/>
        <v>249829</v>
      </c>
      <c r="I299" s="793">
        <f t="shared" si="121"/>
        <v>85</v>
      </c>
      <c r="J299" s="793">
        <f t="shared" si="121"/>
        <v>0</v>
      </c>
      <c r="K299" s="793">
        <f t="shared" si="121"/>
        <v>0</v>
      </c>
      <c r="L299" s="793">
        <f t="shared" si="121"/>
        <v>85</v>
      </c>
      <c r="M299" s="793">
        <f t="shared" si="121"/>
        <v>249914</v>
      </c>
      <c r="N299" s="793">
        <f t="shared" si="121"/>
        <v>0</v>
      </c>
      <c r="O299" s="793">
        <f t="shared" si="121"/>
        <v>249914</v>
      </c>
    </row>
    <row r="300" spans="1:16" ht="17.25" thickTop="1" thickBot="1" x14ac:dyDescent="0.3">
      <c r="A300" s="791"/>
      <c r="B300" s="792" t="s">
        <v>377</v>
      </c>
      <c r="C300" s="793">
        <f>+C283+C294+C295+C296+C297</f>
        <v>3865</v>
      </c>
      <c r="D300" s="793">
        <f t="shared" ref="D300:O300" si="122">+D283+D294+D295+D296+D297</f>
        <v>851</v>
      </c>
      <c r="E300" s="793">
        <f t="shared" si="122"/>
        <v>130</v>
      </c>
      <c r="F300" s="793">
        <f t="shared" si="122"/>
        <v>0</v>
      </c>
      <c r="G300" s="793">
        <f t="shared" si="122"/>
        <v>0</v>
      </c>
      <c r="H300" s="793">
        <f t="shared" si="122"/>
        <v>4846</v>
      </c>
      <c r="I300" s="793">
        <f t="shared" si="122"/>
        <v>0</v>
      </c>
      <c r="J300" s="793">
        <f t="shared" si="122"/>
        <v>0</v>
      </c>
      <c r="K300" s="793">
        <f t="shared" si="122"/>
        <v>0</v>
      </c>
      <c r="L300" s="793">
        <f t="shared" si="122"/>
        <v>0</v>
      </c>
      <c r="M300" s="793">
        <f t="shared" si="122"/>
        <v>4846</v>
      </c>
      <c r="N300" s="793">
        <f t="shared" si="122"/>
        <v>0</v>
      </c>
      <c r="O300" s="793">
        <f t="shared" si="122"/>
        <v>4846</v>
      </c>
    </row>
    <row r="301" spans="1:16" ht="16.5" thickTop="1" x14ac:dyDescent="0.25">
      <c r="A301" s="771" t="s">
        <v>6</v>
      </c>
      <c r="B301" s="772" t="s">
        <v>662</v>
      </c>
      <c r="C301" s="773"/>
      <c r="D301" s="774"/>
      <c r="E301" s="774"/>
      <c r="F301" s="790"/>
      <c r="G301" s="774"/>
      <c r="H301" s="776"/>
      <c r="I301" s="777"/>
      <c r="J301" s="775"/>
      <c r="K301" s="775"/>
      <c r="L301" s="776"/>
      <c r="M301" s="776"/>
      <c r="N301" s="776"/>
      <c r="O301" s="776"/>
    </row>
    <row r="302" spans="1:16" x14ac:dyDescent="0.25">
      <c r="A302" s="795"/>
      <c r="B302" s="772" t="s">
        <v>347</v>
      </c>
      <c r="C302" s="773">
        <f>SUM(C303:C304)</f>
        <v>163536</v>
      </c>
      <c r="D302" s="773">
        <f>SUM(D303:D304)</f>
        <v>29768</v>
      </c>
      <c r="E302" s="773">
        <f>SUM(E303:E304)</f>
        <v>53172</v>
      </c>
      <c r="F302" s="775"/>
      <c r="G302" s="774"/>
      <c r="H302" s="776">
        <f>SUM(C302:G302)</f>
        <v>246476</v>
      </c>
      <c r="I302" s="777"/>
      <c r="J302" s="775"/>
      <c r="K302" s="775"/>
      <c r="L302" s="776">
        <f>SUM(I302:K302)</f>
        <v>0</v>
      </c>
      <c r="M302" s="778">
        <f>SUM(H302+L302)</f>
        <v>246476</v>
      </c>
      <c r="N302" s="778"/>
      <c r="O302" s="778">
        <f>SUM(M302+N302)</f>
        <v>246476</v>
      </c>
    </row>
    <row r="303" spans="1:16" s="788" customFormat="1" x14ac:dyDescent="0.25">
      <c r="A303" s="816"/>
      <c r="B303" s="796" t="s">
        <v>381</v>
      </c>
      <c r="C303" s="781">
        <v>162321</v>
      </c>
      <c r="D303" s="782">
        <v>29373</v>
      </c>
      <c r="E303" s="782">
        <v>53172</v>
      </c>
      <c r="F303" s="783"/>
      <c r="G303" s="782"/>
      <c r="H303" s="784">
        <f>SUM(C303:G303)</f>
        <v>244866</v>
      </c>
      <c r="I303" s="794"/>
      <c r="J303" s="783"/>
      <c r="K303" s="783"/>
      <c r="L303" s="784">
        <f>SUM(I303:K303)</f>
        <v>0</v>
      </c>
      <c r="M303" s="784">
        <f>SUM(H303+L303)</f>
        <v>244866</v>
      </c>
      <c r="N303" s="784"/>
      <c r="O303" s="784">
        <f>SUM(M303+N303)</f>
        <v>244866</v>
      </c>
    </row>
    <row r="304" spans="1:16" s="788" customFormat="1" x14ac:dyDescent="0.25">
      <c r="A304" s="816"/>
      <c r="B304" s="796" t="s">
        <v>380</v>
      </c>
      <c r="C304" s="781">
        <v>1215</v>
      </c>
      <c r="D304" s="782">
        <v>395</v>
      </c>
      <c r="E304" s="782"/>
      <c r="F304" s="783"/>
      <c r="G304" s="782"/>
      <c r="H304" s="784">
        <f>SUM(C304:G304)</f>
        <v>1610</v>
      </c>
      <c r="I304" s="794"/>
      <c r="J304" s="783"/>
      <c r="K304" s="783"/>
      <c r="L304" s="784">
        <f>SUM(I304:K304)</f>
        <v>0</v>
      </c>
      <c r="M304" s="784">
        <f>SUM(H304+L304)</f>
        <v>1610</v>
      </c>
      <c r="N304" s="784"/>
      <c r="O304" s="784">
        <f>SUM(M304+N304)</f>
        <v>1610</v>
      </c>
    </row>
    <row r="305" spans="1:15" s="788" customFormat="1" x14ac:dyDescent="0.25">
      <c r="A305" s="816"/>
      <c r="B305" s="780" t="s">
        <v>131</v>
      </c>
      <c r="C305" s="781"/>
      <c r="D305" s="782"/>
      <c r="E305" s="782"/>
      <c r="F305" s="783"/>
      <c r="G305" s="782"/>
      <c r="H305" s="784"/>
      <c r="I305" s="794"/>
      <c r="J305" s="783"/>
      <c r="K305" s="783"/>
      <c r="L305" s="784"/>
      <c r="M305" s="787"/>
      <c r="N305" s="787"/>
      <c r="O305" s="787"/>
    </row>
    <row r="306" spans="1:15" s="788" customFormat="1" ht="31.5" x14ac:dyDescent="0.25">
      <c r="A306" s="816"/>
      <c r="B306" s="724" t="s">
        <v>1325</v>
      </c>
      <c r="C306" s="810">
        <v>8</v>
      </c>
      <c r="D306" s="811">
        <v>2</v>
      </c>
      <c r="E306" s="811"/>
      <c r="F306" s="812"/>
      <c r="G306" s="782"/>
      <c r="H306" s="797">
        <f t="shared" ref="H306:H313" si="123">SUM(C306:G306)</f>
        <v>10</v>
      </c>
      <c r="I306" s="794"/>
      <c r="J306" s="783"/>
      <c r="K306" s="783"/>
      <c r="L306" s="797">
        <f t="shared" ref="L306:L313" si="124">SUM(I306:K306)</f>
        <v>0</v>
      </c>
      <c r="M306" s="798">
        <f t="shared" ref="M306:M313" si="125">SUM(H306+L306)</f>
        <v>10</v>
      </c>
      <c r="N306" s="787"/>
      <c r="O306" s="798">
        <f t="shared" ref="O306:O313" si="126">SUM(M306+N306)</f>
        <v>10</v>
      </c>
    </row>
    <row r="307" spans="1:15" s="788" customFormat="1" ht="63" x14ac:dyDescent="0.25">
      <c r="A307" s="816"/>
      <c r="B307" s="724" t="s">
        <v>1326</v>
      </c>
      <c r="C307" s="810">
        <v>2098</v>
      </c>
      <c r="D307" s="811">
        <v>368</v>
      </c>
      <c r="E307" s="811"/>
      <c r="F307" s="812"/>
      <c r="G307" s="782"/>
      <c r="H307" s="797">
        <f t="shared" si="123"/>
        <v>2466</v>
      </c>
      <c r="I307" s="794"/>
      <c r="J307" s="783"/>
      <c r="K307" s="783"/>
      <c r="L307" s="797">
        <f t="shared" si="124"/>
        <v>0</v>
      </c>
      <c r="M307" s="798">
        <f t="shared" si="125"/>
        <v>2466</v>
      </c>
      <c r="N307" s="787"/>
      <c r="O307" s="798">
        <f t="shared" si="126"/>
        <v>2466</v>
      </c>
    </row>
    <row r="308" spans="1:15" s="788" customFormat="1" ht="31.5" x14ac:dyDescent="0.25">
      <c r="A308" s="816"/>
      <c r="B308" s="772" t="s">
        <v>565</v>
      </c>
      <c r="C308" s="810"/>
      <c r="D308" s="811"/>
      <c r="E308" s="811">
        <v>-456</v>
      </c>
      <c r="F308" s="812"/>
      <c r="G308" s="782"/>
      <c r="H308" s="797">
        <f t="shared" si="123"/>
        <v>-456</v>
      </c>
      <c r="I308" s="815">
        <v>456</v>
      </c>
      <c r="J308" s="783"/>
      <c r="K308" s="783"/>
      <c r="L308" s="797">
        <f t="shared" si="124"/>
        <v>456</v>
      </c>
      <c r="M308" s="797">
        <f t="shared" si="125"/>
        <v>0</v>
      </c>
      <c r="N308" s="784"/>
      <c r="O308" s="797">
        <f t="shared" si="126"/>
        <v>0</v>
      </c>
    </row>
    <row r="309" spans="1:15" s="788" customFormat="1" ht="63" x14ac:dyDescent="0.25">
      <c r="A309" s="816"/>
      <c r="B309" s="772" t="s">
        <v>1337</v>
      </c>
      <c r="C309" s="810">
        <v>4807</v>
      </c>
      <c r="D309" s="811">
        <v>745</v>
      </c>
      <c r="E309" s="811"/>
      <c r="F309" s="812"/>
      <c r="G309" s="782"/>
      <c r="H309" s="797">
        <f t="shared" si="123"/>
        <v>5552</v>
      </c>
      <c r="I309" s="794"/>
      <c r="J309" s="783"/>
      <c r="K309" s="783"/>
      <c r="L309" s="797">
        <f t="shared" si="124"/>
        <v>0</v>
      </c>
      <c r="M309" s="797">
        <f t="shared" si="125"/>
        <v>5552</v>
      </c>
      <c r="N309" s="784"/>
      <c r="O309" s="797">
        <f t="shared" si="126"/>
        <v>5552</v>
      </c>
    </row>
    <row r="310" spans="1:15" s="788" customFormat="1" ht="31.5" x14ac:dyDescent="0.25">
      <c r="A310" s="816"/>
      <c r="B310" s="724" t="s">
        <v>1338</v>
      </c>
      <c r="C310" s="810">
        <v>877</v>
      </c>
      <c r="D310" s="811">
        <v>136</v>
      </c>
      <c r="E310" s="811"/>
      <c r="F310" s="812"/>
      <c r="G310" s="782"/>
      <c r="H310" s="797">
        <f t="shared" si="123"/>
        <v>1013</v>
      </c>
      <c r="I310" s="794"/>
      <c r="J310" s="783"/>
      <c r="K310" s="783"/>
      <c r="L310" s="797">
        <f t="shared" si="124"/>
        <v>0</v>
      </c>
      <c r="M310" s="798">
        <f t="shared" si="125"/>
        <v>1013</v>
      </c>
      <c r="N310" s="787"/>
      <c r="O310" s="798">
        <f t="shared" si="126"/>
        <v>1013</v>
      </c>
    </row>
    <row r="311" spans="1:15" s="788" customFormat="1" ht="31.5" x14ac:dyDescent="0.25">
      <c r="A311" s="816"/>
      <c r="B311" s="724" t="s">
        <v>1327</v>
      </c>
      <c r="C311" s="810">
        <v>-43725</v>
      </c>
      <c r="D311" s="811">
        <v>-7464</v>
      </c>
      <c r="E311" s="811"/>
      <c r="F311" s="812"/>
      <c r="G311" s="782"/>
      <c r="H311" s="797">
        <f t="shared" si="123"/>
        <v>-51189</v>
      </c>
      <c r="I311" s="794"/>
      <c r="J311" s="783"/>
      <c r="K311" s="783"/>
      <c r="L311" s="797">
        <f t="shared" si="124"/>
        <v>0</v>
      </c>
      <c r="M311" s="798">
        <f t="shared" si="125"/>
        <v>-51189</v>
      </c>
      <c r="N311" s="787"/>
      <c r="O311" s="798">
        <f t="shared" si="126"/>
        <v>-51189</v>
      </c>
    </row>
    <row r="312" spans="1:15" s="788" customFormat="1" ht="31.5" x14ac:dyDescent="0.25">
      <c r="A312" s="816"/>
      <c r="B312" s="724" t="s">
        <v>961</v>
      </c>
      <c r="C312" s="810"/>
      <c r="D312" s="811"/>
      <c r="E312" s="811">
        <v>156</v>
      </c>
      <c r="F312" s="812"/>
      <c r="G312" s="782"/>
      <c r="H312" s="797">
        <f t="shared" si="123"/>
        <v>156</v>
      </c>
      <c r="I312" s="794"/>
      <c r="J312" s="783"/>
      <c r="K312" s="783"/>
      <c r="L312" s="797">
        <f t="shared" si="124"/>
        <v>0</v>
      </c>
      <c r="M312" s="798">
        <f t="shared" si="125"/>
        <v>156</v>
      </c>
      <c r="N312" s="787"/>
      <c r="O312" s="798">
        <f t="shared" si="126"/>
        <v>156</v>
      </c>
    </row>
    <row r="313" spans="1:15" s="788" customFormat="1" ht="33" customHeight="1" x14ac:dyDescent="0.25">
      <c r="A313" s="816"/>
      <c r="B313" s="724" t="s">
        <v>1347</v>
      </c>
      <c r="C313" s="810">
        <v>25000</v>
      </c>
      <c r="D313" s="811">
        <v>3622</v>
      </c>
      <c r="E313" s="811">
        <v>15920</v>
      </c>
      <c r="F313" s="812"/>
      <c r="G313" s="782"/>
      <c r="H313" s="797">
        <f t="shared" si="123"/>
        <v>44542</v>
      </c>
      <c r="I313" s="794"/>
      <c r="J313" s="783"/>
      <c r="K313" s="783"/>
      <c r="L313" s="797">
        <f t="shared" si="124"/>
        <v>0</v>
      </c>
      <c r="M313" s="798">
        <f t="shared" si="125"/>
        <v>44542</v>
      </c>
      <c r="N313" s="787"/>
      <c r="O313" s="798">
        <f t="shared" si="126"/>
        <v>44542</v>
      </c>
    </row>
    <row r="314" spans="1:15" s="788" customFormat="1" x14ac:dyDescent="0.25">
      <c r="A314" s="816"/>
      <c r="B314" s="780" t="s">
        <v>132</v>
      </c>
      <c r="C314" s="810"/>
      <c r="D314" s="811"/>
      <c r="E314" s="811"/>
      <c r="F314" s="812"/>
      <c r="G314" s="782"/>
      <c r="H314" s="797"/>
      <c r="I314" s="794"/>
      <c r="J314" s="783"/>
      <c r="K314" s="783"/>
      <c r="L314" s="797"/>
      <c r="M314" s="798"/>
      <c r="N314" s="787"/>
      <c r="O314" s="798"/>
    </row>
    <row r="315" spans="1:15" s="788" customFormat="1" x14ac:dyDescent="0.25">
      <c r="A315" s="816"/>
      <c r="B315" s="724" t="s">
        <v>1330</v>
      </c>
      <c r="C315" s="810">
        <v>675</v>
      </c>
      <c r="D315" s="811">
        <v>101</v>
      </c>
      <c r="E315" s="811"/>
      <c r="F315" s="812"/>
      <c r="G315" s="811"/>
      <c r="H315" s="797">
        <f t="shared" ref="H315:H320" si="127">SUM(C315:G315)</f>
        <v>776</v>
      </c>
      <c r="I315" s="815"/>
      <c r="J315" s="783"/>
      <c r="K315" s="783"/>
      <c r="L315" s="797">
        <f t="shared" ref="L315:L320" si="128">SUM(I315:K315)</f>
        <v>0</v>
      </c>
      <c r="M315" s="798">
        <f t="shared" ref="M315:M320" si="129">SUM(H315+L315)</f>
        <v>776</v>
      </c>
      <c r="N315" s="787"/>
      <c r="O315" s="798">
        <f t="shared" ref="O315:O320" si="130">SUM(M315+N315)</f>
        <v>776</v>
      </c>
    </row>
    <row r="316" spans="1:15" s="788" customFormat="1" ht="94.5" x14ac:dyDescent="0.25">
      <c r="A316" s="816"/>
      <c r="B316" s="724" t="s">
        <v>1332</v>
      </c>
      <c r="C316" s="810"/>
      <c r="D316" s="811"/>
      <c r="E316" s="811">
        <v>100</v>
      </c>
      <c r="F316" s="812"/>
      <c r="G316" s="811"/>
      <c r="H316" s="797">
        <f t="shared" si="127"/>
        <v>100</v>
      </c>
      <c r="I316" s="815"/>
      <c r="J316" s="783"/>
      <c r="K316" s="783"/>
      <c r="L316" s="797">
        <f t="shared" si="128"/>
        <v>0</v>
      </c>
      <c r="M316" s="798">
        <f t="shared" si="129"/>
        <v>100</v>
      </c>
      <c r="N316" s="787"/>
      <c r="O316" s="798">
        <f t="shared" si="130"/>
        <v>100</v>
      </c>
    </row>
    <row r="317" spans="1:15" s="788" customFormat="1" ht="94.5" x14ac:dyDescent="0.25">
      <c r="A317" s="816"/>
      <c r="B317" s="724" t="s">
        <v>1332</v>
      </c>
      <c r="C317" s="810"/>
      <c r="D317" s="811"/>
      <c r="E317" s="811">
        <v>100</v>
      </c>
      <c r="F317" s="812"/>
      <c r="G317" s="811"/>
      <c r="H317" s="797">
        <f t="shared" si="127"/>
        <v>100</v>
      </c>
      <c r="I317" s="815"/>
      <c r="J317" s="783"/>
      <c r="K317" s="783"/>
      <c r="L317" s="797">
        <f t="shared" si="128"/>
        <v>0</v>
      </c>
      <c r="M317" s="798">
        <f t="shared" si="129"/>
        <v>100</v>
      </c>
      <c r="N317" s="787"/>
      <c r="O317" s="798">
        <f t="shared" si="130"/>
        <v>100</v>
      </c>
    </row>
    <row r="318" spans="1:15" s="788" customFormat="1" ht="94.5" x14ac:dyDescent="0.25">
      <c r="A318" s="816"/>
      <c r="B318" s="724" t="s">
        <v>1355</v>
      </c>
      <c r="C318" s="810"/>
      <c r="D318" s="811"/>
      <c r="E318" s="811">
        <v>40</v>
      </c>
      <c r="F318" s="812"/>
      <c r="G318" s="811"/>
      <c r="H318" s="797">
        <f t="shared" si="127"/>
        <v>40</v>
      </c>
      <c r="I318" s="815"/>
      <c r="J318" s="783"/>
      <c r="K318" s="783"/>
      <c r="L318" s="797">
        <f t="shared" si="128"/>
        <v>0</v>
      </c>
      <c r="M318" s="798">
        <f t="shared" si="129"/>
        <v>40</v>
      </c>
      <c r="N318" s="787"/>
      <c r="O318" s="798">
        <f t="shared" si="130"/>
        <v>40</v>
      </c>
    </row>
    <row r="319" spans="1:15" s="788" customFormat="1" ht="110.25" x14ac:dyDescent="0.25">
      <c r="A319" s="816"/>
      <c r="B319" s="724" t="s">
        <v>1356</v>
      </c>
      <c r="C319" s="810"/>
      <c r="D319" s="811"/>
      <c r="E319" s="811">
        <v>40</v>
      </c>
      <c r="F319" s="812"/>
      <c r="G319" s="811"/>
      <c r="H319" s="797">
        <f t="shared" si="127"/>
        <v>40</v>
      </c>
      <c r="I319" s="815"/>
      <c r="J319" s="783"/>
      <c r="K319" s="783"/>
      <c r="L319" s="797">
        <f t="shared" si="128"/>
        <v>0</v>
      </c>
      <c r="M319" s="798">
        <f t="shared" si="129"/>
        <v>40</v>
      </c>
      <c r="N319" s="787"/>
      <c r="O319" s="798">
        <f t="shared" si="130"/>
        <v>40</v>
      </c>
    </row>
    <row r="320" spans="1:15" s="788" customFormat="1" ht="95.25" thickBot="1" x14ac:dyDescent="0.3">
      <c r="A320" s="816"/>
      <c r="B320" s="724" t="s">
        <v>1336</v>
      </c>
      <c r="C320" s="810">
        <v>1667</v>
      </c>
      <c r="D320" s="811">
        <v>250</v>
      </c>
      <c r="E320" s="811"/>
      <c r="F320" s="812"/>
      <c r="G320" s="811"/>
      <c r="H320" s="797">
        <f t="shared" si="127"/>
        <v>1917</v>
      </c>
      <c r="I320" s="815"/>
      <c r="J320" s="783"/>
      <c r="K320" s="783"/>
      <c r="L320" s="797">
        <f t="shared" si="128"/>
        <v>0</v>
      </c>
      <c r="M320" s="798">
        <f t="shared" si="129"/>
        <v>1917</v>
      </c>
      <c r="N320" s="787"/>
      <c r="O320" s="798">
        <f t="shared" si="130"/>
        <v>1917</v>
      </c>
    </row>
    <row r="321" spans="1:16" ht="17.25" thickTop="1" thickBot="1" x14ac:dyDescent="0.3">
      <c r="A321" s="791"/>
      <c r="B321" s="792" t="s">
        <v>379</v>
      </c>
      <c r="C321" s="793">
        <f>+C302+C306+C307+C315+C308+C309+C310+C311+C312+C313+C316+C317+C318+C319+C320</f>
        <v>154943</v>
      </c>
      <c r="D321" s="793">
        <f t="shared" ref="D321:O321" si="131">+D302+D306+D307+D315+D308+D309+D310+D311+D312+D313+D316+D317+D318+D319+D320</f>
        <v>27528</v>
      </c>
      <c r="E321" s="793">
        <f t="shared" si="131"/>
        <v>69072</v>
      </c>
      <c r="F321" s="793">
        <f t="shared" si="131"/>
        <v>0</v>
      </c>
      <c r="G321" s="793">
        <f t="shared" si="131"/>
        <v>0</v>
      </c>
      <c r="H321" s="793">
        <f t="shared" si="131"/>
        <v>251543</v>
      </c>
      <c r="I321" s="793">
        <f t="shared" si="131"/>
        <v>456</v>
      </c>
      <c r="J321" s="793">
        <f t="shared" si="131"/>
        <v>0</v>
      </c>
      <c r="K321" s="793">
        <f t="shared" si="131"/>
        <v>0</v>
      </c>
      <c r="L321" s="793">
        <f t="shared" si="131"/>
        <v>456</v>
      </c>
      <c r="M321" s="793">
        <f t="shared" si="131"/>
        <v>251999</v>
      </c>
      <c r="N321" s="793">
        <f t="shared" si="131"/>
        <v>0</v>
      </c>
      <c r="O321" s="793">
        <f t="shared" si="131"/>
        <v>251999</v>
      </c>
      <c r="P321" s="698">
        <f>O322+O323</f>
        <v>251999</v>
      </c>
    </row>
    <row r="322" spans="1:16" ht="17.25" thickTop="1" thickBot="1" x14ac:dyDescent="0.3">
      <c r="A322" s="791"/>
      <c r="B322" s="792" t="s">
        <v>378</v>
      </c>
      <c r="C322" s="793">
        <f t="shared" ref="C322:O322" si="132">+C303+C306+C307+C308+C309+C310+C311+C312+C313</f>
        <v>151386</v>
      </c>
      <c r="D322" s="793">
        <f t="shared" si="132"/>
        <v>26782</v>
      </c>
      <c r="E322" s="793">
        <f t="shared" si="132"/>
        <v>68792</v>
      </c>
      <c r="F322" s="793">
        <f t="shared" si="132"/>
        <v>0</v>
      </c>
      <c r="G322" s="793">
        <f t="shared" si="132"/>
        <v>0</v>
      </c>
      <c r="H322" s="793">
        <f t="shared" si="132"/>
        <v>246960</v>
      </c>
      <c r="I322" s="793">
        <f t="shared" si="132"/>
        <v>456</v>
      </c>
      <c r="J322" s="793">
        <f t="shared" si="132"/>
        <v>0</v>
      </c>
      <c r="K322" s="793">
        <f t="shared" si="132"/>
        <v>0</v>
      </c>
      <c r="L322" s="793">
        <f t="shared" si="132"/>
        <v>456</v>
      </c>
      <c r="M322" s="793">
        <f t="shared" si="132"/>
        <v>247416</v>
      </c>
      <c r="N322" s="793">
        <f t="shared" si="132"/>
        <v>0</v>
      </c>
      <c r="O322" s="793">
        <f t="shared" si="132"/>
        <v>247416</v>
      </c>
    </row>
    <row r="323" spans="1:16" ht="17.25" thickTop="1" thickBot="1" x14ac:dyDescent="0.3">
      <c r="A323" s="791"/>
      <c r="B323" s="792" t="s">
        <v>377</v>
      </c>
      <c r="C323" s="793">
        <f>+C304+C315+C316+C317+C318+C319+C320</f>
        <v>3557</v>
      </c>
      <c r="D323" s="793">
        <f t="shared" ref="D323:O323" si="133">+D304+D315+D316+D317+D318+D319+D320</f>
        <v>746</v>
      </c>
      <c r="E323" s="793">
        <f t="shared" si="133"/>
        <v>280</v>
      </c>
      <c r="F323" s="793">
        <f t="shared" si="133"/>
        <v>0</v>
      </c>
      <c r="G323" s="793">
        <f t="shared" si="133"/>
        <v>0</v>
      </c>
      <c r="H323" s="793">
        <f t="shared" si="133"/>
        <v>4583</v>
      </c>
      <c r="I323" s="793">
        <f t="shared" si="133"/>
        <v>0</v>
      </c>
      <c r="J323" s="793">
        <f t="shared" si="133"/>
        <v>0</v>
      </c>
      <c r="K323" s="793">
        <f t="shared" si="133"/>
        <v>0</v>
      </c>
      <c r="L323" s="793">
        <f t="shared" si="133"/>
        <v>0</v>
      </c>
      <c r="M323" s="793">
        <f t="shared" si="133"/>
        <v>4583</v>
      </c>
      <c r="N323" s="793">
        <f t="shared" si="133"/>
        <v>0</v>
      </c>
      <c r="O323" s="793">
        <f t="shared" si="133"/>
        <v>4583</v>
      </c>
    </row>
    <row r="324" spans="1:16" ht="16.5" thickTop="1" x14ac:dyDescent="0.25">
      <c r="A324" s="771" t="s">
        <v>7</v>
      </c>
      <c r="B324" s="772" t="s">
        <v>398</v>
      </c>
      <c r="C324" s="773"/>
      <c r="D324" s="774"/>
      <c r="E324" s="774"/>
      <c r="F324" s="790"/>
      <c r="G324" s="774"/>
      <c r="H324" s="776"/>
      <c r="I324" s="777"/>
      <c r="J324" s="775"/>
      <c r="K324" s="775"/>
      <c r="L324" s="776"/>
      <c r="M324" s="776"/>
      <c r="N324" s="776"/>
      <c r="O324" s="776"/>
    </row>
    <row r="325" spans="1:16" x14ac:dyDescent="0.25">
      <c r="A325" s="771"/>
      <c r="B325" s="724" t="s">
        <v>347</v>
      </c>
      <c r="C325" s="773">
        <f>SUM(C326:C327)</f>
        <v>59765</v>
      </c>
      <c r="D325" s="773">
        <f>SUM(D326:D327)</f>
        <v>9750</v>
      </c>
      <c r="E325" s="773">
        <f>SUM(E326:E327)</f>
        <v>16595</v>
      </c>
      <c r="F325" s="790"/>
      <c r="G325" s="774"/>
      <c r="H325" s="776">
        <f>SUM(C325:G325)</f>
        <v>86110</v>
      </c>
      <c r="I325" s="777"/>
      <c r="J325" s="775"/>
      <c r="K325" s="775"/>
      <c r="L325" s="776">
        <f>SUM(I325:K325)</f>
        <v>0</v>
      </c>
      <c r="M325" s="778">
        <f>SUM(H325+L325)</f>
        <v>86110</v>
      </c>
      <c r="N325" s="778"/>
      <c r="O325" s="778">
        <f>SUM(M325+N325)</f>
        <v>86110</v>
      </c>
    </row>
    <row r="326" spans="1:16" s="788" customFormat="1" x14ac:dyDescent="0.25">
      <c r="A326" s="779"/>
      <c r="B326" s="780" t="s">
        <v>381</v>
      </c>
      <c r="C326" s="781">
        <v>59236</v>
      </c>
      <c r="D326" s="782">
        <v>9578</v>
      </c>
      <c r="E326" s="782">
        <v>16595</v>
      </c>
      <c r="F326" s="786"/>
      <c r="G326" s="782"/>
      <c r="H326" s="784">
        <f>SUM(C326:G326)</f>
        <v>85409</v>
      </c>
      <c r="I326" s="794"/>
      <c r="J326" s="783"/>
      <c r="K326" s="783"/>
      <c r="L326" s="784">
        <f>SUM(I326:K326)</f>
        <v>0</v>
      </c>
      <c r="M326" s="787">
        <f>SUM(H326+L326)</f>
        <v>85409</v>
      </c>
      <c r="N326" s="787"/>
      <c r="O326" s="787">
        <f>SUM(M326+N326)</f>
        <v>85409</v>
      </c>
    </row>
    <row r="327" spans="1:16" s="788" customFormat="1" x14ac:dyDescent="0.25">
      <c r="A327" s="816"/>
      <c r="B327" s="796" t="s">
        <v>380</v>
      </c>
      <c r="C327" s="781">
        <v>529</v>
      </c>
      <c r="D327" s="782">
        <v>172</v>
      </c>
      <c r="E327" s="782"/>
      <c r="F327" s="783"/>
      <c r="G327" s="782"/>
      <c r="H327" s="784">
        <f>SUM(C327:G327)</f>
        <v>701</v>
      </c>
      <c r="I327" s="794"/>
      <c r="J327" s="783"/>
      <c r="K327" s="783"/>
      <c r="L327" s="784">
        <f>SUM(I327:K327)</f>
        <v>0</v>
      </c>
      <c r="M327" s="784">
        <f>SUM(H327+L327)</f>
        <v>701</v>
      </c>
      <c r="N327" s="784"/>
      <c r="O327" s="784">
        <f>SUM(M327+N327)</f>
        <v>701</v>
      </c>
    </row>
    <row r="328" spans="1:16" s="788" customFormat="1" x14ac:dyDescent="0.25">
      <c r="A328" s="816"/>
      <c r="B328" s="796" t="s">
        <v>131</v>
      </c>
      <c r="C328" s="781"/>
      <c r="D328" s="782"/>
      <c r="E328" s="782"/>
      <c r="F328" s="783"/>
      <c r="G328" s="782"/>
      <c r="H328" s="784"/>
      <c r="I328" s="794"/>
      <c r="J328" s="783"/>
      <c r="K328" s="783"/>
      <c r="L328" s="784"/>
      <c r="M328" s="784"/>
      <c r="N328" s="784"/>
      <c r="O328" s="784"/>
    </row>
    <row r="329" spans="1:16" s="788" customFormat="1" ht="47.25" x14ac:dyDescent="0.25">
      <c r="A329" s="779"/>
      <c r="B329" s="724" t="s">
        <v>1342</v>
      </c>
      <c r="C329" s="810">
        <v>-20588</v>
      </c>
      <c r="D329" s="811">
        <v>-3124</v>
      </c>
      <c r="E329" s="811">
        <v>-7757</v>
      </c>
      <c r="F329" s="814"/>
      <c r="G329" s="811">
        <v>246</v>
      </c>
      <c r="H329" s="797">
        <f t="shared" ref="H329:H331" si="134">SUM(C329:G329)</f>
        <v>-31223</v>
      </c>
      <c r="I329" s="815"/>
      <c r="J329" s="812"/>
      <c r="K329" s="812"/>
      <c r="L329" s="797">
        <f t="shared" ref="L329:L331" si="135">SUM(I329:K329)</f>
        <v>0</v>
      </c>
      <c r="M329" s="798">
        <f t="shared" ref="M329:M331" si="136">SUM(H329+L329)</f>
        <v>-31223</v>
      </c>
      <c r="N329" s="798"/>
      <c r="O329" s="798">
        <f t="shared" ref="O329:O331" si="137">SUM(M329+N329)</f>
        <v>-31223</v>
      </c>
    </row>
    <row r="330" spans="1:16" s="788" customFormat="1" x14ac:dyDescent="0.25">
      <c r="A330" s="779"/>
      <c r="B330" s="780" t="s">
        <v>132</v>
      </c>
      <c r="C330" s="810"/>
      <c r="D330" s="811"/>
      <c r="E330" s="811"/>
      <c r="F330" s="814"/>
      <c r="G330" s="811"/>
      <c r="H330" s="797"/>
      <c r="I330" s="815"/>
      <c r="J330" s="812"/>
      <c r="K330" s="812"/>
      <c r="L330" s="797"/>
      <c r="M330" s="798"/>
      <c r="N330" s="798"/>
      <c r="O330" s="798"/>
    </row>
    <row r="331" spans="1:16" s="788" customFormat="1" ht="48" thickBot="1" x14ac:dyDescent="0.3">
      <c r="A331" s="779"/>
      <c r="B331" s="724" t="s">
        <v>1342</v>
      </c>
      <c r="C331" s="810">
        <v>285</v>
      </c>
      <c r="D331" s="811">
        <v>43</v>
      </c>
      <c r="E331" s="811"/>
      <c r="F331" s="814"/>
      <c r="G331" s="811"/>
      <c r="H331" s="797">
        <f t="shared" si="134"/>
        <v>328</v>
      </c>
      <c r="I331" s="815"/>
      <c r="J331" s="812"/>
      <c r="K331" s="812"/>
      <c r="L331" s="797">
        <f t="shared" si="135"/>
        <v>0</v>
      </c>
      <c r="M331" s="798">
        <f t="shared" si="136"/>
        <v>328</v>
      </c>
      <c r="N331" s="798"/>
      <c r="O331" s="798">
        <f t="shared" si="137"/>
        <v>328</v>
      </c>
    </row>
    <row r="332" spans="1:16" ht="17.25" thickTop="1" thickBot="1" x14ac:dyDescent="0.3">
      <c r="A332" s="791"/>
      <c r="B332" s="792" t="s">
        <v>379</v>
      </c>
      <c r="C332" s="793">
        <f>+C325+C329+C331</f>
        <v>39462</v>
      </c>
      <c r="D332" s="793">
        <f t="shared" ref="D332:O332" si="138">+D325+D329+D331</f>
        <v>6669</v>
      </c>
      <c r="E332" s="793">
        <f t="shared" si="138"/>
        <v>8838</v>
      </c>
      <c r="F332" s="793">
        <f t="shared" si="138"/>
        <v>0</v>
      </c>
      <c r="G332" s="793">
        <f t="shared" si="138"/>
        <v>246</v>
      </c>
      <c r="H332" s="793">
        <f t="shared" si="138"/>
        <v>55215</v>
      </c>
      <c r="I332" s="793">
        <f t="shared" si="138"/>
        <v>0</v>
      </c>
      <c r="J332" s="793">
        <f t="shared" si="138"/>
        <v>0</v>
      </c>
      <c r="K332" s="793">
        <f t="shared" si="138"/>
        <v>0</v>
      </c>
      <c r="L332" s="793">
        <f t="shared" si="138"/>
        <v>0</v>
      </c>
      <c r="M332" s="793">
        <f t="shared" si="138"/>
        <v>55215</v>
      </c>
      <c r="N332" s="793">
        <f t="shared" si="138"/>
        <v>0</v>
      </c>
      <c r="O332" s="793">
        <f t="shared" si="138"/>
        <v>55215</v>
      </c>
      <c r="P332" s="698">
        <f>O333+O334</f>
        <v>55215</v>
      </c>
    </row>
    <row r="333" spans="1:16" ht="17.25" thickTop="1" thickBot="1" x14ac:dyDescent="0.3">
      <c r="A333" s="791"/>
      <c r="B333" s="792" t="s">
        <v>378</v>
      </c>
      <c r="C333" s="793">
        <f>+C326+C329</f>
        <v>38648</v>
      </c>
      <c r="D333" s="793">
        <f t="shared" ref="D333:O333" si="139">+D326+D329</f>
        <v>6454</v>
      </c>
      <c r="E333" s="793">
        <f t="shared" si="139"/>
        <v>8838</v>
      </c>
      <c r="F333" s="793">
        <f t="shared" si="139"/>
        <v>0</v>
      </c>
      <c r="G333" s="793">
        <f t="shared" si="139"/>
        <v>246</v>
      </c>
      <c r="H333" s="793">
        <f t="shared" si="139"/>
        <v>54186</v>
      </c>
      <c r="I333" s="793">
        <f t="shared" si="139"/>
        <v>0</v>
      </c>
      <c r="J333" s="793">
        <f t="shared" si="139"/>
        <v>0</v>
      </c>
      <c r="K333" s="793">
        <f t="shared" si="139"/>
        <v>0</v>
      </c>
      <c r="L333" s="793">
        <f t="shared" si="139"/>
        <v>0</v>
      </c>
      <c r="M333" s="793">
        <f t="shared" si="139"/>
        <v>54186</v>
      </c>
      <c r="N333" s="793">
        <f t="shared" si="139"/>
        <v>0</v>
      </c>
      <c r="O333" s="793">
        <f t="shared" si="139"/>
        <v>54186</v>
      </c>
    </row>
    <row r="334" spans="1:16" ht="17.25" thickTop="1" thickBot="1" x14ac:dyDescent="0.3">
      <c r="A334" s="791"/>
      <c r="B334" s="792" t="s">
        <v>377</v>
      </c>
      <c r="C334" s="793">
        <f>+C327+C331</f>
        <v>814</v>
      </c>
      <c r="D334" s="793">
        <f t="shared" ref="D334:O334" si="140">+D327+D331</f>
        <v>215</v>
      </c>
      <c r="E334" s="793">
        <f t="shared" si="140"/>
        <v>0</v>
      </c>
      <c r="F334" s="793">
        <f t="shared" si="140"/>
        <v>0</v>
      </c>
      <c r="G334" s="793">
        <f t="shared" si="140"/>
        <v>0</v>
      </c>
      <c r="H334" s="793">
        <f t="shared" si="140"/>
        <v>1029</v>
      </c>
      <c r="I334" s="793">
        <f t="shared" si="140"/>
        <v>0</v>
      </c>
      <c r="J334" s="793">
        <f t="shared" si="140"/>
        <v>0</v>
      </c>
      <c r="K334" s="793">
        <f t="shared" si="140"/>
        <v>0</v>
      </c>
      <c r="L334" s="793">
        <f t="shared" si="140"/>
        <v>0</v>
      </c>
      <c r="M334" s="793">
        <f t="shared" si="140"/>
        <v>1029</v>
      </c>
      <c r="N334" s="793">
        <f t="shared" si="140"/>
        <v>0</v>
      </c>
      <c r="O334" s="793">
        <f t="shared" si="140"/>
        <v>1029</v>
      </c>
    </row>
    <row r="335" spans="1:16" ht="16.5" thickTop="1" x14ac:dyDescent="0.25">
      <c r="A335" s="771" t="s">
        <v>8</v>
      </c>
      <c r="B335" s="772" t="s">
        <v>663</v>
      </c>
      <c r="C335" s="773"/>
      <c r="D335" s="774"/>
      <c r="E335" s="774"/>
      <c r="F335" s="790"/>
      <c r="G335" s="774"/>
      <c r="H335" s="776"/>
      <c r="I335" s="777"/>
      <c r="J335" s="775"/>
      <c r="K335" s="775"/>
      <c r="L335" s="776"/>
      <c r="M335" s="776"/>
      <c r="N335" s="776"/>
      <c r="O335" s="776"/>
    </row>
    <row r="336" spans="1:16" x14ac:dyDescent="0.25">
      <c r="A336" s="795"/>
      <c r="B336" s="772" t="s">
        <v>347</v>
      </c>
      <c r="C336" s="773">
        <f>SUM(C337:C338)</f>
        <v>205603</v>
      </c>
      <c r="D336" s="773">
        <f>SUM(D337:D338)</f>
        <v>38101</v>
      </c>
      <c r="E336" s="773">
        <f>SUM(E337:E338)</f>
        <v>68359</v>
      </c>
      <c r="F336" s="775"/>
      <c r="G336" s="774"/>
      <c r="H336" s="776">
        <f>SUM(C336:G336)</f>
        <v>312063</v>
      </c>
      <c r="I336" s="777"/>
      <c r="J336" s="775"/>
      <c r="K336" s="775"/>
      <c r="L336" s="776">
        <f>SUM(I336:K336)</f>
        <v>0</v>
      </c>
      <c r="M336" s="778">
        <f>SUM(H336+L336)</f>
        <v>312063</v>
      </c>
      <c r="N336" s="778"/>
      <c r="O336" s="778">
        <f>SUM(M336+N336)</f>
        <v>312063</v>
      </c>
    </row>
    <row r="337" spans="1:16" s="788" customFormat="1" x14ac:dyDescent="0.25">
      <c r="A337" s="816"/>
      <c r="B337" s="780" t="s">
        <v>381</v>
      </c>
      <c r="C337" s="781">
        <v>203780</v>
      </c>
      <c r="D337" s="782">
        <v>37509</v>
      </c>
      <c r="E337" s="782">
        <v>68359</v>
      </c>
      <c r="F337" s="783"/>
      <c r="G337" s="782"/>
      <c r="H337" s="784">
        <f>SUM(C337:G337)</f>
        <v>309648</v>
      </c>
      <c r="I337" s="794"/>
      <c r="J337" s="783"/>
      <c r="K337" s="783"/>
      <c r="L337" s="784">
        <f>SUM(I337:K337)</f>
        <v>0</v>
      </c>
      <c r="M337" s="787">
        <f>SUM(H337+L337)</f>
        <v>309648</v>
      </c>
      <c r="N337" s="787"/>
      <c r="O337" s="787">
        <f>SUM(M337+N337)</f>
        <v>309648</v>
      </c>
    </row>
    <row r="338" spans="1:16" s="788" customFormat="1" x14ac:dyDescent="0.25">
      <c r="A338" s="816"/>
      <c r="B338" s="780" t="s">
        <v>380</v>
      </c>
      <c r="C338" s="781">
        <v>1823</v>
      </c>
      <c r="D338" s="782">
        <v>592</v>
      </c>
      <c r="E338" s="782"/>
      <c r="F338" s="783"/>
      <c r="G338" s="782"/>
      <c r="H338" s="784">
        <f>SUM(C338:G338)</f>
        <v>2415</v>
      </c>
      <c r="I338" s="794"/>
      <c r="J338" s="783"/>
      <c r="K338" s="783"/>
      <c r="L338" s="784">
        <f>SUM(I338:K338)</f>
        <v>0</v>
      </c>
      <c r="M338" s="787">
        <f>SUM(H338+L338)</f>
        <v>2415</v>
      </c>
      <c r="N338" s="787"/>
      <c r="O338" s="787">
        <f>SUM(M338+N338)</f>
        <v>2415</v>
      </c>
    </row>
    <row r="339" spans="1:16" s="788" customFormat="1" x14ac:dyDescent="0.25">
      <c r="A339" s="816"/>
      <c r="B339" s="780" t="s">
        <v>131</v>
      </c>
      <c r="C339" s="781"/>
      <c r="D339" s="782"/>
      <c r="E339" s="782"/>
      <c r="F339" s="783"/>
      <c r="G339" s="782"/>
      <c r="H339" s="784"/>
      <c r="I339" s="794"/>
      <c r="J339" s="783"/>
      <c r="K339" s="783"/>
      <c r="L339" s="784"/>
      <c r="M339" s="787"/>
      <c r="N339" s="787"/>
      <c r="O339" s="787"/>
    </row>
    <row r="340" spans="1:16" s="788" customFormat="1" ht="63" x14ac:dyDescent="0.25">
      <c r="A340" s="816"/>
      <c r="B340" s="724" t="s">
        <v>1326</v>
      </c>
      <c r="C340" s="810">
        <v>1969</v>
      </c>
      <c r="D340" s="811">
        <v>319</v>
      </c>
      <c r="E340" s="811"/>
      <c r="F340" s="812"/>
      <c r="G340" s="811"/>
      <c r="H340" s="797">
        <f t="shared" ref="H340:H345" si="141">SUM(C340:G340)</f>
        <v>2288</v>
      </c>
      <c r="I340" s="815"/>
      <c r="J340" s="812"/>
      <c r="K340" s="812"/>
      <c r="L340" s="797">
        <f t="shared" ref="L340:L345" si="142">SUM(I340:K340)</f>
        <v>0</v>
      </c>
      <c r="M340" s="798">
        <f t="shared" ref="M340:M345" si="143">SUM(H340+L340)</f>
        <v>2288</v>
      </c>
      <c r="N340" s="787"/>
      <c r="O340" s="798">
        <f t="shared" ref="O340:O345" si="144">SUM(M340+N340)</f>
        <v>2288</v>
      </c>
    </row>
    <row r="341" spans="1:16" s="788" customFormat="1" ht="63" x14ac:dyDescent="0.25">
      <c r="A341" s="816"/>
      <c r="B341" s="724" t="s">
        <v>1337</v>
      </c>
      <c r="C341" s="810">
        <v>5848</v>
      </c>
      <c r="D341" s="811">
        <v>907</v>
      </c>
      <c r="E341" s="811"/>
      <c r="F341" s="812"/>
      <c r="G341" s="811"/>
      <c r="H341" s="797">
        <f t="shared" si="141"/>
        <v>6755</v>
      </c>
      <c r="I341" s="815"/>
      <c r="J341" s="812"/>
      <c r="K341" s="812"/>
      <c r="L341" s="797">
        <f t="shared" si="142"/>
        <v>0</v>
      </c>
      <c r="M341" s="798">
        <f t="shared" si="143"/>
        <v>6755</v>
      </c>
      <c r="N341" s="787"/>
      <c r="O341" s="798">
        <f t="shared" si="144"/>
        <v>6755</v>
      </c>
    </row>
    <row r="342" spans="1:16" s="788" customFormat="1" ht="31.5" x14ac:dyDescent="0.25">
      <c r="A342" s="816"/>
      <c r="B342" s="724" t="s">
        <v>1338</v>
      </c>
      <c r="C342" s="810">
        <v>1644</v>
      </c>
      <c r="D342" s="811">
        <v>255</v>
      </c>
      <c r="E342" s="811"/>
      <c r="F342" s="812"/>
      <c r="G342" s="811"/>
      <c r="H342" s="797">
        <f t="shared" si="141"/>
        <v>1899</v>
      </c>
      <c r="I342" s="815"/>
      <c r="J342" s="812"/>
      <c r="K342" s="812"/>
      <c r="L342" s="797">
        <f t="shared" si="142"/>
        <v>0</v>
      </c>
      <c r="M342" s="798">
        <f t="shared" si="143"/>
        <v>1899</v>
      </c>
      <c r="N342" s="787"/>
      <c r="O342" s="798">
        <f t="shared" si="144"/>
        <v>1899</v>
      </c>
    </row>
    <row r="343" spans="1:16" s="788" customFormat="1" ht="31.5" x14ac:dyDescent="0.25">
      <c r="A343" s="816"/>
      <c r="B343" s="724" t="s">
        <v>1327</v>
      </c>
      <c r="C343" s="810">
        <v>-10732</v>
      </c>
      <c r="D343" s="811">
        <v>-1941</v>
      </c>
      <c r="E343" s="811"/>
      <c r="F343" s="812"/>
      <c r="G343" s="811"/>
      <c r="H343" s="797">
        <f t="shared" si="141"/>
        <v>-12673</v>
      </c>
      <c r="I343" s="815"/>
      <c r="J343" s="812"/>
      <c r="K343" s="812"/>
      <c r="L343" s="797">
        <f t="shared" si="142"/>
        <v>0</v>
      </c>
      <c r="M343" s="798">
        <f t="shared" si="143"/>
        <v>-12673</v>
      </c>
      <c r="N343" s="787"/>
      <c r="O343" s="798">
        <f t="shared" si="144"/>
        <v>-12673</v>
      </c>
    </row>
    <row r="344" spans="1:16" s="788" customFormat="1" ht="33" customHeight="1" x14ac:dyDescent="0.25">
      <c r="A344" s="816"/>
      <c r="B344" s="724" t="s">
        <v>1339</v>
      </c>
      <c r="C344" s="810"/>
      <c r="D344" s="811"/>
      <c r="E344" s="811">
        <v>-7602</v>
      </c>
      <c r="F344" s="812"/>
      <c r="G344" s="811"/>
      <c r="H344" s="797">
        <f t="shared" si="141"/>
        <v>-7602</v>
      </c>
      <c r="I344" s="815"/>
      <c r="J344" s="812"/>
      <c r="K344" s="812"/>
      <c r="L344" s="797">
        <f t="shared" si="142"/>
        <v>0</v>
      </c>
      <c r="M344" s="798">
        <f t="shared" si="143"/>
        <v>-7602</v>
      </c>
      <c r="N344" s="787"/>
      <c r="O344" s="798">
        <f t="shared" si="144"/>
        <v>-7602</v>
      </c>
    </row>
    <row r="345" spans="1:16" s="788" customFormat="1" ht="31.5" x14ac:dyDescent="0.25">
      <c r="A345" s="816"/>
      <c r="B345" s="724" t="s">
        <v>961</v>
      </c>
      <c r="C345" s="810"/>
      <c r="D345" s="811"/>
      <c r="E345" s="811">
        <v>245</v>
      </c>
      <c r="F345" s="812"/>
      <c r="G345" s="811"/>
      <c r="H345" s="797">
        <f t="shared" si="141"/>
        <v>245</v>
      </c>
      <c r="I345" s="815"/>
      <c r="J345" s="812"/>
      <c r="K345" s="812"/>
      <c r="L345" s="797">
        <f t="shared" si="142"/>
        <v>0</v>
      </c>
      <c r="M345" s="798">
        <f t="shared" si="143"/>
        <v>245</v>
      </c>
      <c r="N345" s="787"/>
      <c r="O345" s="798">
        <f t="shared" si="144"/>
        <v>245</v>
      </c>
    </row>
    <row r="346" spans="1:16" s="788" customFormat="1" x14ac:dyDescent="0.25">
      <c r="A346" s="816"/>
      <c r="B346" s="780" t="s">
        <v>132</v>
      </c>
      <c r="C346" s="810"/>
      <c r="D346" s="811"/>
      <c r="E346" s="811"/>
      <c r="F346" s="812"/>
      <c r="G346" s="811"/>
      <c r="H346" s="797"/>
      <c r="I346" s="815"/>
      <c r="J346" s="812"/>
      <c r="K346" s="812"/>
      <c r="L346" s="797"/>
      <c r="M346" s="798"/>
      <c r="N346" s="787"/>
      <c r="O346" s="798"/>
    </row>
    <row r="347" spans="1:16" s="788" customFormat="1" x14ac:dyDescent="0.25">
      <c r="A347" s="816"/>
      <c r="B347" s="724" t="s">
        <v>1330</v>
      </c>
      <c r="C347" s="810">
        <v>1144</v>
      </c>
      <c r="D347" s="811">
        <v>171</v>
      </c>
      <c r="E347" s="811"/>
      <c r="F347" s="812"/>
      <c r="G347" s="811"/>
      <c r="H347" s="797">
        <f>SUM(C347:G347)</f>
        <v>1315</v>
      </c>
      <c r="I347" s="815"/>
      <c r="J347" s="812"/>
      <c r="K347" s="812"/>
      <c r="L347" s="797">
        <f>SUM(I347:K347)</f>
        <v>0</v>
      </c>
      <c r="M347" s="798">
        <f>SUM(H347+L347)</f>
        <v>1315</v>
      </c>
      <c r="N347" s="787"/>
      <c r="O347" s="798">
        <f>SUM(M347+N347)</f>
        <v>1315</v>
      </c>
    </row>
    <row r="348" spans="1:16" s="788" customFormat="1" ht="110.25" x14ac:dyDescent="0.25">
      <c r="A348" s="816"/>
      <c r="B348" s="724" t="s">
        <v>1357</v>
      </c>
      <c r="C348" s="810"/>
      <c r="D348" s="811"/>
      <c r="E348" s="811">
        <v>30</v>
      </c>
      <c r="F348" s="812"/>
      <c r="G348" s="811"/>
      <c r="H348" s="797">
        <f>SUM(C348:G348)</f>
        <v>30</v>
      </c>
      <c r="I348" s="815"/>
      <c r="J348" s="812"/>
      <c r="K348" s="812"/>
      <c r="L348" s="797">
        <f>SUM(I348:K348)</f>
        <v>0</v>
      </c>
      <c r="M348" s="798">
        <f>SUM(H348+L348)</f>
        <v>30</v>
      </c>
      <c r="N348" s="787"/>
      <c r="O348" s="798">
        <f>SUM(M348+N348)</f>
        <v>30</v>
      </c>
    </row>
    <row r="349" spans="1:16" s="788" customFormat="1" ht="95.25" thickBot="1" x14ac:dyDescent="0.3">
      <c r="A349" s="816"/>
      <c r="B349" s="724" t="s">
        <v>1336</v>
      </c>
      <c r="C349" s="810">
        <v>1454</v>
      </c>
      <c r="D349" s="811">
        <v>218</v>
      </c>
      <c r="E349" s="811"/>
      <c r="F349" s="812"/>
      <c r="G349" s="811"/>
      <c r="H349" s="797">
        <f>SUM(C349:G349)</f>
        <v>1672</v>
      </c>
      <c r="I349" s="815"/>
      <c r="J349" s="812"/>
      <c r="K349" s="812"/>
      <c r="L349" s="797">
        <f>SUM(I349:K349)</f>
        <v>0</v>
      </c>
      <c r="M349" s="798">
        <f>SUM(H349+L349)</f>
        <v>1672</v>
      </c>
      <c r="N349" s="787"/>
      <c r="O349" s="798">
        <f>SUM(M349+N349)</f>
        <v>1672</v>
      </c>
    </row>
    <row r="350" spans="1:16" ht="17.25" thickTop="1" thickBot="1" x14ac:dyDescent="0.3">
      <c r="A350" s="791"/>
      <c r="B350" s="792" t="s">
        <v>379</v>
      </c>
      <c r="C350" s="793">
        <f>+C336+C340+C347+C341+C342+C343+C344+C345+C348+C349</f>
        <v>206930</v>
      </c>
      <c r="D350" s="793">
        <f t="shared" ref="D350:O350" si="145">+D336+D340+D347+D341+D342+D343+D344+D345+D348+D349</f>
        <v>38030</v>
      </c>
      <c r="E350" s="793">
        <f t="shared" si="145"/>
        <v>61032</v>
      </c>
      <c r="F350" s="793">
        <f t="shared" si="145"/>
        <v>0</v>
      </c>
      <c r="G350" s="793">
        <f t="shared" si="145"/>
        <v>0</v>
      </c>
      <c r="H350" s="793">
        <f t="shared" si="145"/>
        <v>305992</v>
      </c>
      <c r="I350" s="793">
        <f t="shared" si="145"/>
        <v>0</v>
      </c>
      <c r="J350" s="793">
        <f t="shared" si="145"/>
        <v>0</v>
      </c>
      <c r="K350" s="793">
        <f t="shared" si="145"/>
        <v>0</v>
      </c>
      <c r="L350" s="793">
        <f t="shared" si="145"/>
        <v>0</v>
      </c>
      <c r="M350" s="793">
        <f t="shared" si="145"/>
        <v>305992</v>
      </c>
      <c r="N350" s="793">
        <f t="shared" si="145"/>
        <v>0</v>
      </c>
      <c r="O350" s="793">
        <f t="shared" si="145"/>
        <v>305992</v>
      </c>
      <c r="P350" s="698">
        <f>O351+O352</f>
        <v>305992</v>
      </c>
    </row>
    <row r="351" spans="1:16" ht="17.25" thickTop="1" thickBot="1" x14ac:dyDescent="0.3">
      <c r="A351" s="791"/>
      <c r="B351" s="792" t="s">
        <v>378</v>
      </c>
      <c r="C351" s="793">
        <f>+C337+C340+C341+C342+C343+C344+C345</f>
        <v>202509</v>
      </c>
      <c r="D351" s="793">
        <f t="shared" ref="D351:O351" si="146">+D337+D340+D341+D342+D343+D344+D345</f>
        <v>37049</v>
      </c>
      <c r="E351" s="793">
        <f t="shared" si="146"/>
        <v>61002</v>
      </c>
      <c r="F351" s="793">
        <f t="shared" si="146"/>
        <v>0</v>
      </c>
      <c r="G351" s="793">
        <f t="shared" si="146"/>
        <v>0</v>
      </c>
      <c r="H351" s="793">
        <f t="shared" si="146"/>
        <v>300560</v>
      </c>
      <c r="I351" s="793">
        <f t="shared" si="146"/>
        <v>0</v>
      </c>
      <c r="J351" s="793">
        <f t="shared" si="146"/>
        <v>0</v>
      </c>
      <c r="K351" s="793">
        <f t="shared" si="146"/>
        <v>0</v>
      </c>
      <c r="L351" s="793">
        <f t="shared" si="146"/>
        <v>0</v>
      </c>
      <c r="M351" s="793">
        <f t="shared" si="146"/>
        <v>300560</v>
      </c>
      <c r="N351" s="793">
        <f t="shared" si="146"/>
        <v>0</v>
      </c>
      <c r="O351" s="793">
        <f t="shared" si="146"/>
        <v>300560</v>
      </c>
    </row>
    <row r="352" spans="1:16" ht="17.25" thickTop="1" thickBot="1" x14ac:dyDescent="0.3">
      <c r="A352" s="791"/>
      <c r="B352" s="792" t="s">
        <v>377</v>
      </c>
      <c r="C352" s="793">
        <f t="shared" ref="C352:O352" si="147">+C338+C347+C348+C349</f>
        <v>4421</v>
      </c>
      <c r="D352" s="793">
        <f t="shared" si="147"/>
        <v>981</v>
      </c>
      <c r="E352" s="793">
        <f t="shared" si="147"/>
        <v>30</v>
      </c>
      <c r="F352" s="793">
        <f t="shared" si="147"/>
        <v>0</v>
      </c>
      <c r="G352" s="793">
        <f t="shared" si="147"/>
        <v>0</v>
      </c>
      <c r="H352" s="793">
        <f t="shared" si="147"/>
        <v>5432</v>
      </c>
      <c r="I352" s="793">
        <f t="shared" si="147"/>
        <v>0</v>
      </c>
      <c r="J352" s="793">
        <f t="shared" si="147"/>
        <v>0</v>
      </c>
      <c r="K352" s="793">
        <f t="shared" si="147"/>
        <v>0</v>
      </c>
      <c r="L352" s="793">
        <f t="shared" si="147"/>
        <v>0</v>
      </c>
      <c r="M352" s="793">
        <f t="shared" si="147"/>
        <v>5432</v>
      </c>
      <c r="N352" s="793">
        <f t="shared" si="147"/>
        <v>0</v>
      </c>
      <c r="O352" s="793">
        <f t="shared" si="147"/>
        <v>5432</v>
      </c>
    </row>
    <row r="353" spans="1:15" ht="16.5" thickTop="1" x14ac:dyDescent="0.25">
      <c r="A353" s="817" t="s">
        <v>9</v>
      </c>
      <c r="B353" s="818" t="s">
        <v>397</v>
      </c>
      <c r="C353" s="819"/>
      <c r="D353" s="820"/>
      <c r="E353" s="820"/>
      <c r="F353" s="821"/>
      <c r="G353" s="820"/>
      <c r="H353" s="822"/>
      <c r="I353" s="823"/>
      <c r="J353" s="821"/>
      <c r="K353" s="821"/>
      <c r="L353" s="822"/>
      <c r="M353" s="822"/>
      <c r="N353" s="822"/>
      <c r="O353" s="822"/>
    </row>
    <row r="354" spans="1:15" x14ac:dyDescent="0.25">
      <c r="A354" s="795"/>
      <c r="B354" s="772" t="s">
        <v>347</v>
      </c>
      <c r="C354" s="773">
        <f>SUM(C355:C356)</f>
        <v>138329</v>
      </c>
      <c r="D354" s="773">
        <f>SUM(D355:D356)</f>
        <v>25435</v>
      </c>
      <c r="E354" s="773">
        <f>SUM(E355:E356)</f>
        <v>66685</v>
      </c>
      <c r="F354" s="775"/>
      <c r="G354" s="774"/>
      <c r="H354" s="776">
        <f>SUM(C354:G354)</f>
        <v>230449</v>
      </c>
      <c r="I354" s="777"/>
      <c r="J354" s="775"/>
      <c r="K354" s="775"/>
      <c r="L354" s="776">
        <f>SUM(I354:K354)</f>
        <v>0</v>
      </c>
      <c r="M354" s="776">
        <f>SUM(H354+L354)</f>
        <v>230449</v>
      </c>
      <c r="N354" s="776"/>
      <c r="O354" s="776">
        <f>SUM(M354+N354)</f>
        <v>230449</v>
      </c>
    </row>
    <row r="355" spans="1:15" s="788" customFormat="1" x14ac:dyDescent="0.25">
      <c r="A355" s="779"/>
      <c r="B355" s="780" t="s">
        <v>381</v>
      </c>
      <c r="C355" s="781">
        <v>136931</v>
      </c>
      <c r="D355" s="782">
        <v>24981</v>
      </c>
      <c r="E355" s="782">
        <v>66685</v>
      </c>
      <c r="F355" s="786"/>
      <c r="G355" s="782"/>
      <c r="H355" s="784">
        <f>SUM(C355:G355)</f>
        <v>228597</v>
      </c>
      <c r="I355" s="794"/>
      <c r="J355" s="783"/>
      <c r="K355" s="783"/>
      <c r="L355" s="784">
        <f>SUM(I355:K355)</f>
        <v>0</v>
      </c>
      <c r="M355" s="787">
        <f>SUM(H355+L355)</f>
        <v>228597</v>
      </c>
      <c r="N355" s="787"/>
      <c r="O355" s="787">
        <f>SUM(M355+N355)</f>
        <v>228597</v>
      </c>
    </row>
    <row r="356" spans="1:15" s="788" customFormat="1" x14ac:dyDescent="0.25">
      <c r="A356" s="779"/>
      <c r="B356" s="780" t="s">
        <v>380</v>
      </c>
      <c r="C356" s="781">
        <v>1398</v>
      </c>
      <c r="D356" s="782">
        <v>454</v>
      </c>
      <c r="E356" s="782"/>
      <c r="F356" s="786"/>
      <c r="G356" s="782"/>
      <c r="H356" s="784">
        <f>SUM(C356:G356)</f>
        <v>1852</v>
      </c>
      <c r="I356" s="794"/>
      <c r="J356" s="783"/>
      <c r="K356" s="783"/>
      <c r="L356" s="784">
        <f>SUM(I356:K356)</f>
        <v>0</v>
      </c>
      <c r="M356" s="787">
        <f>SUM(H356+L356)</f>
        <v>1852</v>
      </c>
      <c r="N356" s="787"/>
      <c r="O356" s="787">
        <f>SUM(M356+N356)</f>
        <v>1852</v>
      </c>
    </row>
    <row r="357" spans="1:15" s="788" customFormat="1" x14ac:dyDescent="0.25">
      <c r="A357" s="779"/>
      <c r="B357" s="780" t="s">
        <v>131</v>
      </c>
      <c r="C357" s="781"/>
      <c r="D357" s="782"/>
      <c r="E357" s="782"/>
      <c r="F357" s="786"/>
      <c r="G357" s="782"/>
      <c r="H357" s="784"/>
      <c r="I357" s="794"/>
      <c r="J357" s="783"/>
      <c r="K357" s="783"/>
      <c r="L357" s="784"/>
      <c r="M357" s="787"/>
      <c r="N357" s="787"/>
      <c r="O357" s="787"/>
    </row>
    <row r="358" spans="1:15" s="788" customFormat="1" ht="31.5" x14ac:dyDescent="0.25">
      <c r="A358" s="779"/>
      <c r="B358" s="724" t="s">
        <v>1325</v>
      </c>
      <c r="C358" s="810">
        <v>42</v>
      </c>
      <c r="D358" s="811">
        <v>7</v>
      </c>
      <c r="E358" s="811"/>
      <c r="F358" s="814"/>
      <c r="G358" s="782"/>
      <c r="H358" s="797">
        <f t="shared" ref="H358:H364" si="148">SUM(C358:G358)</f>
        <v>49</v>
      </c>
      <c r="I358" s="794"/>
      <c r="J358" s="783"/>
      <c r="K358" s="783"/>
      <c r="L358" s="797">
        <f t="shared" ref="L358:L364" si="149">SUM(I358:K358)</f>
        <v>0</v>
      </c>
      <c r="M358" s="798">
        <f t="shared" ref="M358:M364" si="150">SUM(H358+L358)</f>
        <v>49</v>
      </c>
      <c r="N358" s="787"/>
      <c r="O358" s="798">
        <f t="shared" ref="O358:O364" si="151">SUM(M358+N358)</f>
        <v>49</v>
      </c>
    </row>
    <row r="359" spans="1:15" s="788" customFormat="1" ht="63" x14ac:dyDescent="0.25">
      <c r="A359" s="779"/>
      <c r="B359" s="724" t="s">
        <v>1326</v>
      </c>
      <c r="C359" s="810">
        <v>3727</v>
      </c>
      <c r="D359" s="811">
        <v>639</v>
      </c>
      <c r="E359" s="811"/>
      <c r="F359" s="814"/>
      <c r="G359" s="782"/>
      <c r="H359" s="797">
        <f t="shared" si="148"/>
        <v>4366</v>
      </c>
      <c r="I359" s="794"/>
      <c r="J359" s="783"/>
      <c r="K359" s="783"/>
      <c r="L359" s="797">
        <f t="shared" si="149"/>
        <v>0</v>
      </c>
      <c r="M359" s="798">
        <f t="shared" si="150"/>
        <v>4366</v>
      </c>
      <c r="N359" s="787"/>
      <c r="O359" s="798">
        <f t="shared" si="151"/>
        <v>4366</v>
      </c>
    </row>
    <row r="360" spans="1:15" s="788" customFormat="1" ht="63" x14ac:dyDescent="0.25">
      <c r="A360" s="779"/>
      <c r="B360" s="724" t="s">
        <v>1337</v>
      </c>
      <c r="C360" s="810">
        <v>3886</v>
      </c>
      <c r="D360" s="811">
        <v>602</v>
      </c>
      <c r="E360" s="811"/>
      <c r="F360" s="814"/>
      <c r="G360" s="782"/>
      <c r="H360" s="797">
        <f t="shared" si="148"/>
        <v>4488</v>
      </c>
      <c r="I360" s="794"/>
      <c r="J360" s="783"/>
      <c r="K360" s="783"/>
      <c r="L360" s="797">
        <f t="shared" si="149"/>
        <v>0</v>
      </c>
      <c r="M360" s="798">
        <f t="shared" si="150"/>
        <v>4488</v>
      </c>
      <c r="N360" s="787"/>
      <c r="O360" s="798">
        <f t="shared" si="151"/>
        <v>4488</v>
      </c>
    </row>
    <row r="361" spans="1:15" s="788" customFormat="1" ht="31.5" x14ac:dyDescent="0.25">
      <c r="A361" s="779"/>
      <c r="B361" s="724" t="s">
        <v>1338</v>
      </c>
      <c r="C361" s="810">
        <v>987</v>
      </c>
      <c r="D361" s="811">
        <v>153</v>
      </c>
      <c r="E361" s="811"/>
      <c r="F361" s="814"/>
      <c r="G361" s="782"/>
      <c r="H361" s="797">
        <f t="shared" si="148"/>
        <v>1140</v>
      </c>
      <c r="I361" s="794"/>
      <c r="J361" s="783"/>
      <c r="K361" s="783"/>
      <c r="L361" s="797">
        <f t="shared" si="149"/>
        <v>0</v>
      </c>
      <c r="M361" s="798">
        <f t="shared" si="150"/>
        <v>1140</v>
      </c>
      <c r="N361" s="787"/>
      <c r="O361" s="798">
        <f t="shared" si="151"/>
        <v>1140</v>
      </c>
    </row>
    <row r="362" spans="1:15" s="788" customFormat="1" ht="31.5" x14ac:dyDescent="0.25">
      <c r="A362" s="779"/>
      <c r="B362" s="724" t="s">
        <v>1327</v>
      </c>
      <c r="C362" s="810">
        <v>-8199</v>
      </c>
      <c r="D362" s="811">
        <v>-1650</v>
      </c>
      <c r="E362" s="811"/>
      <c r="F362" s="814"/>
      <c r="G362" s="782"/>
      <c r="H362" s="797">
        <f t="shared" si="148"/>
        <v>-9849</v>
      </c>
      <c r="I362" s="794"/>
      <c r="J362" s="783"/>
      <c r="K362" s="783"/>
      <c r="L362" s="797">
        <f t="shared" si="149"/>
        <v>0</v>
      </c>
      <c r="M362" s="798">
        <f t="shared" si="150"/>
        <v>-9849</v>
      </c>
      <c r="N362" s="787"/>
      <c r="O362" s="798">
        <f t="shared" si="151"/>
        <v>-9849</v>
      </c>
    </row>
    <row r="363" spans="1:15" s="788" customFormat="1" ht="34.5" customHeight="1" x14ac:dyDescent="0.25">
      <c r="A363" s="779"/>
      <c r="B363" s="724" t="s">
        <v>1339</v>
      </c>
      <c r="C363" s="810"/>
      <c r="D363" s="811"/>
      <c r="E363" s="811">
        <v>-14013</v>
      </c>
      <c r="F363" s="814"/>
      <c r="G363" s="782"/>
      <c r="H363" s="797">
        <f t="shared" si="148"/>
        <v>-14013</v>
      </c>
      <c r="I363" s="794"/>
      <c r="J363" s="783"/>
      <c r="K363" s="783"/>
      <c r="L363" s="797">
        <f t="shared" si="149"/>
        <v>0</v>
      </c>
      <c r="M363" s="798">
        <f t="shared" si="150"/>
        <v>-14013</v>
      </c>
      <c r="N363" s="787"/>
      <c r="O363" s="798">
        <f t="shared" si="151"/>
        <v>-14013</v>
      </c>
    </row>
    <row r="364" spans="1:15" s="788" customFormat="1" ht="31.5" x14ac:dyDescent="0.25">
      <c r="A364" s="779"/>
      <c r="B364" s="724" t="s">
        <v>961</v>
      </c>
      <c r="C364" s="810"/>
      <c r="D364" s="811"/>
      <c r="E364" s="811">
        <v>1247</v>
      </c>
      <c r="F364" s="814"/>
      <c r="G364" s="782"/>
      <c r="H364" s="797">
        <f t="shared" si="148"/>
        <v>1247</v>
      </c>
      <c r="I364" s="794"/>
      <c r="J364" s="783"/>
      <c r="K364" s="783"/>
      <c r="L364" s="797">
        <f t="shared" si="149"/>
        <v>0</v>
      </c>
      <c r="M364" s="798">
        <f t="shared" si="150"/>
        <v>1247</v>
      </c>
      <c r="N364" s="787"/>
      <c r="O364" s="798">
        <f t="shared" si="151"/>
        <v>1247</v>
      </c>
    </row>
    <row r="365" spans="1:15" s="788" customFormat="1" x14ac:dyDescent="0.25">
      <c r="A365" s="779"/>
      <c r="B365" s="780" t="s">
        <v>132</v>
      </c>
      <c r="C365" s="810"/>
      <c r="D365" s="811"/>
      <c r="E365" s="811"/>
      <c r="F365" s="814"/>
      <c r="G365" s="782"/>
      <c r="H365" s="797"/>
      <c r="I365" s="794"/>
      <c r="J365" s="783"/>
      <c r="K365" s="783"/>
      <c r="L365" s="797"/>
      <c r="M365" s="798"/>
      <c r="N365" s="787"/>
      <c r="O365" s="798"/>
    </row>
    <row r="366" spans="1:15" s="788" customFormat="1" x14ac:dyDescent="0.25">
      <c r="A366" s="779"/>
      <c r="B366" s="724" t="s">
        <v>1330</v>
      </c>
      <c r="C366" s="810">
        <v>707</v>
      </c>
      <c r="D366" s="811">
        <v>106</v>
      </c>
      <c r="E366" s="811"/>
      <c r="F366" s="814"/>
      <c r="G366" s="782"/>
      <c r="H366" s="797">
        <f>SUM(C366:G366)</f>
        <v>813</v>
      </c>
      <c r="I366" s="794"/>
      <c r="J366" s="783"/>
      <c r="K366" s="783"/>
      <c r="L366" s="797">
        <f>SUM(I366:K366)</f>
        <v>0</v>
      </c>
      <c r="M366" s="798">
        <f>SUM(H366+L366)</f>
        <v>813</v>
      </c>
      <c r="N366" s="787"/>
      <c r="O366" s="798">
        <f>SUM(M366+N366)</f>
        <v>813</v>
      </c>
    </row>
    <row r="367" spans="1:15" s="788" customFormat="1" ht="94.5" x14ac:dyDescent="0.25">
      <c r="A367" s="779"/>
      <c r="B367" s="724" t="s">
        <v>1358</v>
      </c>
      <c r="C367" s="810"/>
      <c r="D367" s="811"/>
      <c r="E367" s="811">
        <v>50</v>
      </c>
      <c r="F367" s="814"/>
      <c r="G367" s="782"/>
      <c r="H367" s="797">
        <f t="shared" ref="H367:H370" si="152">SUM(C367:G367)</f>
        <v>50</v>
      </c>
      <c r="I367" s="794"/>
      <c r="J367" s="783"/>
      <c r="K367" s="783"/>
      <c r="L367" s="797">
        <f t="shared" ref="L367:L370" si="153">SUM(I367:K367)</f>
        <v>0</v>
      </c>
      <c r="M367" s="798">
        <f t="shared" ref="M367:M370" si="154">SUM(H367+L367)</f>
        <v>50</v>
      </c>
      <c r="N367" s="787"/>
      <c r="O367" s="798">
        <f t="shared" ref="O367:O370" si="155">SUM(M367+N367)</f>
        <v>50</v>
      </c>
    </row>
    <row r="368" spans="1:15" s="788" customFormat="1" ht="63" x14ac:dyDescent="0.25">
      <c r="A368" s="779"/>
      <c r="B368" s="724" t="s">
        <v>1351</v>
      </c>
      <c r="C368" s="810"/>
      <c r="D368" s="811"/>
      <c r="E368" s="811">
        <v>15</v>
      </c>
      <c r="F368" s="814"/>
      <c r="G368" s="782"/>
      <c r="H368" s="797">
        <f t="shared" si="152"/>
        <v>15</v>
      </c>
      <c r="I368" s="794"/>
      <c r="J368" s="783"/>
      <c r="K368" s="783"/>
      <c r="L368" s="797">
        <f t="shared" si="153"/>
        <v>0</v>
      </c>
      <c r="M368" s="798">
        <f t="shared" si="154"/>
        <v>15</v>
      </c>
      <c r="N368" s="787"/>
      <c r="O368" s="798">
        <f t="shared" si="155"/>
        <v>15</v>
      </c>
    </row>
    <row r="369" spans="1:16" s="788" customFormat="1" ht="94.5" x14ac:dyDescent="0.25">
      <c r="A369" s="779"/>
      <c r="B369" s="724" t="s">
        <v>1358</v>
      </c>
      <c r="C369" s="810"/>
      <c r="D369" s="811"/>
      <c r="E369" s="811">
        <v>15</v>
      </c>
      <c r="F369" s="814"/>
      <c r="G369" s="782"/>
      <c r="H369" s="797">
        <f t="shared" si="152"/>
        <v>15</v>
      </c>
      <c r="I369" s="794"/>
      <c r="J369" s="783"/>
      <c r="K369" s="783"/>
      <c r="L369" s="797">
        <f t="shared" si="153"/>
        <v>0</v>
      </c>
      <c r="M369" s="798">
        <f t="shared" si="154"/>
        <v>15</v>
      </c>
      <c r="N369" s="787"/>
      <c r="O369" s="798">
        <f t="shared" si="155"/>
        <v>15</v>
      </c>
    </row>
    <row r="370" spans="1:16" s="788" customFormat="1" ht="95.25" thickBot="1" x14ac:dyDescent="0.3">
      <c r="A370" s="779"/>
      <c r="B370" s="724" t="s">
        <v>1336</v>
      </c>
      <c r="C370" s="810">
        <v>1193</v>
      </c>
      <c r="D370" s="811">
        <v>179</v>
      </c>
      <c r="E370" s="811"/>
      <c r="F370" s="814"/>
      <c r="G370" s="782"/>
      <c r="H370" s="797">
        <f t="shared" si="152"/>
        <v>1372</v>
      </c>
      <c r="I370" s="794"/>
      <c r="J370" s="783"/>
      <c r="K370" s="783"/>
      <c r="L370" s="797">
        <f t="shared" si="153"/>
        <v>0</v>
      </c>
      <c r="M370" s="798">
        <f t="shared" si="154"/>
        <v>1372</v>
      </c>
      <c r="N370" s="787"/>
      <c r="O370" s="798">
        <f t="shared" si="155"/>
        <v>1372</v>
      </c>
    </row>
    <row r="371" spans="1:16" ht="17.25" thickTop="1" thickBot="1" x14ac:dyDescent="0.3">
      <c r="A371" s="791"/>
      <c r="B371" s="792" t="s">
        <v>379</v>
      </c>
      <c r="C371" s="793">
        <f>+C354+C358+C359+C366+C360+C361+C362+C363+C364+C367+C368+C369+C370</f>
        <v>140672</v>
      </c>
      <c r="D371" s="793">
        <f t="shared" ref="D371:O371" si="156">+D354+D358+D359+D366+D360+D361+D362+D363+D364+D367+D368+D369+D370</f>
        <v>25471</v>
      </c>
      <c r="E371" s="793">
        <f t="shared" si="156"/>
        <v>53999</v>
      </c>
      <c r="F371" s="793">
        <f t="shared" si="156"/>
        <v>0</v>
      </c>
      <c r="G371" s="793">
        <f t="shared" si="156"/>
        <v>0</v>
      </c>
      <c r="H371" s="793">
        <f t="shared" si="156"/>
        <v>220142</v>
      </c>
      <c r="I371" s="793">
        <f t="shared" si="156"/>
        <v>0</v>
      </c>
      <c r="J371" s="793">
        <f t="shared" si="156"/>
        <v>0</v>
      </c>
      <c r="K371" s="793">
        <f t="shared" si="156"/>
        <v>0</v>
      </c>
      <c r="L371" s="793">
        <f t="shared" si="156"/>
        <v>0</v>
      </c>
      <c r="M371" s="793">
        <f t="shared" si="156"/>
        <v>220142</v>
      </c>
      <c r="N371" s="793">
        <f t="shared" si="156"/>
        <v>0</v>
      </c>
      <c r="O371" s="793">
        <f t="shared" si="156"/>
        <v>220142</v>
      </c>
      <c r="P371" s="698">
        <f>O372+O373</f>
        <v>220142</v>
      </c>
    </row>
    <row r="372" spans="1:16" ht="17.25" thickTop="1" thickBot="1" x14ac:dyDescent="0.3">
      <c r="A372" s="791"/>
      <c r="B372" s="792" t="s">
        <v>378</v>
      </c>
      <c r="C372" s="793">
        <f t="shared" ref="C372:O372" si="157">+C355+C358+C359+C360+C361+C362+C363+C364</f>
        <v>137374</v>
      </c>
      <c r="D372" s="793">
        <f t="shared" si="157"/>
        <v>24732</v>
      </c>
      <c r="E372" s="793">
        <f t="shared" si="157"/>
        <v>53919</v>
      </c>
      <c r="F372" s="793">
        <f t="shared" si="157"/>
        <v>0</v>
      </c>
      <c r="G372" s="793">
        <f t="shared" si="157"/>
        <v>0</v>
      </c>
      <c r="H372" s="793">
        <f t="shared" si="157"/>
        <v>216025</v>
      </c>
      <c r="I372" s="793">
        <f t="shared" si="157"/>
        <v>0</v>
      </c>
      <c r="J372" s="793">
        <f t="shared" si="157"/>
        <v>0</v>
      </c>
      <c r="K372" s="793">
        <f t="shared" si="157"/>
        <v>0</v>
      </c>
      <c r="L372" s="793">
        <f t="shared" si="157"/>
        <v>0</v>
      </c>
      <c r="M372" s="793">
        <f t="shared" si="157"/>
        <v>216025</v>
      </c>
      <c r="N372" s="793">
        <f t="shared" si="157"/>
        <v>0</v>
      </c>
      <c r="O372" s="793">
        <f t="shared" si="157"/>
        <v>216025</v>
      </c>
    </row>
    <row r="373" spans="1:16" ht="17.25" thickTop="1" thickBot="1" x14ac:dyDescent="0.3">
      <c r="A373" s="791"/>
      <c r="B373" s="792" t="s">
        <v>377</v>
      </c>
      <c r="C373" s="793">
        <f>+C356+C366+C367+C368+C369+C370</f>
        <v>3298</v>
      </c>
      <c r="D373" s="793">
        <f t="shared" ref="D373:O373" si="158">+D356+D366+D367+D368+D369+D370</f>
        <v>739</v>
      </c>
      <c r="E373" s="793">
        <f t="shared" si="158"/>
        <v>80</v>
      </c>
      <c r="F373" s="793">
        <f t="shared" si="158"/>
        <v>0</v>
      </c>
      <c r="G373" s="793">
        <f t="shared" si="158"/>
        <v>0</v>
      </c>
      <c r="H373" s="793">
        <f t="shared" si="158"/>
        <v>4117</v>
      </c>
      <c r="I373" s="793">
        <f t="shared" si="158"/>
        <v>0</v>
      </c>
      <c r="J373" s="793">
        <f t="shared" si="158"/>
        <v>0</v>
      </c>
      <c r="K373" s="793">
        <f t="shared" si="158"/>
        <v>0</v>
      </c>
      <c r="L373" s="793">
        <f t="shared" si="158"/>
        <v>0</v>
      </c>
      <c r="M373" s="793">
        <f t="shared" si="158"/>
        <v>4117</v>
      </c>
      <c r="N373" s="793">
        <f t="shared" si="158"/>
        <v>0</v>
      </c>
      <c r="O373" s="793">
        <f t="shared" si="158"/>
        <v>4117</v>
      </c>
    </row>
    <row r="374" spans="1:16" ht="16.5" thickTop="1" x14ac:dyDescent="0.25">
      <c r="A374" s="817" t="s">
        <v>10</v>
      </c>
      <c r="B374" s="818" t="s">
        <v>396</v>
      </c>
      <c r="C374" s="819"/>
      <c r="D374" s="820"/>
      <c r="E374" s="820"/>
      <c r="F374" s="821"/>
      <c r="G374" s="820"/>
      <c r="H374" s="822"/>
      <c r="I374" s="823"/>
      <c r="J374" s="821"/>
      <c r="K374" s="821"/>
      <c r="L374" s="822"/>
      <c r="M374" s="822"/>
      <c r="N374" s="822"/>
      <c r="O374" s="822"/>
    </row>
    <row r="375" spans="1:16" x14ac:dyDescent="0.25">
      <c r="A375" s="795"/>
      <c r="B375" s="772" t="s">
        <v>347</v>
      </c>
      <c r="C375" s="773">
        <f>SUM(C376:C377)</f>
        <v>167549</v>
      </c>
      <c r="D375" s="773">
        <f>SUM(D376:D377)</f>
        <v>30737</v>
      </c>
      <c r="E375" s="773">
        <f>SUM(E376:E377)</f>
        <v>59568</v>
      </c>
      <c r="F375" s="775"/>
      <c r="G375" s="774"/>
      <c r="H375" s="776">
        <f>SUM(C375:G375)</f>
        <v>257854</v>
      </c>
      <c r="I375" s="777"/>
      <c r="J375" s="775"/>
      <c r="K375" s="775"/>
      <c r="L375" s="776">
        <f>SUM(I375:K375)</f>
        <v>0</v>
      </c>
      <c r="M375" s="778">
        <f>SUM(H375+L375)</f>
        <v>257854</v>
      </c>
      <c r="N375" s="778"/>
      <c r="O375" s="778">
        <f>SUM(M375+N375)</f>
        <v>257854</v>
      </c>
    </row>
    <row r="376" spans="1:16" s="788" customFormat="1" x14ac:dyDescent="0.25">
      <c r="A376" s="816"/>
      <c r="B376" s="796" t="s">
        <v>381</v>
      </c>
      <c r="C376" s="781">
        <v>166069</v>
      </c>
      <c r="D376" s="782">
        <v>30256</v>
      </c>
      <c r="E376" s="782">
        <v>59568</v>
      </c>
      <c r="F376" s="783"/>
      <c r="G376" s="782"/>
      <c r="H376" s="784">
        <f>SUM(C376:G376)</f>
        <v>255893</v>
      </c>
      <c r="I376" s="794"/>
      <c r="J376" s="783"/>
      <c r="K376" s="783"/>
      <c r="L376" s="784">
        <f>SUM(I376:K376)</f>
        <v>0</v>
      </c>
      <c r="M376" s="784">
        <f>SUM(H376+L376)</f>
        <v>255893</v>
      </c>
      <c r="N376" s="784"/>
      <c r="O376" s="784">
        <f>SUM(M376+N376)</f>
        <v>255893</v>
      </c>
    </row>
    <row r="377" spans="1:16" s="788" customFormat="1" x14ac:dyDescent="0.25">
      <c r="A377" s="816"/>
      <c r="B377" s="796" t="s">
        <v>380</v>
      </c>
      <c r="C377" s="781">
        <v>1480</v>
      </c>
      <c r="D377" s="782">
        <v>481</v>
      </c>
      <c r="E377" s="782"/>
      <c r="F377" s="783"/>
      <c r="G377" s="782"/>
      <c r="H377" s="784">
        <f>SUM(C377:G377)</f>
        <v>1961</v>
      </c>
      <c r="I377" s="794"/>
      <c r="J377" s="783"/>
      <c r="K377" s="783"/>
      <c r="L377" s="784">
        <f>SUM(I377:K377)</f>
        <v>0</v>
      </c>
      <c r="M377" s="784">
        <f>SUM(H377+L377)</f>
        <v>1961</v>
      </c>
      <c r="N377" s="784"/>
      <c r="O377" s="784">
        <f>SUM(M377+N377)</f>
        <v>1961</v>
      </c>
    </row>
    <row r="378" spans="1:16" s="788" customFormat="1" x14ac:dyDescent="0.25">
      <c r="A378" s="779"/>
      <c r="B378" s="780" t="s">
        <v>131</v>
      </c>
      <c r="C378" s="781"/>
      <c r="D378" s="782"/>
      <c r="E378" s="782"/>
      <c r="F378" s="783"/>
      <c r="G378" s="782"/>
      <c r="H378" s="784"/>
      <c r="I378" s="794"/>
      <c r="J378" s="783"/>
      <c r="K378" s="783"/>
      <c r="L378" s="784"/>
      <c r="M378" s="787"/>
      <c r="N378" s="787"/>
      <c r="O378" s="787"/>
    </row>
    <row r="379" spans="1:16" s="788" customFormat="1" ht="31.5" x14ac:dyDescent="0.25">
      <c r="A379" s="779"/>
      <c r="B379" s="724" t="s">
        <v>1325</v>
      </c>
      <c r="C379" s="810">
        <v>77</v>
      </c>
      <c r="D379" s="811">
        <v>12</v>
      </c>
      <c r="E379" s="811"/>
      <c r="F379" s="812"/>
      <c r="G379" s="782"/>
      <c r="H379" s="797">
        <f t="shared" ref="H379:H385" si="159">SUM(C379:G379)</f>
        <v>89</v>
      </c>
      <c r="I379" s="794"/>
      <c r="J379" s="783"/>
      <c r="K379" s="783"/>
      <c r="L379" s="797">
        <f t="shared" ref="L379:L385" si="160">SUM(I379:K379)</f>
        <v>0</v>
      </c>
      <c r="M379" s="798">
        <f t="shared" ref="M379:M385" si="161">SUM(H379+L379)</f>
        <v>89</v>
      </c>
      <c r="N379" s="787"/>
      <c r="O379" s="798">
        <f t="shared" ref="O379:O385" si="162">SUM(M379+N379)</f>
        <v>89</v>
      </c>
    </row>
    <row r="380" spans="1:16" s="788" customFormat="1" ht="63" x14ac:dyDescent="0.25">
      <c r="A380" s="779"/>
      <c r="B380" s="724" t="s">
        <v>1326</v>
      </c>
      <c r="C380" s="810">
        <v>585</v>
      </c>
      <c r="D380" s="811">
        <v>90</v>
      </c>
      <c r="E380" s="811"/>
      <c r="F380" s="812"/>
      <c r="G380" s="782"/>
      <c r="H380" s="797">
        <f t="shared" si="159"/>
        <v>675</v>
      </c>
      <c r="I380" s="794"/>
      <c r="J380" s="783"/>
      <c r="K380" s="783"/>
      <c r="L380" s="797">
        <f t="shared" si="160"/>
        <v>0</v>
      </c>
      <c r="M380" s="798">
        <f t="shared" si="161"/>
        <v>675</v>
      </c>
      <c r="N380" s="787"/>
      <c r="O380" s="798">
        <f t="shared" si="162"/>
        <v>675</v>
      </c>
    </row>
    <row r="381" spans="1:16" s="788" customFormat="1" ht="63" x14ac:dyDescent="0.25">
      <c r="A381" s="779"/>
      <c r="B381" s="724" t="s">
        <v>1337</v>
      </c>
      <c r="C381" s="810">
        <v>4604</v>
      </c>
      <c r="D381" s="811">
        <v>713</v>
      </c>
      <c r="E381" s="811"/>
      <c r="F381" s="812"/>
      <c r="G381" s="782"/>
      <c r="H381" s="797">
        <f t="shared" si="159"/>
        <v>5317</v>
      </c>
      <c r="I381" s="794"/>
      <c r="J381" s="783"/>
      <c r="K381" s="783"/>
      <c r="L381" s="797">
        <f t="shared" si="160"/>
        <v>0</v>
      </c>
      <c r="M381" s="798">
        <f t="shared" si="161"/>
        <v>5317</v>
      </c>
      <c r="N381" s="787"/>
      <c r="O381" s="798">
        <f t="shared" si="162"/>
        <v>5317</v>
      </c>
    </row>
    <row r="382" spans="1:16" s="788" customFormat="1" ht="31.5" x14ac:dyDescent="0.25">
      <c r="A382" s="779"/>
      <c r="B382" s="724" t="s">
        <v>1338</v>
      </c>
      <c r="C382" s="810">
        <v>1644</v>
      </c>
      <c r="D382" s="811">
        <v>255</v>
      </c>
      <c r="E382" s="811"/>
      <c r="F382" s="812"/>
      <c r="G382" s="782"/>
      <c r="H382" s="797">
        <f t="shared" si="159"/>
        <v>1899</v>
      </c>
      <c r="I382" s="794"/>
      <c r="J382" s="783"/>
      <c r="K382" s="783"/>
      <c r="L382" s="797">
        <f t="shared" si="160"/>
        <v>0</v>
      </c>
      <c r="M382" s="798">
        <f t="shared" si="161"/>
        <v>1899</v>
      </c>
      <c r="N382" s="787"/>
      <c r="O382" s="798">
        <f t="shared" si="162"/>
        <v>1899</v>
      </c>
    </row>
    <row r="383" spans="1:16" s="788" customFormat="1" ht="31.5" x14ac:dyDescent="0.25">
      <c r="A383" s="779"/>
      <c r="B383" s="724" t="s">
        <v>1327</v>
      </c>
      <c r="C383" s="810">
        <v>-16312</v>
      </c>
      <c r="D383" s="811">
        <v>-2844</v>
      </c>
      <c r="E383" s="811"/>
      <c r="F383" s="812"/>
      <c r="G383" s="782"/>
      <c r="H383" s="797">
        <f t="shared" si="159"/>
        <v>-19156</v>
      </c>
      <c r="I383" s="794"/>
      <c r="J383" s="783"/>
      <c r="K383" s="783"/>
      <c r="L383" s="797">
        <f t="shared" si="160"/>
        <v>0</v>
      </c>
      <c r="M383" s="798">
        <f t="shared" si="161"/>
        <v>-19156</v>
      </c>
      <c r="N383" s="787"/>
      <c r="O383" s="798">
        <f t="shared" si="162"/>
        <v>-19156</v>
      </c>
    </row>
    <row r="384" spans="1:16" s="788" customFormat="1" ht="31.5" customHeight="1" x14ac:dyDescent="0.25">
      <c r="A384" s="816"/>
      <c r="B384" s="724" t="s">
        <v>1339</v>
      </c>
      <c r="C384" s="810"/>
      <c r="D384" s="811"/>
      <c r="E384" s="811">
        <v>-8645</v>
      </c>
      <c r="F384" s="812"/>
      <c r="G384" s="782"/>
      <c r="H384" s="797">
        <f t="shared" si="159"/>
        <v>-8645</v>
      </c>
      <c r="I384" s="794"/>
      <c r="J384" s="783"/>
      <c r="K384" s="783"/>
      <c r="L384" s="797">
        <f t="shared" si="160"/>
        <v>0</v>
      </c>
      <c r="M384" s="797">
        <f t="shared" si="161"/>
        <v>-8645</v>
      </c>
      <c r="N384" s="784"/>
      <c r="O384" s="797">
        <f t="shared" si="162"/>
        <v>-8645</v>
      </c>
    </row>
    <row r="385" spans="1:16" s="788" customFormat="1" ht="31.5" x14ac:dyDescent="0.25">
      <c r="A385" s="816"/>
      <c r="B385" s="772" t="s">
        <v>961</v>
      </c>
      <c r="C385" s="810"/>
      <c r="D385" s="811"/>
      <c r="E385" s="811">
        <v>197</v>
      </c>
      <c r="F385" s="812"/>
      <c r="G385" s="782"/>
      <c r="H385" s="797">
        <f t="shared" si="159"/>
        <v>197</v>
      </c>
      <c r="I385" s="794"/>
      <c r="J385" s="783"/>
      <c r="K385" s="783"/>
      <c r="L385" s="797">
        <f t="shared" si="160"/>
        <v>0</v>
      </c>
      <c r="M385" s="797">
        <f t="shared" si="161"/>
        <v>197</v>
      </c>
      <c r="N385" s="784"/>
      <c r="O385" s="797">
        <f t="shared" si="162"/>
        <v>197</v>
      </c>
    </row>
    <row r="386" spans="1:16" s="788" customFormat="1" x14ac:dyDescent="0.25">
      <c r="A386" s="779"/>
      <c r="B386" s="780" t="s">
        <v>132</v>
      </c>
      <c r="C386" s="810"/>
      <c r="D386" s="811"/>
      <c r="E386" s="811"/>
      <c r="F386" s="812"/>
      <c r="G386" s="782"/>
      <c r="H386" s="797"/>
      <c r="I386" s="794"/>
      <c r="J386" s="783"/>
      <c r="K386" s="783"/>
      <c r="L386" s="797"/>
      <c r="M386" s="798"/>
      <c r="N386" s="787"/>
      <c r="O386" s="798"/>
    </row>
    <row r="387" spans="1:16" s="788" customFormat="1" x14ac:dyDescent="0.25">
      <c r="A387" s="779"/>
      <c r="B387" s="724" t="s">
        <v>1330</v>
      </c>
      <c r="C387" s="810">
        <v>818</v>
      </c>
      <c r="D387" s="811">
        <v>123</v>
      </c>
      <c r="E387" s="811"/>
      <c r="F387" s="812"/>
      <c r="G387" s="782"/>
      <c r="H387" s="797">
        <f>SUM(C387:G387)</f>
        <v>941</v>
      </c>
      <c r="I387" s="794"/>
      <c r="J387" s="783"/>
      <c r="K387" s="783"/>
      <c r="L387" s="797">
        <f>SUM(I387:K387)</f>
        <v>0</v>
      </c>
      <c r="M387" s="798">
        <f>SUM(H387+L387)</f>
        <v>941</v>
      </c>
      <c r="N387" s="787"/>
      <c r="O387" s="798">
        <f>SUM(M387+N387)</f>
        <v>941</v>
      </c>
    </row>
    <row r="388" spans="1:16" s="788" customFormat="1" ht="94.5" x14ac:dyDescent="0.25">
      <c r="A388" s="779"/>
      <c r="B388" s="724" t="s">
        <v>1359</v>
      </c>
      <c r="C388" s="810"/>
      <c r="D388" s="811"/>
      <c r="E388" s="811">
        <v>40</v>
      </c>
      <c r="F388" s="812"/>
      <c r="G388" s="782"/>
      <c r="H388" s="797">
        <f>SUM(C388:G388)</f>
        <v>40</v>
      </c>
      <c r="I388" s="794"/>
      <c r="J388" s="783"/>
      <c r="K388" s="783"/>
      <c r="L388" s="797">
        <f>SUM(I388:K388)</f>
        <v>0</v>
      </c>
      <c r="M388" s="798">
        <f>SUM(H388+L388)</f>
        <v>40</v>
      </c>
      <c r="N388" s="787"/>
      <c r="O388" s="798">
        <f>SUM(M388+N388)</f>
        <v>40</v>
      </c>
    </row>
    <row r="389" spans="1:16" s="788" customFormat="1" ht="110.25" x14ac:dyDescent="0.25">
      <c r="A389" s="779"/>
      <c r="B389" s="724" t="s">
        <v>1360</v>
      </c>
      <c r="C389" s="810"/>
      <c r="D389" s="811"/>
      <c r="E389" s="811">
        <v>30</v>
      </c>
      <c r="F389" s="812"/>
      <c r="G389" s="782"/>
      <c r="H389" s="797">
        <f>SUM(C389:G389)</f>
        <v>30</v>
      </c>
      <c r="I389" s="794"/>
      <c r="J389" s="783"/>
      <c r="K389" s="783"/>
      <c r="L389" s="797">
        <f>SUM(I389:K389)</f>
        <v>0</v>
      </c>
      <c r="M389" s="798">
        <f>SUM(H389+L389)</f>
        <v>30</v>
      </c>
      <c r="N389" s="787"/>
      <c r="O389" s="798">
        <f>SUM(M389+N389)</f>
        <v>30</v>
      </c>
    </row>
    <row r="390" spans="1:16" s="788" customFormat="1" ht="95.25" thickBot="1" x14ac:dyDescent="0.3">
      <c r="A390" s="779"/>
      <c r="B390" s="724" t="s">
        <v>1336</v>
      </c>
      <c r="C390" s="810">
        <v>1454</v>
      </c>
      <c r="D390" s="811">
        <v>218</v>
      </c>
      <c r="E390" s="811"/>
      <c r="F390" s="812"/>
      <c r="G390" s="782"/>
      <c r="H390" s="797">
        <f>SUM(C390:G390)</f>
        <v>1672</v>
      </c>
      <c r="I390" s="794"/>
      <c r="J390" s="783"/>
      <c r="K390" s="783"/>
      <c r="L390" s="797">
        <f>SUM(I390:K390)</f>
        <v>0</v>
      </c>
      <c r="M390" s="798">
        <f>SUM(H390+L390)</f>
        <v>1672</v>
      </c>
      <c r="N390" s="787"/>
      <c r="O390" s="798">
        <f>SUM(M390+N390)</f>
        <v>1672</v>
      </c>
    </row>
    <row r="391" spans="1:16" ht="17.25" thickTop="1" thickBot="1" x14ac:dyDescent="0.3">
      <c r="A391" s="791"/>
      <c r="B391" s="792" t="s">
        <v>379</v>
      </c>
      <c r="C391" s="793">
        <f>+C375+C379+C380+C387+C381+C382+C383+C384+C385+C388+C389+C390</f>
        <v>160419</v>
      </c>
      <c r="D391" s="793">
        <f t="shared" ref="D391:O391" si="163">+D375+D379+D380+D387+D381+D382+D383+D384+D385+D388+D389+D390</f>
        <v>29304</v>
      </c>
      <c r="E391" s="793">
        <f t="shared" si="163"/>
        <v>51190</v>
      </c>
      <c r="F391" s="793">
        <f t="shared" si="163"/>
        <v>0</v>
      </c>
      <c r="G391" s="793">
        <f t="shared" si="163"/>
        <v>0</v>
      </c>
      <c r="H391" s="793">
        <f t="shared" si="163"/>
        <v>240913</v>
      </c>
      <c r="I391" s="793">
        <f t="shared" si="163"/>
        <v>0</v>
      </c>
      <c r="J391" s="793">
        <f t="shared" si="163"/>
        <v>0</v>
      </c>
      <c r="K391" s="793">
        <f t="shared" si="163"/>
        <v>0</v>
      </c>
      <c r="L391" s="793">
        <f t="shared" si="163"/>
        <v>0</v>
      </c>
      <c r="M391" s="793">
        <f t="shared" si="163"/>
        <v>240913</v>
      </c>
      <c r="N391" s="793">
        <f t="shared" si="163"/>
        <v>0</v>
      </c>
      <c r="O391" s="793">
        <f t="shared" si="163"/>
        <v>240913</v>
      </c>
      <c r="P391" s="698">
        <f>O392+O393</f>
        <v>240913</v>
      </c>
    </row>
    <row r="392" spans="1:16" ht="17.25" thickTop="1" thickBot="1" x14ac:dyDescent="0.3">
      <c r="A392" s="791"/>
      <c r="B392" s="792" t="s">
        <v>378</v>
      </c>
      <c r="C392" s="793">
        <f t="shared" ref="C392:O392" si="164">+C376+C379+C380+C381+C382+C383+C384+C385</f>
        <v>156667</v>
      </c>
      <c r="D392" s="793">
        <f t="shared" si="164"/>
        <v>28482</v>
      </c>
      <c r="E392" s="793">
        <f t="shared" si="164"/>
        <v>51120</v>
      </c>
      <c r="F392" s="793">
        <f t="shared" si="164"/>
        <v>0</v>
      </c>
      <c r="G392" s="793">
        <f t="shared" si="164"/>
        <v>0</v>
      </c>
      <c r="H392" s="793">
        <f t="shared" si="164"/>
        <v>236269</v>
      </c>
      <c r="I392" s="793">
        <f t="shared" si="164"/>
        <v>0</v>
      </c>
      <c r="J392" s="793">
        <f t="shared" si="164"/>
        <v>0</v>
      </c>
      <c r="K392" s="793">
        <f t="shared" si="164"/>
        <v>0</v>
      </c>
      <c r="L392" s="793">
        <f t="shared" si="164"/>
        <v>0</v>
      </c>
      <c r="M392" s="793">
        <f t="shared" si="164"/>
        <v>236269</v>
      </c>
      <c r="N392" s="793">
        <f t="shared" si="164"/>
        <v>0</v>
      </c>
      <c r="O392" s="793">
        <f t="shared" si="164"/>
        <v>236269</v>
      </c>
    </row>
    <row r="393" spans="1:16" ht="17.25" thickTop="1" thickBot="1" x14ac:dyDescent="0.3">
      <c r="A393" s="791"/>
      <c r="B393" s="792" t="s">
        <v>377</v>
      </c>
      <c r="C393" s="793">
        <f>+C377+C387+C388+C389+C390</f>
        <v>3752</v>
      </c>
      <c r="D393" s="793">
        <f t="shared" ref="D393:O393" si="165">+D377+D387+D388+D389+D390</f>
        <v>822</v>
      </c>
      <c r="E393" s="793">
        <f t="shared" si="165"/>
        <v>70</v>
      </c>
      <c r="F393" s="793">
        <f t="shared" si="165"/>
        <v>0</v>
      </c>
      <c r="G393" s="793">
        <f t="shared" si="165"/>
        <v>0</v>
      </c>
      <c r="H393" s="793">
        <f t="shared" si="165"/>
        <v>4644</v>
      </c>
      <c r="I393" s="793">
        <f t="shared" si="165"/>
        <v>0</v>
      </c>
      <c r="J393" s="793">
        <f t="shared" si="165"/>
        <v>0</v>
      </c>
      <c r="K393" s="793">
        <f t="shared" si="165"/>
        <v>0</v>
      </c>
      <c r="L393" s="793">
        <f t="shared" si="165"/>
        <v>0</v>
      </c>
      <c r="M393" s="793">
        <f t="shared" si="165"/>
        <v>4644</v>
      </c>
      <c r="N393" s="793">
        <f t="shared" si="165"/>
        <v>0</v>
      </c>
      <c r="O393" s="793">
        <f t="shared" si="165"/>
        <v>4644</v>
      </c>
    </row>
    <row r="394" spans="1:16" ht="17.25" thickTop="1" thickBot="1" x14ac:dyDescent="0.3">
      <c r="A394" s="791"/>
      <c r="B394" s="792" t="s">
        <v>395</v>
      </c>
      <c r="C394" s="793">
        <f t="shared" ref="C394:O394" si="166">SUM(C173+C192+C211+C237+C258+C277+C298+C321+C332+C350+C371+C391)</f>
        <v>1901286</v>
      </c>
      <c r="D394" s="793">
        <f t="shared" si="166"/>
        <v>346379</v>
      </c>
      <c r="E394" s="793">
        <f t="shared" si="166"/>
        <v>607172</v>
      </c>
      <c r="F394" s="793">
        <f t="shared" si="166"/>
        <v>0</v>
      </c>
      <c r="G394" s="793">
        <f t="shared" si="166"/>
        <v>285</v>
      </c>
      <c r="H394" s="793">
        <f t="shared" si="166"/>
        <v>2855122</v>
      </c>
      <c r="I394" s="793">
        <f t="shared" si="166"/>
        <v>1826</v>
      </c>
      <c r="J394" s="793">
        <f t="shared" si="166"/>
        <v>0</v>
      </c>
      <c r="K394" s="793">
        <f t="shared" si="166"/>
        <v>0</v>
      </c>
      <c r="L394" s="793">
        <f t="shared" si="166"/>
        <v>1826</v>
      </c>
      <c r="M394" s="793">
        <f t="shared" si="166"/>
        <v>2856948</v>
      </c>
      <c r="N394" s="793">
        <f t="shared" si="166"/>
        <v>0</v>
      </c>
      <c r="O394" s="793">
        <f t="shared" si="166"/>
        <v>2856948</v>
      </c>
    </row>
    <row r="395" spans="1:16" ht="17.25" thickTop="1" thickBot="1" x14ac:dyDescent="0.3">
      <c r="A395" s="791"/>
      <c r="B395" s="792" t="s">
        <v>394</v>
      </c>
      <c r="C395" s="793">
        <f t="shared" ref="C395:O395" si="167">SUM(C39+C156+C394)</f>
        <v>3234224</v>
      </c>
      <c r="D395" s="793">
        <f t="shared" si="167"/>
        <v>576610</v>
      </c>
      <c r="E395" s="793">
        <f t="shared" si="167"/>
        <v>1135494</v>
      </c>
      <c r="F395" s="793">
        <f t="shared" si="167"/>
        <v>0</v>
      </c>
      <c r="G395" s="793">
        <f t="shared" si="167"/>
        <v>285</v>
      </c>
      <c r="H395" s="793">
        <f t="shared" si="167"/>
        <v>4946613</v>
      </c>
      <c r="I395" s="793">
        <f t="shared" si="167"/>
        <v>13866</v>
      </c>
      <c r="J395" s="793">
        <f t="shared" si="167"/>
        <v>0</v>
      </c>
      <c r="K395" s="793">
        <f t="shared" si="167"/>
        <v>0</v>
      </c>
      <c r="L395" s="793">
        <f t="shared" si="167"/>
        <v>13866</v>
      </c>
      <c r="M395" s="793">
        <f t="shared" si="167"/>
        <v>4960479</v>
      </c>
      <c r="N395" s="793">
        <f t="shared" si="167"/>
        <v>0</v>
      </c>
      <c r="O395" s="793">
        <f t="shared" si="167"/>
        <v>4960479</v>
      </c>
    </row>
    <row r="396" spans="1:16" ht="16.5" thickTop="1" x14ac:dyDescent="0.25">
      <c r="A396" s="771" t="s">
        <v>11</v>
      </c>
      <c r="B396" s="772" t="s">
        <v>748</v>
      </c>
      <c r="C396" s="773"/>
      <c r="D396" s="774"/>
      <c r="E396" s="774"/>
      <c r="F396" s="790"/>
      <c r="G396" s="774"/>
      <c r="H396" s="776"/>
      <c r="I396" s="777"/>
      <c r="J396" s="775"/>
      <c r="K396" s="775"/>
      <c r="L396" s="776"/>
      <c r="M396" s="776"/>
      <c r="N396" s="776"/>
      <c r="O396" s="776"/>
    </row>
    <row r="397" spans="1:16" x14ac:dyDescent="0.25">
      <c r="A397" s="771"/>
      <c r="B397" s="724" t="s">
        <v>347</v>
      </c>
      <c r="C397" s="773">
        <f>SUM(C398:C399)</f>
        <v>763109</v>
      </c>
      <c r="D397" s="773">
        <f>SUM(D398:D399)</f>
        <v>141091</v>
      </c>
      <c r="E397" s="773">
        <f>SUM(E398:E399)</f>
        <v>477967</v>
      </c>
      <c r="F397" s="790"/>
      <c r="G397" s="774"/>
      <c r="H397" s="776">
        <f>SUM(C397:G397)</f>
        <v>1382167</v>
      </c>
      <c r="I397" s="777"/>
      <c r="J397" s="775"/>
      <c r="K397" s="775"/>
      <c r="L397" s="776">
        <f>SUM(I397:K397)</f>
        <v>0</v>
      </c>
      <c r="M397" s="778">
        <f>SUM(H397+L397)</f>
        <v>1382167</v>
      </c>
      <c r="N397" s="778"/>
      <c r="O397" s="778">
        <f>SUM(M397+N397)</f>
        <v>1382167</v>
      </c>
    </row>
    <row r="398" spans="1:16" s="788" customFormat="1" x14ac:dyDescent="0.25">
      <c r="A398" s="779"/>
      <c r="B398" s="780" t="s">
        <v>381</v>
      </c>
      <c r="C398" s="781">
        <v>755536</v>
      </c>
      <c r="D398" s="782">
        <v>138630</v>
      </c>
      <c r="E398" s="782">
        <v>477967</v>
      </c>
      <c r="F398" s="786"/>
      <c r="G398" s="782"/>
      <c r="H398" s="784">
        <f>SUM(C398:G398)</f>
        <v>1372133</v>
      </c>
      <c r="I398" s="794"/>
      <c r="J398" s="783"/>
      <c r="K398" s="783"/>
      <c r="L398" s="784">
        <f>SUM(I398:K398)</f>
        <v>0</v>
      </c>
      <c r="M398" s="787">
        <f>SUM(H398+L398)</f>
        <v>1372133</v>
      </c>
      <c r="N398" s="787"/>
      <c r="O398" s="787">
        <f>SUM(M398+N398)</f>
        <v>1372133</v>
      </c>
    </row>
    <row r="399" spans="1:16" s="788" customFormat="1" x14ac:dyDescent="0.25">
      <c r="A399" s="779"/>
      <c r="B399" s="780" t="s">
        <v>380</v>
      </c>
      <c r="C399" s="781">
        <v>7573</v>
      </c>
      <c r="D399" s="782">
        <v>2461</v>
      </c>
      <c r="E399" s="782"/>
      <c r="F399" s="786"/>
      <c r="G399" s="782"/>
      <c r="H399" s="784">
        <f>SUM(C399:G399)</f>
        <v>10034</v>
      </c>
      <c r="I399" s="794"/>
      <c r="J399" s="783"/>
      <c r="K399" s="783"/>
      <c r="L399" s="784">
        <f>SUM(I399:K399)</f>
        <v>0</v>
      </c>
      <c r="M399" s="787">
        <f>SUM(H399+L399)</f>
        <v>10034</v>
      </c>
      <c r="N399" s="787"/>
      <c r="O399" s="787">
        <f>SUM(M399+N399)</f>
        <v>10034</v>
      </c>
    </row>
    <row r="400" spans="1:16" s="788" customFormat="1" x14ac:dyDescent="0.25">
      <c r="A400" s="816"/>
      <c r="B400" s="796" t="s">
        <v>131</v>
      </c>
      <c r="C400" s="781"/>
      <c r="D400" s="782"/>
      <c r="E400" s="782"/>
      <c r="F400" s="783"/>
      <c r="G400" s="782"/>
      <c r="H400" s="784"/>
      <c r="I400" s="794"/>
      <c r="J400" s="783"/>
      <c r="K400" s="783"/>
      <c r="L400" s="784"/>
      <c r="M400" s="784"/>
      <c r="N400" s="784"/>
      <c r="O400" s="784"/>
    </row>
    <row r="401" spans="1:16" s="788" customFormat="1" ht="31.5" x14ac:dyDescent="0.25">
      <c r="A401" s="816"/>
      <c r="B401" s="772" t="s">
        <v>1325</v>
      </c>
      <c r="C401" s="810">
        <v>348</v>
      </c>
      <c r="D401" s="811">
        <v>57</v>
      </c>
      <c r="E401" s="811"/>
      <c r="F401" s="812"/>
      <c r="G401" s="782"/>
      <c r="H401" s="797">
        <f t="shared" ref="H401:H406" si="168">SUM(C401:G401)</f>
        <v>405</v>
      </c>
      <c r="I401" s="794"/>
      <c r="J401" s="783"/>
      <c r="K401" s="783"/>
      <c r="L401" s="797">
        <f t="shared" ref="L401:L406" si="169">SUM(I401:K401)</f>
        <v>0</v>
      </c>
      <c r="M401" s="797">
        <f t="shared" ref="M401:M406" si="170">SUM(H401+L401)</f>
        <v>405</v>
      </c>
      <c r="N401" s="784"/>
      <c r="O401" s="797">
        <f t="shared" ref="O401:O406" si="171">SUM(M401+N401)</f>
        <v>405</v>
      </c>
    </row>
    <row r="402" spans="1:16" s="788" customFormat="1" ht="31.5" x14ac:dyDescent="0.25">
      <c r="A402" s="779"/>
      <c r="B402" s="724" t="s">
        <v>1331</v>
      </c>
      <c r="C402" s="810">
        <v>61129</v>
      </c>
      <c r="D402" s="811">
        <v>9771</v>
      </c>
      <c r="E402" s="811"/>
      <c r="F402" s="814"/>
      <c r="G402" s="782"/>
      <c r="H402" s="797">
        <f t="shared" si="168"/>
        <v>70900</v>
      </c>
      <c r="I402" s="794"/>
      <c r="J402" s="783"/>
      <c r="K402" s="783"/>
      <c r="L402" s="797">
        <f t="shared" si="169"/>
        <v>0</v>
      </c>
      <c r="M402" s="798">
        <f t="shared" si="170"/>
        <v>70900</v>
      </c>
      <c r="N402" s="787"/>
      <c r="O402" s="798">
        <f t="shared" si="171"/>
        <v>70900</v>
      </c>
    </row>
    <row r="403" spans="1:16" s="788" customFormat="1" ht="47.25" x14ac:dyDescent="0.25">
      <c r="A403" s="779"/>
      <c r="B403" s="724" t="s">
        <v>1361</v>
      </c>
      <c r="C403" s="810">
        <v>4303</v>
      </c>
      <c r="D403" s="811">
        <v>681</v>
      </c>
      <c r="E403" s="811"/>
      <c r="F403" s="814"/>
      <c r="G403" s="782"/>
      <c r="H403" s="797">
        <f t="shared" si="168"/>
        <v>4984</v>
      </c>
      <c r="I403" s="794"/>
      <c r="J403" s="783"/>
      <c r="K403" s="783"/>
      <c r="L403" s="797">
        <f t="shared" si="169"/>
        <v>0</v>
      </c>
      <c r="M403" s="798">
        <f t="shared" si="170"/>
        <v>4984</v>
      </c>
      <c r="N403" s="787"/>
      <c r="O403" s="798">
        <f t="shared" si="171"/>
        <v>4984</v>
      </c>
    </row>
    <row r="404" spans="1:16" s="788" customFormat="1" ht="31.5" x14ac:dyDescent="0.25">
      <c r="A404" s="779"/>
      <c r="B404" s="724" t="s">
        <v>565</v>
      </c>
      <c r="C404" s="810"/>
      <c r="D404" s="811"/>
      <c r="E404" s="811">
        <v>-3888</v>
      </c>
      <c r="F404" s="814"/>
      <c r="G404" s="782"/>
      <c r="H404" s="797">
        <f t="shared" si="168"/>
        <v>-3888</v>
      </c>
      <c r="I404" s="815">
        <v>3888</v>
      </c>
      <c r="J404" s="783"/>
      <c r="K404" s="783"/>
      <c r="L404" s="797">
        <f t="shared" si="169"/>
        <v>3888</v>
      </c>
      <c r="M404" s="798">
        <f t="shared" si="170"/>
        <v>0</v>
      </c>
      <c r="N404" s="787"/>
      <c r="O404" s="798">
        <f t="shared" si="171"/>
        <v>0</v>
      </c>
    </row>
    <row r="405" spans="1:16" s="788" customFormat="1" ht="31.5" x14ac:dyDescent="0.25">
      <c r="A405" s="779"/>
      <c r="B405" s="724" t="s">
        <v>1327</v>
      </c>
      <c r="C405" s="810">
        <v>68</v>
      </c>
      <c r="D405" s="811">
        <v>-46</v>
      </c>
      <c r="E405" s="811"/>
      <c r="F405" s="814"/>
      <c r="G405" s="782"/>
      <c r="H405" s="797">
        <f t="shared" si="168"/>
        <v>22</v>
      </c>
      <c r="I405" s="815"/>
      <c r="J405" s="783"/>
      <c r="K405" s="783"/>
      <c r="L405" s="797">
        <f t="shared" si="169"/>
        <v>0</v>
      </c>
      <c r="M405" s="798">
        <f t="shared" si="170"/>
        <v>22</v>
      </c>
      <c r="N405" s="787"/>
      <c r="O405" s="798">
        <f t="shared" si="171"/>
        <v>22</v>
      </c>
    </row>
    <row r="406" spans="1:16" s="788" customFormat="1" x14ac:dyDescent="0.25">
      <c r="A406" s="779"/>
      <c r="B406" s="724" t="s">
        <v>1362</v>
      </c>
      <c r="C406" s="810"/>
      <c r="D406" s="811"/>
      <c r="E406" s="811">
        <v>10000</v>
      </c>
      <c r="F406" s="814"/>
      <c r="G406" s="782"/>
      <c r="H406" s="797">
        <f t="shared" si="168"/>
        <v>10000</v>
      </c>
      <c r="I406" s="815"/>
      <c r="J406" s="783"/>
      <c r="K406" s="783"/>
      <c r="L406" s="797">
        <f t="shared" si="169"/>
        <v>0</v>
      </c>
      <c r="M406" s="798">
        <f t="shared" si="170"/>
        <v>10000</v>
      </c>
      <c r="N406" s="787"/>
      <c r="O406" s="798">
        <f t="shared" si="171"/>
        <v>10000</v>
      </c>
    </row>
    <row r="407" spans="1:16" s="788" customFormat="1" x14ac:dyDescent="0.25">
      <c r="A407" s="779"/>
      <c r="B407" s="780" t="s">
        <v>132</v>
      </c>
      <c r="C407" s="810"/>
      <c r="D407" s="811"/>
      <c r="E407" s="811"/>
      <c r="F407" s="814"/>
      <c r="G407" s="782"/>
      <c r="H407" s="797"/>
      <c r="I407" s="794"/>
      <c r="J407" s="783"/>
      <c r="K407" s="783"/>
      <c r="L407" s="797"/>
      <c r="M407" s="798"/>
      <c r="N407" s="787"/>
      <c r="O407" s="798"/>
    </row>
    <row r="408" spans="1:16" s="788" customFormat="1" ht="63" x14ac:dyDescent="0.25">
      <c r="A408" s="779"/>
      <c r="B408" s="724" t="s">
        <v>1329</v>
      </c>
      <c r="C408" s="810">
        <v>13396</v>
      </c>
      <c r="D408" s="811">
        <v>2009</v>
      </c>
      <c r="E408" s="811"/>
      <c r="F408" s="814"/>
      <c r="G408" s="782"/>
      <c r="H408" s="797">
        <f>SUM(C408:G408)</f>
        <v>15405</v>
      </c>
      <c r="I408" s="815"/>
      <c r="J408" s="783"/>
      <c r="K408" s="783"/>
      <c r="L408" s="797">
        <f>SUM(I408:K408)</f>
        <v>0</v>
      </c>
      <c r="M408" s="798">
        <f>SUM(H408+L408)</f>
        <v>15405</v>
      </c>
      <c r="N408" s="787"/>
      <c r="O408" s="798">
        <f>SUM(M408+N408)</f>
        <v>15405</v>
      </c>
    </row>
    <row r="409" spans="1:16" s="788" customFormat="1" x14ac:dyDescent="0.25">
      <c r="A409" s="779"/>
      <c r="B409" s="724" t="s">
        <v>1330</v>
      </c>
      <c r="C409" s="810">
        <v>4403</v>
      </c>
      <c r="D409" s="811">
        <v>661</v>
      </c>
      <c r="E409" s="811"/>
      <c r="F409" s="814"/>
      <c r="G409" s="782"/>
      <c r="H409" s="797">
        <f>SUM(C409:G409)</f>
        <v>5064</v>
      </c>
      <c r="I409" s="815"/>
      <c r="J409" s="783"/>
      <c r="K409" s="783"/>
      <c r="L409" s="797">
        <f>SUM(I409:K409)</f>
        <v>0</v>
      </c>
      <c r="M409" s="798">
        <f>SUM(H409+L409)</f>
        <v>5064</v>
      </c>
      <c r="N409" s="787"/>
      <c r="O409" s="798">
        <f>SUM(M409+N409)</f>
        <v>5064</v>
      </c>
    </row>
    <row r="410" spans="1:16" s="788" customFormat="1" ht="78.75" x14ac:dyDescent="0.25">
      <c r="A410" s="779"/>
      <c r="B410" s="724" t="s">
        <v>1363</v>
      </c>
      <c r="C410" s="810"/>
      <c r="D410" s="811"/>
      <c r="E410" s="811">
        <v>400</v>
      </c>
      <c r="F410" s="814"/>
      <c r="G410" s="782"/>
      <c r="H410" s="797">
        <f>SUM(C410:G410)</f>
        <v>400</v>
      </c>
      <c r="I410" s="815"/>
      <c r="J410" s="783"/>
      <c r="K410" s="783"/>
      <c r="L410" s="797">
        <f>SUM(I410:K410)</f>
        <v>0</v>
      </c>
      <c r="M410" s="798">
        <f>SUM(H410+L410)</f>
        <v>400</v>
      </c>
      <c r="N410" s="787"/>
      <c r="O410" s="798">
        <f>SUM(M410+N410)</f>
        <v>400</v>
      </c>
    </row>
    <row r="411" spans="1:16" s="788" customFormat="1" ht="48" thickBot="1" x14ac:dyDescent="0.3">
      <c r="A411" s="779"/>
      <c r="B411" s="724" t="s">
        <v>1364</v>
      </c>
      <c r="C411" s="810">
        <v>7000</v>
      </c>
      <c r="D411" s="811">
        <v>1085</v>
      </c>
      <c r="E411" s="811"/>
      <c r="F411" s="814"/>
      <c r="G411" s="782"/>
      <c r="H411" s="797">
        <f>SUM(C411:G411)</f>
        <v>8085</v>
      </c>
      <c r="I411" s="815"/>
      <c r="J411" s="783"/>
      <c r="K411" s="783"/>
      <c r="L411" s="797">
        <f>SUM(I411:K411)</f>
        <v>0</v>
      </c>
      <c r="M411" s="798">
        <f>SUM(H411+L411)</f>
        <v>8085</v>
      </c>
      <c r="N411" s="787"/>
      <c r="O411" s="798">
        <f>SUM(M411+N411)</f>
        <v>8085</v>
      </c>
    </row>
    <row r="412" spans="1:16" ht="17.25" thickTop="1" thickBot="1" x14ac:dyDescent="0.3">
      <c r="A412" s="791"/>
      <c r="B412" s="792" t="s">
        <v>379</v>
      </c>
      <c r="C412" s="793">
        <f>+C397+C401+C402+C408+C403+C404+C405+C406+C410+C411+C409</f>
        <v>853756</v>
      </c>
      <c r="D412" s="793">
        <f t="shared" ref="D412:O412" si="172">+D397+D401+D402+D408+D403+D404+D405+D406+D410+D411+D409</f>
        <v>155309</v>
      </c>
      <c r="E412" s="793">
        <f t="shared" si="172"/>
        <v>484479</v>
      </c>
      <c r="F412" s="793">
        <f t="shared" si="172"/>
        <v>0</v>
      </c>
      <c r="G412" s="793">
        <f t="shared" si="172"/>
        <v>0</v>
      </c>
      <c r="H412" s="793">
        <f t="shared" si="172"/>
        <v>1493544</v>
      </c>
      <c r="I412" s="793">
        <f t="shared" si="172"/>
        <v>3888</v>
      </c>
      <c r="J412" s="793">
        <f t="shared" si="172"/>
        <v>0</v>
      </c>
      <c r="K412" s="793">
        <f t="shared" si="172"/>
        <v>0</v>
      </c>
      <c r="L412" s="793">
        <f t="shared" si="172"/>
        <v>3888</v>
      </c>
      <c r="M412" s="793">
        <f t="shared" si="172"/>
        <v>1497432</v>
      </c>
      <c r="N412" s="793">
        <f t="shared" si="172"/>
        <v>0</v>
      </c>
      <c r="O412" s="793">
        <f t="shared" si="172"/>
        <v>1497432</v>
      </c>
      <c r="P412" s="698">
        <f>O413+O414</f>
        <v>1497432</v>
      </c>
    </row>
    <row r="413" spans="1:16" ht="17.25" thickTop="1" thickBot="1" x14ac:dyDescent="0.3">
      <c r="A413" s="791"/>
      <c r="B413" s="792" t="s">
        <v>378</v>
      </c>
      <c r="C413" s="793">
        <f>+C398+C401+C402+C403+C404+C405+C406</f>
        <v>821384</v>
      </c>
      <c r="D413" s="793">
        <f t="shared" ref="D413:O413" si="173">+D398+D401+D402+D403+D404+D405+D406</f>
        <v>149093</v>
      </c>
      <c r="E413" s="793">
        <f t="shared" si="173"/>
        <v>484079</v>
      </c>
      <c r="F413" s="793">
        <f t="shared" si="173"/>
        <v>0</v>
      </c>
      <c r="G413" s="793">
        <f t="shared" si="173"/>
        <v>0</v>
      </c>
      <c r="H413" s="793">
        <f t="shared" si="173"/>
        <v>1454556</v>
      </c>
      <c r="I413" s="793">
        <f t="shared" si="173"/>
        <v>3888</v>
      </c>
      <c r="J413" s="793">
        <f t="shared" si="173"/>
        <v>0</v>
      </c>
      <c r="K413" s="793">
        <f t="shared" si="173"/>
        <v>0</v>
      </c>
      <c r="L413" s="793">
        <f t="shared" si="173"/>
        <v>3888</v>
      </c>
      <c r="M413" s="793">
        <f t="shared" si="173"/>
        <v>1458444</v>
      </c>
      <c r="N413" s="793">
        <f t="shared" si="173"/>
        <v>0</v>
      </c>
      <c r="O413" s="793">
        <f t="shared" si="173"/>
        <v>1458444</v>
      </c>
    </row>
    <row r="414" spans="1:16" ht="17.25" thickTop="1" thickBot="1" x14ac:dyDescent="0.3">
      <c r="A414" s="791"/>
      <c r="B414" s="792" t="s">
        <v>377</v>
      </c>
      <c r="C414" s="793">
        <f t="shared" ref="C414:O414" si="174">+C399+C408+C410+C411+C409</f>
        <v>32372</v>
      </c>
      <c r="D414" s="793">
        <f t="shared" si="174"/>
        <v>6216</v>
      </c>
      <c r="E414" s="793">
        <f t="shared" si="174"/>
        <v>400</v>
      </c>
      <c r="F414" s="793">
        <f t="shared" si="174"/>
        <v>0</v>
      </c>
      <c r="G414" s="793">
        <f t="shared" si="174"/>
        <v>0</v>
      </c>
      <c r="H414" s="793">
        <f t="shared" si="174"/>
        <v>38988</v>
      </c>
      <c r="I414" s="793">
        <f t="shared" si="174"/>
        <v>0</v>
      </c>
      <c r="J414" s="793">
        <f t="shared" si="174"/>
        <v>0</v>
      </c>
      <c r="K414" s="793">
        <f t="shared" si="174"/>
        <v>0</v>
      </c>
      <c r="L414" s="793">
        <f t="shared" si="174"/>
        <v>0</v>
      </c>
      <c r="M414" s="793">
        <f t="shared" si="174"/>
        <v>38988</v>
      </c>
      <c r="N414" s="793">
        <f t="shared" si="174"/>
        <v>0</v>
      </c>
      <c r="O414" s="793">
        <f t="shared" si="174"/>
        <v>38988</v>
      </c>
    </row>
    <row r="415" spans="1:16" ht="32.25" thickTop="1" x14ac:dyDescent="0.25">
      <c r="A415" s="771" t="s">
        <v>12</v>
      </c>
      <c r="B415" s="772" t="s">
        <v>796</v>
      </c>
      <c r="C415" s="773"/>
      <c r="D415" s="774"/>
      <c r="E415" s="774"/>
      <c r="F415" s="790"/>
      <c r="G415" s="774"/>
      <c r="H415" s="776"/>
      <c r="I415" s="777"/>
      <c r="J415" s="775"/>
      <c r="K415" s="775"/>
      <c r="L415" s="776"/>
      <c r="M415" s="776"/>
      <c r="N415" s="776"/>
      <c r="O415" s="776"/>
    </row>
    <row r="416" spans="1:16" x14ac:dyDescent="0.25">
      <c r="A416" s="771"/>
      <c r="B416" s="724" t="s">
        <v>347</v>
      </c>
      <c r="C416" s="773">
        <f>SUM(C417:C418)</f>
        <v>303725</v>
      </c>
      <c r="D416" s="773">
        <f>SUM(D417:D418)</f>
        <v>55143</v>
      </c>
      <c r="E416" s="773">
        <f>SUM(E417:E418)</f>
        <v>111974</v>
      </c>
      <c r="F416" s="773">
        <f t="shared" ref="F416:G416" si="175">SUM(F417:F418)</f>
        <v>0</v>
      </c>
      <c r="G416" s="773">
        <f t="shared" si="175"/>
        <v>0</v>
      </c>
      <c r="H416" s="776">
        <f>SUM(C416:G416)</f>
        <v>470842</v>
      </c>
      <c r="I416" s="777">
        <f>SUM(I417:I418)</f>
        <v>6400</v>
      </c>
      <c r="J416" s="775">
        <f t="shared" ref="J416:K416" si="176">SUM(J417:J418)</f>
        <v>0</v>
      </c>
      <c r="K416" s="775">
        <f t="shared" si="176"/>
        <v>0</v>
      </c>
      <c r="L416" s="776">
        <f>SUM(I416:K416)</f>
        <v>6400</v>
      </c>
      <c r="M416" s="778">
        <f>SUM(H416+L416)</f>
        <v>477242</v>
      </c>
      <c r="N416" s="778"/>
      <c r="O416" s="778">
        <f>SUM(M416+N416)</f>
        <v>477242</v>
      </c>
    </row>
    <row r="417" spans="1:16" s="788" customFormat="1" x14ac:dyDescent="0.25">
      <c r="A417" s="779"/>
      <c r="B417" s="780" t="s">
        <v>381</v>
      </c>
      <c r="C417" s="781">
        <v>301400</v>
      </c>
      <c r="D417" s="782">
        <v>54388</v>
      </c>
      <c r="E417" s="782">
        <v>111974</v>
      </c>
      <c r="F417" s="786"/>
      <c r="G417" s="782"/>
      <c r="H417" s="784">
        <f>SUM(C417:G417)</f>
        <v>467762</v>
      </c>
      <c r="I417" s="794">
        <v>6400</v>
      </c>
      <c r="J417" s="783"/>
      <c r="K417" s="783"/>
      <c r="L417" s="784">
        <f>SUM(I417:K417)</f>
        <v>6400</v>
      </c>
      <c r="M417" s="787">
        <f>SUM(H417+L417)</f>
        <v>474162</v>
      </c>
      <c r="N417" s="787"/>
      <c r="O417" s="787">
        <f>SUM(M417+N417)</f>
        <v>474162</v>
      </c>
    </row>
    <row r="418" spans="1:16" s="788" customFormat="1" x14ac:dyDescent="0.25">
      <c r="A418" s="779"/>
      <c r="B418" s="780" t="s">
        <v>380</v>
      </c>
      <c r="C418" s="781">
        <v>2325</v>
      </c>
      <c r="D418" s="782">
        <v>755</v>
      </c>
      <c r="E418" s="782"/>
      <c r="F418" s="786"/>
      <c r="G418" s="782"/>
      <c r="H418" s="784">
        <f>SUM(C418:G418)</f>
        <v>3080</v>
      </c>
      <c r="I418" s="794"/>
      <c r="J418" s="783"/>
      <c r="K418" s="783"/>
      <c r="L418" s="784">
        <f>SUM(I418:K418)</f>
        <v>0</v>
      </c>
      <c r="M418" s="787">
        <f>SUM(H418+L418)</f>
        <v>3080</v>
      </c>
      <c r="N418" s="787"/>
      <c r="O418" s="787">
        <f>SUM(M418+N418)</f>
        <v>3080</v>
      </c>
    </row>
    <row r="419" spans="1:16" s="788" customFormat="1" x14ac:dyDescent="0.25">
      <c r="A419" s="779"/>
      <c r="B419" s="780" t="s">
        <v>131</v>
      </c>
      <c r="C419" s="781"/>
      <c r="D419" s="782"/>
      <c r="E419" s="782"/>
      <c r="F419" s="786"/>
      <c r="G419" s="782"/>
      <c r="H419" s="784"/>
      <c r="I419" s="794"/>
      <c r="J419" s="783"/>
      <c r="K419" s="783"/>
      <c r="L419" s="784"/>
      <c r="M419" s="787"/>
      <c r="N419" s="787"/>
      <c r="O419" s="787"/>
    </row>
    <row r="420" spans="1:16" s="788" customFormat="1" ht="31.5" x14ac:dyDescent="0.25">
      <c r="A420" s="779"/>
      <c r="B420" s="724" t="s">
        <v>1325</v>
      </c>
      <c r="C420" s="810">
        <v>292</v>
      </c>
      <c r="D420" s="811">
        <v>48</v>
      </c>
      <c r="E420" s="811"/>
      <c r="F420" s="814"/>
      <c r="G420" s="782"/>
      <c r="H420" s="797">
        <f t="shared" ref="H420:H422" si="177">SUM(C420:G420)</f>
        <v>340</v>
      </c>
      <c r="I420" s="794"/>
      <c r="J420" s="783"/>
      <c r="K420" s="783"/>
      <c r="L420" s="797">
        <f t="shared" ref="L420:L422" si="178">SUM(I420:K420)</f>
        <v>0</v>
      </c>
      <c r="M420" s="798">
        <f t="shared" ref="M420:M422" si="179">SUM(H420+L420)</f>
        <v>340</v>
      </c>
      <c r="N420" s="787"/>
      <c r="O420" s="798">
        <f t="shared" ref="O420:O422" si="180">SUM(M420+N420)</f>
        <v>340</v>
      </c>
    </row>
    <row r="421" spans="1:16" s="788" customFormat="1" ht="31.5" x14ac:dyDescent="0.25">
      <c r="A421" s="779"/>
      <c r="B421" s="724" t="s">
        <v>1331</v>
      </c>
      <c r="C421" s="810">
        <v>41762</v>
      </c>
      <c r="D421" s="811">
        <v>6680</v>
      </c>
      <c r="E421" s="811"/>
      <c r="F421" s="814"/>
      <c r="G421" s="782"/>
      <c r="H421" s="797">
        <f t="shared" si="177"/>
        <v>48442</v>
      </c>
      <c r="I421" s="794"/>
      <c r="J421" s="783"/>
      <c r="K421" s="783"/>
      <c r="L421" s="797">
        <f t="shared" si="178"/>
        <v>0</v>
      </c>
      <c r="M421" s="798">
        <f t="shared" si="179"/>
        <v>48442</v>
      </c>
      <c r="N421" s="787"/>
      <c r="O421" s="798">
        <f t="shared" si="180"/>
        <v>48442</v>
      </c>
    </row>
    <row r="422" spans="1:16" s="788" customFormat="1" ht="31.5" x14ac:dyDescent="0.25">
      <c r="A422" s="779"/>
      <c r="B422" s="724" t="s">
        <v>1327</v>
      </c>
      <c r="C422" s="810">
        <v>-3666</v>
      </c>
      <c r="D422" s="811">
        <v>-625</v>
      </c>
      <c r="E422" s="811"/>
      <c r="F422" s="814"/>
      <c r="G422" s="782"/>
      <c r="H422" s="797">
        <f t="shared" si="177"/>
        <v>-4291</v>
      </c>
      <c r="I422" s="794"/>
      <c r="J422" s="783"/>
      <c r="K422" s="783"/>
      <c r="L422" s="797">
        <f t="shared" si="178"/>
        <v>0</v>
      </c>
      <c r="M422" s="798">
        <f t="shared" si="179"/>
        <v>-4291</v>
      </c>
      <c r="N422" s="787"/>
      <c r="O422" s="798">
        <f t="shared" si="180"/>
        <v>-4291</v>
      </c>
    </row>
    <row r="423" spans="1:16" s="788" customFormat="1" x14ac:dyDescent="0.25">
      <c r="A423" s="779"/>
      <c r="B423" s="780" t="s">
        <v>132</v>
      </c>
      <c r="C423" s="810"/>
      <c r="D423" s="811"/>
      <c r="E423" s="811"/>
      <c r="F423" s="814"/>
      <c r="G423" s="782"/>
      <c r="H423" s="797"/>
      <c r="I423" s="794"/>
      <c r="J423" s="783"/>
      <c r="K423" s="783"/>
      <c r="L423" s="797"/>
      <c r="M423" s="798"/>
      <c r="N423" s="787"/>
      <c r="O423" s="798"/>
    </row>
    <row r="424" spans="1:16" s="788" customFormat="1" ht="63" x14ac:dyDescent="0.25">
      <c r="A424" s="779"/>
      <c r="B424" s="724" t="s">
        <v>1329</v>
      </c>
      <c r="C424" s="810">
        <v>3325</v>
      </c>
      <c r="D424" s="811">
        <v>499</v>
      </c>
      <c r="E424" s="811"/>
      <c r="F424" s="814"/>
      <c r="G424" s="782"/>
      <c r="H424" s="797">
        <f>SUM(C424:G424)</f>
        <v>3824</v>
      </c>
      <c r="I424" s="815"/>
      <c r="J424" s="783"/>
      <c r="K424" s="783"/>
      <c r="L424" s="797">
        <f>SUM(I424:K424)</f>
        <v>0</v>
      </c>
      <c r="M424" s="798">
        <f>SUM(H424+L424)</f>
        <v>3824</v>
      </c>
      <c r="N424" s="787"/>
      <c r="O424" s="798">
        <f>SUM(M424+N424)</f>
        <v>3824</v>
      </c>
    </row>
    <row r="425" spans="1:16" s="788" customFormat="1" x14ac:dyDescent="0.25">
      <c r="A425" s="816"/>
      <c r="B425" s="772" t="s">
        <v>1330</v>
      </c>
      <c r="C425" s="810">
        <v>1324</v>
      </c>
      <c r="D425" s="811">
        <v>199</v>
      </c>
      <c r="E425" s="811"/>
      <c r="F425" s="812"/>
      <c r="G425" s="782"/>
      <c r="H425" s="797">
        <f>SUM(C425:G425)</f>
        <v>1523</v>
      </c>
      <c r="I425" s="815"/>
      <c r="J425" s="783"/>
      <c r="K425" s="783"/>
      <c r="L425" s="797">
        <f>SUM(I425:K425)</f>
        <v>0</v>
      </c>
      <c r="M425" s="797">
        <f>SUM(H425+L425)</f>
        <v>1523</v>
      </c>
      <c r="N425" s="784"/>
      <c r="O425" s="797">
        <f>SUM(M425+N425)</f>
        <v>1523</v>
      </c>
    </row>
    <row r="426" spans="1:16" s="788" customFormat="1" ht="95.25" thickBot="1" x14ac:dyDescent="0.3">
      <c r="A426" s="967"/>
      <c r="B426" s="936" t="s">
        <v>1332</v>
      </c>
      <c r="C426" s="960"/>
      <c r="D426" s="961"/>
      <c r="E426" s="961">
        <v>50</v>
      </c>
      <c r="F426" s="962"/>
      <c r="G426" s="963"/>
      <c r="H426" s="940">
        <f>SUM(C426:G426)</f>
        <v>50</v>
      </c>
      <c r="I426" s="964"/>
      <c r="J426" s="965"/>
      <c r="K426" s="965"/>
      <c r="L426" s="940">
        <f>SUM(I426:K426)</f>
        <v>0</v>
      </c>
      <c r="M426" s="940">
        <f>SUM(H426+L426)</f>
        <v>50</v>
      </c>
      <c r="N426" s="966"/>
      <c r="O426" s="940">
        <f>SUM(M426+N426)</f>
        <v>50</v>
      </c>
    </row>
    <row r="427" spans="1:16" ht="17.25" thickTop="1" thickBot="1" x14ac:dyDescent="0.3">
      <c r="A427" s="791"/>
      <c r="B427" s="792" t="s">
        <v>379</v>
      </c>
      <c r="C427" s="793">
        <f>+C416+C420+C421+C424+C422+C426+C425</f>
        <v>346762</v>
      </c>
      <c r="D427" s="793">
        <f t="shared" ref="D427:O427" si="181">+D416+D420+D421+D424+D422+D426+D425</f>
        <v>61944</v>
      </c>
      <c r="E427" s="793">
        <f t="shared" si="181"/>
        <v>112024</v>
      </c>
      <c r="F427" s="793">
        <f t="shared" si="181"/>
        <v>0</v>
      </c>
      <c r="G427" s="793">
        <f t="shared" si="181"/>
        <v>0</v>
      </c>
      <c r="H427" s="793">
        <f t="shared" si="181"/>
        <v>520730</v>
      </c>
      <c r="I427" s="793">
        <f t="shared" si="181"/>
        <v>6400</v>
      </c>
      <c r="J427" s="793">
        <f t="shared" si="181"/>
        <v>0</v>
      </c>
      <c r="K427" s="793">
        <f t="shared" si="181"/>
        <v>0</v>
      </c>
      <c r="L427" s="793">
        <f t="shared" si="181"/>
        <v>6400</v>
      </c>
      <c r="M427" s="793">
        <f t="shared" si="181"/>
        <v>527130</v>
      </c>
      <c r="N427" s="793">
        <f t="shared" si="181"/>
        <v>0</v>
      </c>
      <c r="O427" s="793">
        <f t="shared" si="181"/>
        <v>527130</v>
      </c>
      <c r="P427" s="698">
        <f>O428+O429</f>
        <v>527130</v>
      </c>
    </row>
    <row r="428" spans="1:16" ht="17.25" thickTop="1" thickBot="1" x14ac:dyDescent="0.3">
      <c r="A428" s="791"/>
      <c r="B428" s="792" t="s">
        <v>378</v>
      </c>
      <c r="C428" s="793">
        <f>+C417+C420+C421+C422</f>
        <v>339788</v>
      </c>
      <c r="D428" s="793">
        <f t="shared" ref="D428:O428" si="182">+D417+D420+D421+D422</f>
        <v>60491</v>
      </c>
      <c r="E428" s="793">
        <f t="shared" si="182"/>
        <v>111974</v>
      </c>
      <c r="F428" s="793">
        <f t="shared" si="182"/>
        <v>0</v>
      </c>
      <c r="G428" s="793">
        <f t="shared" si="182"/>
        <v>0</v>
      </c>
      <c r="H428" s="793">
        <f t="shared" si="182"/>
        <v>512253</v>
      </c>
      <c r="I428" s="793">
        <f t="shared" si="182"/>
        <v>6400</v>
      </c>
      <c r="J428" s="793">
        <f t="shared" si="182"/>
        <v>0</v>
      </c>
      <c r="K428" s="793">
        <f t="shared" si="182"/>
        <v>0</v>
      </c>
      <c r="L428" s="793">
        <f t="shared" si="182"/>
        <v>6400</v>
      </c>
      <c r="M428" s="793">
        <f t="shared" si="182"/>
        <v>518653</v>
      </c>
      <c r="N428" s="793">
        <f t="shared" si="182"/>
        <v>0</v>
      </c>
      <c r="O428" s="793">
        <f t="shared" si="182"/>
        <v>518653</v>
      </c>
    </row>
    <row r="429" spans="1:16" ht="17.25" thickTop="1" thickBot="1" x14ac:dyDescent="0.3">
      <c r="A429" s="791"/>
      <c r="B429" s="792" t="s">
        <v>377</v>
      </c>
      <c r="C429" s="793">
        <f t="shared" ref="C429:O429" si="183">+C418+C424+C426+C425</f>
        <v>6974</v>
      </c>
      <c r="D429" s="793">
        <f t="shared" si="183"/>
        <v>1453</v>
      </c>
      <c r="E429" s="793">
        <f t="shared" si="183"/>
        <v>50</v>
      </c>
      <c r="F429" s="793">
        <f t="shared" si="183"/>
        <v>0</v>
      </c>
      <c r="G429" s="793">
        <f t="shared" si="183"/>
        <v>0</v>
      </c>
      <c r="H429" s="793">
        <f t="shared" si="183"/>
        <v>8477</v>
      </c>
      <c r="I429" s="793">
        <f t="shared" si="183"/>
        <v>0</v>
      </c>
      <c r="J429" s="793">
        <f t="shared" si="183"/>
        <v>0</v>
      </c>
      <c r="K429" s="793">
        <f t="shared" si="183"/>
        <v>0</v>
      </c>
      <c r="L429" s="793">
        <f t="shared" si="183"/>
        <v>0</v>
      </c>
      <c r="M429" s="793">
        <f t="shared" si="183"/>
        <v>8477</v>
      </c>
      <c r="N429" s="793">
        <f t="shared" si="183"/>
        <v>0</v>
      </c>
      <c r="O429" s="793">
        <f t="shared" si="183"/>
        <v>8477</v>
      </c>
    </row>
    <row r="430" spans="1:16" ht="16.5" thickTop="1" x14ac:dyDescent="0.25">
      <c r="A430" s="771" t="s">
        <v>13</v>
      </c>
      <c r="B430" s="772" t="s">
        <v>376</v>
      </c>
      <c r="C430" s="773"/>
      <c r="D430" s="774"/>
      <c r="E430" s="774"/>
      <c r="F430" s="790"/>
      <c r="G430" s="774"/>
      <c r="H430" s="776"/>
      <c r="I430" s="777"/>
      <c r="J430" s="775"/>
      <c r="K430" s="775"/>
      <c r="L430" s="776"/>
      <c r="M430" s="776"/>
      <c r="N430" s="776"/>
      <c r="O430" s="776"/>
    </row>
    <row r="431" spans="1:16" x14ac:dyDescent="0.25">
      <c r="A431" s="771"/>
      <c r="B431" s="724" t="s">
        <v>347</v>
      </c>
      <c r="C431" s="773">
        <f>SUM(C432:C433)</f>
        <v>218891</v>
      </c>
      <c r="D431" s="773">
        <f>SUM(D432:D433)</f>
        <v>38761</v>
      </c>
      <c r="E431" s="773">
        <f>SUM(E432:E433)</f>
        <v>147229</v>
      </c>
      <c r="F431" s="790"/>
      <c r="G431" s="774"/>
      <c r="H431" s="776">
        <f>SUM(C431:G431)</f>
        <v>404881</v>
      </c>
      <c r="I431" s="777"/>
      <c r="J431" s="775"/>
      <c r="K431" s="775"/>
      <c r="L431" s="776">
        <f>SUM(I431:K431)</f>
        <v>0</v>
      </c>
      <c r="M431" s="778">
        <f>SUM(H431+L431)</f>
        <v>404881</v>
      </c>
      <c r="N431" s="778"/>
      <c r="O431" s="778">
        <f>SUM(M431+N431)</f>
        <v>404881</v>
      </c>
    </row>
    <row r="432" spans="1:16" s="788" customFormat="1" x14ac:dyDescent="0.25">
      <c r="A432" s="779"/>
      <c r="B432" s="780" t="s">
        <v>381</v>
      </c>
      <c r="C432" s="781">
        <v>217023</v>
      </c>
      <c r="D432" s="782">
        <v>38155</v>
      </c>
      <c r="E432" s="782">
        <v>147229</v>
      </c>
      <c r="F432" s="786"/>
      <c r="G432" s="782"/>
      <c r="H432" s="784">
        <f>SUM(C432:G432)</f>
        <v>402407</v>
      </c>
      <c r="I432" s="794"/>
      <c r="J432" s="783"/>
      <c r="K432" s="783"/>
      <c r="L432" s="784">
        <f>SUM(I432:K432)</f>
        <v>0</v>
      </c>
      <c r="M432" s="787">
        <f>SUM(H432+L432)</f>
        <v>402407</v>
      </c>
      <c r="N432" s="787"/>
      <c r="O432" s="787">
        <f>SUM(M432+N432)</f>
        <v>402407</v>
      </c>
    </row>
    <row r="433" spans="1:16" s="788" customFormat="1" x14ac:dyDescent="0.25">
      <c r="A433" s="779"/>
      <c r="B433" s="780" t="s">
        <v>380</v>
      </c>
      <c r="C433" s="781">
        <v>1868</v>
      </c>
      <c r="D433" s="782">
        <v>606</v>
      </c>
      <c r="E433" s="782"/>
      <c r="F433" s="786"/>
      <c r="G433" s="782"/>
      <c r="H433" s="784">
        <f>SUM(C433:G433)</f>
        <v>2474</v>
      </c>
      <c r="I433" s="794"/>
      <c r="J433" s="783"/>
      <c r="K433" s="783"/>
      <c r="L433" s="784">
        <f>SUM(I433:K433)</f>
        <v>0</v>
      </c>
      <c r="M433" s="787">
        <f>SUM(H433+L433)</f>
        <v>2474</v>
      </c>
      <c r="N433" s="787"/>
      <c r="O433" s="787">
        <f>SUM(M433+N433)</f>
        <v>2474</v>
      </c>
    </row>
    <row r="434" spans="1:16" s="788" customFormat="1" x14ac:dyDescent="0.25">
      <c r="A434" s="816"/>
      <c r="B434" s="796" t="s">
        <v>131</v>
      </c>
      <c r="C434" s="781"/>
      <c r="D434" s="782"/>
      <c r="E434" s="782"/>
      <c r="F434" s="783"/>
      <c r="G434" s="782"/>
      <c r="H434" s="784"/>
      <c r="I434" s="794"/>
      <c r="J434" s="783"/>
      <c r="K434" s="783"/>
      <c r="L434" s="784"/>
      <c r="M434" s="784"/>
      <c r="N434" s="784"/>
      <c r="O434" s="784"/>
    </row>
    <row r="435" spans="1:16" s="788" customFormat="1" ht="31.5" x14ac:dyDescent="0.25">
      <c r="A435" s="816"/>
      <c r="B435" s="724" t="s">
        <v>1325</v>
      </c>
      <c r="C435" s="810">
        <v>119</v>
      </c>
      <c r="D435" s="811">
        <v>19</v>
      </c>
      <c r="E435" s="811"/>
      <c r="F435" s="812"/>
      <c r="G435" s="782"/>
      <c r="H435" s="797">
        <f t="shared" ref="H435:H439" si="184">SUM(C435:G435)</f>
        <v>138</v>
      </c>
      <c r="I435" s="794"/>
      <c r="J435" s="783"/>
      <c r="K435" s="783"/>
      <c r="L435" s="797">
        <f t="shared" ref="L435:L439" si="185">SUM(I435:K435)</f>
        <v>0</v>
      </c>
      <c r="M435" s="797">
        <f t="shared" ref="M435:M439" si="186">SUM(H435+L435)</f>
        <v>138</v>
      </c>
      <c r="N435" s="784"/>
      <c r="O435" s="797">
        <f t="shared" ref="O435:O439" si="187">SUM(M435+N435)</f>
        <v>138</v>
      </c>
    </row>
    <row r="436" spans="1:16" s="788" customFormat="1" ht="31.5" x14ac:dyDescent="0.25">
      <c r="A436" s="779"/>
      <c r="B436" s="724" t="s">
        <v>1331</v>
      </c>
      <c r="C436" s="810">
        <v>25768</v>
      </c>
      <c r="D436" s="811">
        <v>4118</v>
      </c>
      <c r="E436" s="811"/>
      <c r="F436" s="814"/>
      <c r="G436" s="782"/>
      <c r="H436" s="797">
        <f t="shared" si="184"/>
        <v>29886</v>
      </c>
      <c r="I436" s="794"/>
      <c r="J436" s="783"/>
      <c r="K436" s="783"/>
      <c r="L436" s="797">
        <f t="shared" si="185"/>
        <v>0</v>
      </c>
      <c r="M436" s="798">
        <f t="shared" si="186"/>
        <v>29886</v>
      </c>
      <c r="N436" s="787"/>
      <c r="O436" s="798">
        <f t="shared" si="187"/>
        <v>29886</v>
      </c>
    </row>
    <row r="437" spans="1:16" s="788" customFormat="1" x14ac:dyDescent="0.25">
      <c r="A437" s="779"/>
      <c r="B437" s="724" t="s">
        <v>1365</v>
      </c>
      <c r="C437" s="810">
        <v>211</v>
      </c>
      <c r="D437" s="811">
        <v>33</v>
      </c>
      <c r="E437" s="811"/>
      <c r="F437" s="814"/>
      <c r="G437" s="782"/>
      <c r="H437" s="797">
        <f t="shared" si="184"/>
        <v>244</v>
      </c>
      <c r="I437" s="794"/>
      <c r="J437" s="783"/>
      <c r="K437" s="783"/>
      <c r="L437" s="797">
        <f t="shared" si="185"/>
        <v>0</v>
      </c>
      <c r="M437" s="798">
        <f t="shared" si="186"/>
        <v>244</v>
      </c>
      <c r="N437" s="787"/>
      <c r="O437" s="798">
        <f t="shared" si="187"/>
        <v>244</v>
      </c>
    </row>
    <row r="438" spans="1:16" s="788" customFormat="1" ht="31.5" x14ac:dyDescent="0.25">
      <c r="A438" s="779"/>
      <c r="B438" s="724" t="s">
        <v>1327</v>
      </c>
      <c r="C438" s="810">
        <v>-713</v>
      </c>
      <c r="D438" s="811">
        <v>-125</v>
      </c>
      <c r="E438" s="811"/>
      <c r="F438" s="814"/>
      <c r="G438" s="782"/>
      <c r="H438" s="797">
        <f t="shared" si="184"/>
        <v>-838</v>
      </c>
      <c r="I438" s="794"/>
      <c r="J438" s="783"/>
      <c r="K438" s="783"/>
      <c r="L438" s="797">
        <f t="shared" si="185"/>
        <v>0</v>
      </c>
      <c r="M438" s="798">
        <f t="shared" si="186"/>
        <v>-838</v>
      </c>
      <c r="N438" s="787"/>
      <c r="O438" s="798">
        <f t="shared" si="187"/>
        <v>-838</v>
      </c>
    </row>
    <row r="439" spans="1:16" s="788" customFormat="1" ht="31.5" x14ac:dyDescent="0.25">
      <c r="A439" s="779"/>
      <c r="B439" s="724" t="s">
        <v>961</v>
      </c>
      <c r="C439" s="810">
        <v>560</v>
      </c>
      <c r="D439" s="811">
        <v>98</v>
      </c>
      <c r="E439" s="811"/>
      <c r="F439" s="814">
        <v>1142</v>
      </c>
      <c r="G439" s="782"/>
      <c r="H439" s="797">
        <f t="shared" si="184"/>
        <v>1800</v>
      </c>
      <c r="I439" s="815">
        <v>1951</v>
      </c>
      <c r="J439" s="783"/>
      <c r="K439" s="783"/>
      <c r="L439" s="797">
        <f t="shared" si="185"/>
        <v>1951</v>
      </c>
      <c r="M439" s="798">
        <f t="shared" si="186"/>
        <v>3751</v>
      </c>
      <c r="N439" s="787"/>
      <c r="O439" s="798">
        <f t="shared" si="187"/>
        <v>3751</v>
      </c>
    </row>
    <row r="440" spans="1:16" s="788" customFormat="1" x14ac:dyDescent="0.25">
      <c r="A440" s="779"/>
      <c r="B440" s="780" t="s">
        <v>132</v>
      </c>
      <c r="C440" s="810"/>
      <c r="D440" s="811"/>
      <c r="E440" s="811"/>
      <c r="F440" s="814"/>
      <c r="G440" s="782"/>
      <c r="H440" s="797"/>
      <c r="I440" s="794"/>
      <c r="J440" s="783"/>
      <c r="K440" s="783"/>
      <c r="L440" s="797"/>
      <c r="M440" s="798"/>
      <c r="N440" s="787"/>
      <c r="O440" s="798"/>
    </row>
    <row r="441" spans="1:16" s="788" customFormat="1" ht="63" x14ac:dyDescent="0.25">
      <c r="A441" s="779"/>
      <c r="B441" s="724" t="s">
        <v>1329</v>
      </c>
      <c r="C441" s="810">
        <v>3345</v>
      </c>
      <c r="D441" s="811">
        <v>501</v>
      </c>
      <c r="E441" s="811"/>
      <c r="F441" s="814"/>
      <c r="G441" s="782"/>
      <c r="H441" s="797">
        <f>SUM(C441:G441)</f>
        <v>3846</v>
      </c>
      <c r="I441" s="794"/>
      <c r="J441" s="783"/>
      <c r="K441" s="783"/>
      <c r="L441" s="797">
        <f>SUM(I441:K441)</f>
        <v>0</v>
      </c>
      <c r="M441" s="798">
        <f>SUM(H441+L441)</f>
        <v>3846</v>
      </c>
      <c r="N441" s="787"/>
      <c r="O441" s="798">
        <f>SUM(M441+N441)</f>
        <v>3846</v>
      </c>
    </row>
    <row r="442" spans="1:16" s="788" customFormat="1" x14ac:dyDescent="0.25">
      <c r="A442" s="779"/>
      <c r="B442" s="724" t="s">
        <v>1330</v>
      </c>
      <c r="C442" s="810">
        <v>941</v>
      </c>
      <c r="D442" s="811">
        <v>141</v>
      </c>
      <c r="E442" s="811"/>
      <c r="F442" s="814"/>
      <c r="G442" s="782"/>
      <c r="H442" s="797">
        <f>SUM(C442:G442)</f>
        <v>1082</v>
      </c>
      <c r="I442" s="794"/>
      <c r="J442" s="783"/>
      <c r="K442" s="783"/>
      <c r="L442" s="797">
        <f>SUM(I442:K442)</f>
        <v>0</v>
      </c>
      <c r="M442" s="798">
        <f>SUM(H442+L442)</f>
        <v>1082</v>
      </c>
      <c r="N442" s="787"/>
      <c r="O442" s="798">
        <f>SUM(M442+N442)</f>
        <v>1082</v>
      </c>
    </row>
    <row r="443" spans="1:16" s="788" customFormat="1" ht="94.5" x14ac:dyDescent="0.25">
      <c r="A443" s="779"/>
      <c r="B443" s="724" t="s">
        <v>1332</v>
      </c>
      <c r="C443" s="810"/>
      <c r="D443" s="811"/>
      <c r="E443" s="811">
        <v>20</v>
      </c>
      <c r="F443" s="814"/>
      <c r="G443" s="782"/>
      <c r="H443" s="797">
        <f>SUM(C443:G443)</f>
        <v>20</v>
      </c>
      <c r="I443" s="794"/>
      <c r="J443" s="783"/>
      <c r="K443" s="783"/>
      <c r="L443" s="797">
        <f>SUM(I443:K443)</f>
        <v>0</v>
      </c>
      <c r="M443" s="798">
        <f>SUM(H443+L443)</f>
        <v>20</v>
      </c>
      <c r="N443" s="787"/>
      <c r="O443" s="798">
        <f>SUM(M443+N443)</f>
        <v>20</v>
      </c>
    </row>
    <row r="444" spans="1:16" s="788" customFormat="1" ht="111" thickBot="1" x14ac:dyDescent="0.3">
      <c r="A444" s="779"/>
      <c r="B444" s="724" t="s">
        <v>1366</v>
      </c>
      <c r="C444" s="810"/>
      <c r="D444" s="811"/>
      <c r="E444" s="811">
        <v>25</v>
      </c>
      <c r="F444" s="814"/>
      <c r="G444" s="782"/>
      <c r="H444" s="797">
        <f>SUM(C444:G444)</f>
        <v>25</v>
      </c>
      <c r="I444" s="794"/>
      <c r="J444" s="783"/>
      <c r="K444" s="783"/>
      <c r="L444" s="797">
        <f>SUM(I444:K444)</f>
        <v>0</v>
      </c>
      <c r="M444" s="798">
        <f>SUM(H444+L444)</f>
        <v>25</v>
      </c>
      <c r="N444" s="787"/>
      <c r="O444" s="798">
        <f>SUM(M444+N444)</f>
        <v>25</v>
      </c>
    </row>
    <row r="445" spans="1:16" ht="17.25" thickTop="1" thickBot="1" x14ac:dyDescent="0.3">
      <c r="A445" s="791"/>
      <c r="B445" s="792" t="s">
        <v>379</v>
      </c>
      <c r="C445" s="793">
        <f>+C431+C435+C436+C441+C437+C438+C439+C443+C444+C442</f>
        <v>249122</v>
      </c>
      <c r="D445" s="793">
        <f t="shared" ref="D445:O445" si="188">+D431+D435+D436+D441+D437+D438+D439+D443+D444+D442</f>
        <v>43546</v>
      </c>
      <c r="E445" s="793">
        <f t="shared" si="188"/>
        <v>147274</v>
      </c>
      <c r="F445" s="793">
        <f t="shared" si="188"/>
        <v>1142</v>
      </c>
      <c r="G445" s="793">
        <f t="shared" si="188"/>
        <v>0</v>
      </c>
      <c r="H445" s="793">
        <f t="shared" si="188"/>
        <v>441084</v>
      </c>
      <c r="I445" s="793">
        <f t="shared" si="188"/>
        <v>1951</v>
      </c>
      <c r="J445" s="793">
        <f t="shared" si="188"/>
        <v>0</v>
      </c>
      <c r="K445" s="793">
        <f t="shared" si="188"/>
        <v>0</v>
      </c>
      <c r="L445" s="793">
        <f t="shared" si="188"/>
        <v>1951</v>
      </c>
      <c r="M445" s="793">
        <f t="shared" si="188"/>
        <v>443035</v>
      </c>
      <c r="N445" s="793">
        <f t="shared" si="188"/>
        <v>0</v>
      </c>
      <c r="O445" s="793">
        <f t="shared" si="188"/>
        <v>443035</v>
      </c>
      <c r="P445" s="698">
        <f>O446+O447</f>
        <v>443035</v>
      </c>
    </row>
    <row r="446" spans="1:16" ht="17.25" thickTop="1" thickBot="1" x14ac:dyDescent="0.3">
      <c r="A446" s="791"/>
      <c r="B446" s="792" t="s">
        <v>378</v>
      </c>
      <c r="C446" s="793">
        <f>+C432+C435+C436+C437+C438+C439</f>
        <v>242968</v>
      </c>
      <c r="D446" s="793">
        <f t="shared" ref="D446:O446" si="189">+D432+D435+D436+D437+D438+D439</f>
        <v>42298</v>
      </c>
      <c r="E446" s="793">
        <f t="shared" si="189"/>
        <v>147229</v>
      </c>
      <c r="F446" s="793">
        <f t="shared" si="189"/>
        <v>1142</v>
      </c>
      <c r="G446" s="793">
        <f t="shared" si="189"/>
        <v>0</v>
      </c>
      <c r="H446" s="793">
        <f t="shared" si="189"/>
        <v>433637</v>
      </c>
      <c r="I446" s="793">
        <f t="shared" si="189"/>
        <v>1951</v>
      </c>
      <c r="J446" s="793">
        <f t="shared" si="189"/>
        <v>0</v>
      </c>
      <c r="K446" s="793">
        <f t="shared" si="189"/>
        <v>0</v>
      </c>
      <c r="L446" s="793">
        <f t="shared" si="189"/>
        <v>1951</v>
      </c>
      <c r="M446" s="793">
        <f t="shared" si="189"/>
        <v>435588</v>
      </c>
      <c r="N446" s="793">
        <f t="shared" si="189"/>
        <v>0</v>
      </c>
      <c r="O446" s="793">
        <f t="shared" si="189"/>
        <v>435588</v>
      </c>
    </row>
    <row r="447" spans="1:16" ht="17.25" thickTop="1" thickBot="1" x14ac:dyDescent="0.3">
      <c r="A447" s="791"/>
      <c r="B447" s="792" t="s">
        <v>377</v>
      </c>
      <c r="C447" s="793">
        <f t="shared" ref="C447:O447" si="190">+C433+C441+C443+C444+C442</f>
        <v>6154</v>
      </c>
      <c r="D447" s="793">
        <f t="shared" si="190"/>
        <v>1248</v>
      </c>
      <c r="E447" s="793">
        <f t="shared" si="190"/>
        <v>45</v>
      </c>
      <c r="F447" s="793">
        <f t="shared" si="190"/>
        <v>0</v>
      </c>
      <c r="G447" s="793">
        <f t="shared" si="190"/>
        <v>0</v>
      </c>
      <c r="H447" s="793">
        <f t="shared" si="190"/>
        <v>7447</v>
      </c>
      <c r="I447" s="793">
        <f t="shared" si="190"/>
        <v>0</v>
      </c>
      <c r="J447" s="793">
        <f t="shared" si="190"/>
        <v>0</v>
      </c>
      <c r="K447" s="793">
        <f t="shared" si="190"/>
        <v>0</v>
      </c>
      <c r="L447" s="793">
        <f t="shared" si="190"/>
        <v>0</v>
      </c>
      <c r="M447" s="793">
        <f t="shared" si="190"/>
        <v>7447</v>
      </c>
      <c r="N447" s="793">
        <f t="shared" si="190"/>
        <v>0</v>
      </c>
      <c r="O447" s="793">
        <f t="shared" si="190"/>
        <v>7447</v>
      </c>
    </row>
    <row r="448" spans="1:16" ht="17.25" thickTop="1" thickBot="1" x14ac:dyDescent="0.3">
      <c r="A448" s="791"/>
      <c r="B448" s="792" t="s">
        <v>393</v>
      </c>
      <c r="C448" s="793">
        <f t="shared" ref="C448:O448" si="191">SUM(C412+C427+C445)</f>
        <v>1449640</v>
      </c>
      <c r="D448" s="793">
        <f t="shared" si="191"/>
        <v>260799</v>
      </c>
      <c r="E448" s="793">
        <f t="shared" si="191"/>
        <v>743777</v>
      </c>
      <c r="F448" s="793">
        <f t="shared" si="191"/>
        <v>1142</v>
      </c>
      <c r="G448" s="793">
        <f t="shared" si="191"/>
        <v>0</v>
      </c>
      <c r="H448" s="793">
        <f t="shared" si="191"/>
        <v>2455358</v>
      </c>
      <c r="I448" s="793">
        <f t="shared" si="191"/>
        <v>12239</v>
      </c>
      <c r="J448" s="793">
        <f t="shared" si="191"/>
        <v>0</v>
      </c>
      <c r="K448" s="793">
        <f t="shared" si="191"/>
        <v>0</v>
      </c>
      <c r="L448" s="793">
        <f t="shared" si="191"/>
        <v>12239</v>
      </c>
      <c r="M448" s="793">
        <f t="shared" si="191"/>
        <v>2467597</v>
      </c>
      <c r="N448" s="793">
        <f t="shared" si="191"/>
        <v>0</v>
      </c>
      <c r="O448" s="793">
        <f t="shared" si="191"/>
        <v>2467597</v>
      </c>
    </row>
    <row r="449" spans="1:16" ht="16.5" thickTop="1" x14ac:dyDescent="0.25">
      <c r="A449" s="817" t="s">
        <v>14</v>
      </c>
      <c r="B449" s="824" t="s">
        <v>392</v>
      </c>
      <c r="C449" s="825"/>
      <c r="D449" s="826"/>
      <c r="E449" s="826"/>
      <c r="F449" s="827"/>
      <c r="G449" s="826"/>
      <c r="H449" s="828"/>
      <c r="I449" s="829"/>
      <c r="J449" s="826"/>
      <c r="K449" s="827"/>
      <c r="L449" s="828"/>
      <c r="M449" s="828"/>
      <c r="N449" s="828"/>
      <c r="O449" s="828"/>
    </row>
    <row r="450" spans="1:16" x14ac:dyDescent="0.25">
      <c r="A450" s="771"/>
      <c r="B450" s="830" t="s">
        <v>347</v>
      </c>
      <c r="C450" s="800">
        <f>SUM(C451:C452)</f>
        <v>225529</v>
      </c>
      <c r="D450" s="800">
        <f>SUM(D451:D452)</f>
        <v>41684</v>
      </c>
      <c r="E450" s="800">
        <f>SUM(E451:E452)</f>
        <v>1221778</v>
      </c>
      <c r="F450" s="800">
        <f t="shared" ref="F450:G450" si="192">SUM(F451:F452)</f>
        <v>0</v>
      </c>
      <c r="G450" s="800">
        <f t="shared" si="192"/>
        <v>0</v>
      </c>
      <c r="H450" s="776">
        <f>SUM(C450:G450)</f>
        <v>1488991</v>
      </c>
      <c r="I450" s="777">
        <f>SUM(I451:I452)</f>
        <v>1551</v>
      </c>
      <c r="J450" s="775">
        <f t="shared" ref="J450:K450" si="193">SUM(J451:J452)</f>
        <v>0</v>
      </c>
      <c r="K450" s="775">
        <f t="shared" si="193"/>
        <v>0</v>
      </c>
      <c r="L450" s="776">
        <f>SUM(I450:K450)</f>
        <v>1551</v>
      </c>
      <c r="M450" s="778">
        <f>SUM(H450+L450)</f>
        <v>1490542</v>
      </c>
      <c r="N450" s="778"/>
      <c r="O450" s="778">
        <f>SUM(M450+N450)</f>
        <v>1490542</v>
      </c>
    </row>
    <row r="451" spans="1:16" s="788" customFormat="1" x14ac:dyDescent="0.25">
      <c r="A451" s="779"/>
      <c r="B451" s="780" t="s">
        <v>381</v>
      </c>
      <c r="C451" s="805">
        <v>223322</v>
      </c>
      <c r="D451" s="806">
        <v>40967</v>
      </c>
      <c r="E451" s="806">
        <v>1221778</v>
      </c>
      <c r="F451" s="806"/>
      <c r="G451" s="806"/>
      <c r="H451" s="784">
        <f>SUM(C451:G451)</f>
        <v>1486067</v>
      </c>
      <c r="I451" s="794">
        <v>1551</v>
      </c>
      <c r="J451" s="783"/>
      <c r="K451" s="783"/>
      <c r="L451" s="784">
        <f>SUM(I451:K451)</f>
        <v>1551</v>
      </c>
      <c r="M451" s="787">
        <f>SUM(H451+L451)</f>
        <v>1487618</v>
      </c>
      <c r="N451" s="787"/>
      <c r="O451" s="787">
        <f>SUM(M451+N451)</f>
        <v>1487618</v>
      </c>
    </row>
    <row r="452" spans="1:16" s="788" customFormat="1" x14ac:dyDescent="0.25">
      <c r="A452" s="779"/>
      <c r="B452" s="780" t="s">
        <v>380</v>
      </c>
      <c r="C452" s="805">
        <v>2207</v>
      </c>
      <c r="D452" s="806">
        <v>717</v>
      </c>
      <c r="E452" s="806"/>
      <c r="F452" s="831"/>
      <c r="G452" s="806"/>
      <c r="H452" s="784">
        <f>SUM(C452:G452)</f>
        <v>2924</v>
      </c>
      <c r="I452" s="794"/>
      <c r="J452" s="783"/>
      <c r="K452" s="783"/>
      <c r="L452" s="784">
        <f>SUM(I452:K452)</f>
        <v>0</v>
      </c>
      <c r="M452" s="787">
        <f>SUM(H452+L452)</f>
        <v>2924</v>
      </c>
      <c r="N452" s="787"/>
      <c r="O452" s="787">
        <f>SUM(M452+N452)</f>
        <v>2924</v>
      </c>
    </row>
    <row r="453" spans="1:16" x14ac:dyDescent="0.25">
      <c r="A453" s="795"/>
      <c r="B453" s="796" t="s">
        <v>131</v>
      </c>
      <c r="C453" s="773"/>
      <c r="D453" s="774"/>
      <c r="E453" s="774"/>
      <c r="F453" s="775"/>
      <c r="G453" s="774"/>
      <c r="H453" s="776"/>
      <c r="I453" s="777"/>
      <c r="J453" s="775"/>
      <c r="K453" s="775"/>
      <c r="L453" s="776"/>
      <c r="M453" s="776"/>
      <c r="N453" s="776"/>
      <c r="O453" s="776"/>
    </row>
    <row r="454" spans="1:16" ht="31.5" x14ac:dyDescent="0.25">
      <c r="A454" s="795"/>
      <c r="B454" s="772" t="s">
        <v>1325</v>
      </c>
      <c r="C454" s="773">
        <v>304</v>
      </c>
      <c r="D454" s="774">
        <v>49</v>
      </c>
      <c r="E454" s="774"/>
      <c r="F454" s="775"/>
      <c r="G454" s="774"/>
      <c r="H454" s="776">
        <f t="shared" ref="H454:H457" si="194">SUM(C454:G454)</f>
        <v>353</v>
      </c>
      <c r="I454" s="777"/>
      <c r="J454" s="775"/>
      <c r="K454" s="775"/>
      <c r="L454" s="776">
        <f t="shared" ref="L454:L457" si="195">SUM(I454:K454)</f>
        <v>0</v>
      </c>
      <c r="M454" s="776">
        <f t="shared" ref="M454:M457" si="196">SUM(H454+L454)</f>
        <v>353</v>
      </c>
      <c r="N454" s="776"/>
      <c r="O454" s="776">
        <f t="shared" ref="O454:O457" si="197">SUM(M454+N454)</f>
        <v>353</v>
      </c>
    </row>
    <row r="455" spans="1:16" ht="63" x14ac:dyDescent="0.25">
      <c r="A455" s="771"/>
      <c r="B455" s="724" t="s">
        <v>1326</v>
      </c>
      <c r="C455" s="832">
        <v>1041</v>
      </c>
      <c r="D455" s="833">
        <v>183</v>
      </c>
      <c r="E455" s="774"/>
      <c r="F455" s="790"/>
      <c r="G455" s="833"/>
      <c r="H455" s="776">
        <f t="shared" si="194"/>
        <v>1224</v>
      </c>
      <c r="I455" s="777"/>
      <c r="J455" s="775"/>
      <c r="K455" s="775"/>
      <c r="L455" s="776">
        <f t="shared" si="195"/>
        <v>0</v>
      </c>
      <c r="M455" s="778">
        <f t="shared" si="196"/>
        <v>1224</v>
      </c>
      <c r="N455" s="778"/>
      <c r="O455" s="778">
        <f t="shared" si="197"/>
        <v>1224</v>
      </c>
    </row>
    <row r="456" spans="1:16" ht="31.5" x14ac:dyDescent="0.25">
      <c r="A456" s="771"/>
      <c r="B456" s="724" t="s">
        <v>565</v>
      </c>
      <c r="C456" s="832"/>
      <c r="D456" s="833"/>
      <c r="E456" s="774">
        <v>-4522</v>
      </c>
      <c r="F456" s="790"/>
      <c r="G456" s="833"/>
      <c r="H456" s="776">
        <f t="shared" si="194"/>
        <v>-4522</v>
      </c>
      <c r="I456" s="777">
        <v>4522</v>
      </c>
      <c r="J456" s="775"/>
      <c r="K456" s="775"/>
      <c r="L456" s="776">
        <f t="shared" si="195"/>
        <v>4522</v>
      </c>
      <c r="M456" s="778">
        <f t="shared" si="196"/>
        <v>0</v>
      </c>
      <c r="N456" s="778"/>
      <c r="O456" s="778">
        <f t="shared" si="197"/>
        <v>0</v>
      </c>
    </row>
    <row r="457" spans="1:16" ht="31.5" customHeight="1" x14ac:dyDescent="0.25">
      <c r="A457" s="771"/>
      <c r="B457" s="724" t="s">
        <v>1339</v>
      </c>
      <c r="C457" s="832"/>
      <c r="D457" s="833"/>
      <c r="E457" s="774">
        <v>-260479</v>
      </c>
      <c r="F457" s="790"/>
      <c r="G457" s="833"/>
      <c r="H457" s="776">
        <f t="shared" si="194"/>
        <v>-260479</v>
      </c>
      <c r="I457" s="777"/>
      <c r="J457" s="775"/>
      <c r="K457" s="775"/>
      <c r="L457" s="776">
        <f t="shared" si="195"/>
        <v>0</v>
      </c>
      <c r="M457" s="778">
        <f t="shared" si="196"/>
        <v>-260479</v>
      </c>
      <c r="N457" s="778"/>
      <c r="O457" s="778">
        <f t="shared" si="197"/>
        <v>-260479</v>
      </c>
    </row>
    <row r="458" spans="1:16" x14ac:dyDescent="0.25">
      <c r="A458" s="771"/>
      <c r="B458" s="720" t="s">
        <v>132</v>
      </c>
      <c r="C458" s="832"/>
      <c r="D458" s="833"/>
      <c r="E458" s="774"/>
      <c r="F458" s="790"/>
      <c r="G458" s="833"/>
      <c r="H458" s="776"/>
      <c r="I458" s="777"/>
      <c r="J458" s="775"/>
      <c r="K458" s="775"/>
      <c r="L458" s="776"/>
      <c r="M458" s="778"/>
      <c r="N458" s="778"/>
      <c r="O458" s="778"/>
    </row>
    <row r="459" spans="1:16" ht="16.5" thickBot="1" x14ac:dyDescent="0.3">
      <c r="A459" s="771"/>
      <c r="B459" s="724" t="s">
        <v>1330</v>
      </c>
      <c r="C459" s="832">
        <v>1335</v>
      </c>
      <c r="D459" s="833">
        <v>200</v>
      </c>
      <c r="E459" s="774"/>
      <c r="F459" s="790"/>
      <c r="G459" s="833"/>
      <c r="H459" s="776">
        <f>SUM(C459:G459)</f>
        <v>1535</v>
      </c>
      <c r="I459" s="777"/>
      <c r="J459" s="775"/>
      <c r="K459" s="775"/>
      <c r="L459" s="776">
        <f>SUM(I459:K459)</f>
        <v>0</v>
      </c>
      <c r="M459" s="778">
        <f>SUM(H459+L459)</f>
        <v>1535</v>
      </c>
      <c r="N459" s="778"/>
      <c r="O459" s="778">
        <f>SUM(M459+N459)</f>
        <v>1535</v>
      </c>
    </row>
    <row r="460" spans="1:16" ht="17.25" thickTop="1" thickBot="1" x14ac:dyDescent="0.3">
      <c r="A460" s="791"/>
      <c r="B460" s="792" t="s">
        <v>379</v>
      </c>
      <c r="C460" s="793">
        <f>+C450+C454+C455+C456+C459+C457</f>
        <v>228209</v>
      </c>
      <c r="D460" s="793">
        <f t="shared" ref="D460:O460" si="198">+D450+D454+D455+D456+D459+D457</f>
        <v>42116</v>
      </c>
      <c r="E460" s="793">
        <f t="shared" si="198"/>
        <v>956777</v>
      </c>
      <c r="F460" s="793">
        <f t="shared" si="198"/>
        <v>0</v>
      </c>
      <c r="G460" s="793">
        <f t="shared" si="198"/>
        <v>0</v>
      </c>
      <c r="H460" s="793">
        <f t="shared" si="198"/>
        <v>1227102</v>
      </c>
      <c r="I460" s="793">
        <f t="shared" si="198"/>
        <v>6073</v>
      </c>
      <c r="J460" s="793">
        <f t="shared" si="198"/>
        <v>0</v>
      </c>
      <c r="K460" s="793">
        <f t="shared" si="198"/>
        <v>0</v>
      </c>
      <c r="L460" s="793">
        <f t="shared" si="198"/>
        <v>6073</v>
      </c>
      <c r="M460" s="793">
        <f t="shared" si="198"/>
        <v>1233175</v>
      </c>
      <c r="N460" s="793">
        <f t="shared" si="198"/>
        <v>0</v>
      </c>
      <c r="O460" s="793">
        <f t="shared" si="198"/>
        <v>1233175</v>
      </c>
      <c r="P460" s="698">
        <f>O461+O462</f>
        <v>1233175</v>
      </c>
    </row>
    <row r="461" spans="1:16" ht="17.25" thickTop="1" thickBot="1" x14ac:dyDescent="0.3">
      <c r="A461" s="791"/>
      <c r="B461" s="792" t="s">
        <v>378</v>
      </c>
      <c r="C461" s="793">
        <f>++C451+C454+C455+C456+C457</f>
        <v>224667</v>
      </c>
      <c r="D461" s="793">
        <f t="shared" ref="D461:O461" si="199">++D451+D454+D455+D456+D457</f>
        <v>41199</v>
      </c>
      <c r="E461" s="793">
        <f t="shared" si="199"/>
        <v>956777</v>
      </c>
      <c r="F461" s="793">
        <f t="shared" si="199"/>
        <v>0</v>
      </c>
      <c r="G461" s="793">
        <f t="shared" si="199"/>
        <v>0</v>
      </c>
      <c r="H461" s="793">
        <f t="shared" si="199"/>
        <v>1222643</v>
      </c>
      <c r="I461" s="793">
        <f t="shared" si="199"/>
        <v>6073</v>
      </c>
      <c r="J461" s="793">
        <f t="shared" si="199"/>
        <v>0</v>
      </c>
      <c r="K461" s="793">
        <f t="shared" si="199"/>
        <v>0</v>
      </c>
      <c r="L461" s="793">
        <f t="shared" si="199"/>
        <v>6073</v>
      </c>
      <c r="M461" s="793">
        <f t="shared" si="199"/>
        <v>1228716</v>
      </c>
      <c r="N461" s="793">
        <f t="shared" si="199"/>
        <v>0</v>
      </c>
      <c r="O461" s="793">
        <f t="shared" si="199"/>
        <v>1228716</v>
      </c>
    </row>
    <row r="462" spans="1:16" ht="17.25" thickTop="1" thickBot="1" x14ac:dyDescent="0.3">
      <c r="A462" s="791"/>
      <c r="B462" s="792" t="s">
        <v>377</v>
      </c>
      <c r="C462" s="793">
        <f t="shared" ref="C462:O462" si="200">+C452+C459</f>
        <v>3542</v>
      </c>
      <c r="D462" s="793">
        <f t="shared" si="200"/>
        <v>917</v>
      </c>
      <c r="E462" s="793">
        <f t="shared" si="200"/>
        <v>0</v>
      </c>
      <c r="F462" s="793">
        <f t="shared" si="200"/>
        <v>0</v>
      </c>
      <c r="G462" s="793">
        <f t="shared" si="200"/>
        <v>0</v>
      </c>
      <c r="H462" s="793">
        <f t="shared" si="200"/>
        <v>4459</v>
      </c>
      <c r="I462" s="793">
        <f t="shared" si="200"/>
        <v>0</v>
      </c>
      <c r="J462" s="793">
        <f t="shared" si="200"/>
        <v>0</v>
      </c>
      <c r="K462" s="793">
        <f t="shared" si="200"/>
        <v>0</v>
      </c>
      <c r="L462" s="793">
        <f t="shared" si="200"/>
        <v>0</v>
      </c>
      <c r="M462" s="793">
        <f t="shared" si="200"/>
        <v>4459</v>
      </c>
      <c r="N462" s="793">
        <f t="shared" si="200"/>
        <v>0</v>
      </c>
      <c r="O462" s="793">
        <f t="shared" si="200"/>
        <v>4459</v>
      </c>
    </row>
    <row r="463" spans="1:16" ht="16.5" thickTop="1" x14ac:dyDescent="0.25">
      <c r="A463" s="817" t="s">
        <v>15</v>
      </c>
      <c r="B463" s="818" t="s">
        <v>391</v>
      </c>
      <c r="C463" s="819"/>
      <c r="D463" s="820"/>
      <c r="E463" s="820"/>
      <c r="F463" s="821"/>
      <c r="G463" s="820"/>
      <c r="H463" s="822"/>
      <c r="I463" s="823"/>
      <c r="J463" s="821"/>
      <c r="K463" s="821"/>
      <c r="L463" s="822"/>
      <c r="M463" s="822"/>
      <c r="N463" s="822"/>
      <c r="O463" s="822"/>
    </row>
    <row r="464" spans="1:16" x14ac:dyDescent="0.25">
      <c r="A464" s="771"/>
      <c r="B464" s="724" t="s">
        <v>347</v>
      </c>
      <c r="C464" s="800">
        <f>SUM(C465)</f>
        <v>45180</v>
      </c>
      <c r="D464" s="800">
        <f>SUM(D465)</f>
        <v>7634</v>
      </c>
      <c r="E464" s="800">
        <f>SUM(E465)</f>
        <v>36811</v>
      </c>
      <c r="F464" s="800">
        <f t="shared" ref="F464:G464" si="201">SUM(F465)</f>
        <v>0</v>
      </c>
      <c r="G464" s="800">
        <f t="shared" si="201"/>
        <v>0</v>
      </c>
      <c r="H464" s="776">
        <f>SUM(C464:G464)</f>
        <v>89625</v>
      </c>
      <c r="I464" s="777">
        <f>SUM(I465)</f>
        <v>39</v>
      </c>
      <c r="J464" s="775">
        <f t="shared" ref="J464:K464" si="202">SUM(J465)</f>
        <v>0</v>
      </c>
      <c r="K464" s="775">
        <f t="shared" si="202"/>
        <v>0</v>
      </c>
      <c r="L464" s="776">
        <f>SUM(I464:K464)</f>
        <v>39</v>
      </c>
      <c r="M464" s="778">
        <f>SUM(H464+L464)</f>
        <v>89664</v>
      </c>
      <c r="N464" s="778"/>
      <c r="O464" s="778">
        <f>SUM(M464+N464)</f>
        <v>89664</v>
      </c>
    </row>
    <row r="465" spans="1:15" s="788" customFormat="1" x14ac:dyDescent="0.25">
      <c r="A465" s="779"/>
      <c r="B465" s="780" t="s">
        <v>386</v>
      </c>
      <c r="C465" s="805">
        <v>45180</v>
      </c>
      <c r="D465" s="806">
        <v>7634</v>
      </c>
      <c r="E465" s="782">
        <v>36811</v>
      </c>
      <c r="F465" s="834"/>
      <c r="G465" s="806"/>
      <c r="H465" s="784">
        <f>SUM(C465:G465)</f>
        <v>89625</v>
      </c>
      <c r="I465" s="794">
        <v>39</v>
      </c>
      <c r="J465" s="783"/>
      <c r="K465" s="783"/>
      <c r="L465" s="784">
        <f>SUM(I465:K465)</f>
        <v>39</v>
      </c>
      <c r="M465" s="787">
        <f>SUM(H465+L465)</f>
        <v>89664</v>
      </c>
      <c r="N465" s="787"/>
      <c r="O465" s="787">
        <f>SUM(M465+N465)</f>
        <v>89664</v>
      </c>
    </row>
    <row r="466" spans="1:15" s="788" customFormat="1" x14ac:dyDescent="0.25">
      <c r="A466" s="779"/>
      <c r="B466" s="780" t="s">
        <v>132</v>
      </c>
      <c r="C466" s="805"/>
      <c r="D466" s="806"/>
      <c r="E466" s="782"/>
      <c r="F466" s="834"/>
      <c r="G466" s="806"/>
      <c r="H466" s="784"/>
      <c r="I466" s="794"/>
      <c r="J466" s="783"/>
      <c r="K466" s="783"/>
      <c r="L466" s="784"/>
      <c r="M466" s="787"/>
      <c r="N466" s="787"/>
      <c r="O466" s="787"/>
    </row>
    <row r="467" spans="1:15" s="788" customFormat="1" ht="47.25" x14ac:dyDescent="0.25">
      <c r="A467" s="779"/>
      <c r="B467" s="724" t="s">
        <v>1518</v>
      </c>
      <c r="C467" s="835">
        <v>2289</v>
      </c>
      <c r="D467" s="836">
        <v>365</v>
      </c>
      <c r="E467" s="811"/>
      <c r="F467" s="837"/>
      <c r="G467" s="836"/>
      <c r="H467" s="797">
        <f t="shared" ref="H467:H470" si="203">SUM(C467:G467)</f>
        <v>2654</v>
      </c>
      <c r="I467" s="815"/>
      <c r="J467" s="812"/>
      <c r="K467" s="812"/>
      <c r="L467" s="797">
        <f t="shared" ref="L467:L470" si="204">SUM(I467:K467)</f>
        <v>0</v>
      </c>
      <c r="M467" s="798">
        <f t="shared" ref="M467:M470" si="205">SUM(H467+L467)</f>
        <v>2654</v>
      </c>
      <c r="N467" s="798"/>
      <c r="O467" s="798">
        <f t="shared" ref="O467:O470" si="206">SUM(M467+N467)</f>
        <v>2654</v>
      </c>
    </row>
    <row r="468" spans="1:15" s="788" customFormat="1" x14ac:dyDescent="0.25">
      <c r="A468" s="779"/>
      <c r="B468" s="724" t="s">
        <v>1330</v>
      </c>
      <c r="C468" s="835">
        <v>250</v>
      </c>
      <c r="D468" s="836">
        <v>38</v>
      </c>
      <c r="E468" s="811"/>
      <c r="F468" s="837"/>
      <c r="G468" s="836"/>
      <c r="H468" s="797">
        <f t="shared" si="203"/>
        <v>288</v>
      </c>
      <c r="I468" s="815"/>
      <c r="J468" s="812"/>
      <c r="K468" s="812"/>
      <c r="L468" s="797">
        <f t="shared" si="204"/>
        <v>0</v>
      </c>
      <c r="M468" s="798">
        <f t="shared" si="205"/>
        <v>288</v>
      </c>
      <c r="N468" s="798"/>
      <c r="O468" s="798">
        <f t="shared" si="206"/>
        <v>288</v>
      </c>
    </row>
    <row r="469" spans="1:15" s="788" customFormat="1" ht="31.5" x14ac:dyDescent="0.25">
      <c r="A469" s="779"/>
      <c r="B469" s="724" t="s">
        <v>565</v>
      </c>
      <c r="C469" s="835"/>
      <c r="D469" s="836"/>
      <c r="E469" s="811">
        <v>-219</v>
      </c>
      <c r="F469" s="837"/>
      <c r="G469" s="836"/>
      <c r="H469" s="797">
        <f t="shared" si="203"/>
        <v>-219</v>
      </c>
      <c r="I469" s="815">
        <v>219</v>
      </c>
      <c r="J469" s="812"/>
      <c r="K469" s="812"/>
      <c r="L469" s="797">
        <f t="shared" si="204"/>
        <v>219</v>
      </c>
      <c r="M469" s="798">
        <f t="shared" si="205"/>
        <v>0</v>
      </c>
      <c r="N469" s="798"/>
      <c r="O469" s="798">
        <f t="shared" si="206"/>
        <v>0</v>
      </c>
    </row>
    <row r="470" spans="1:15" s="788" customFormat="1" ht="32.25" thickBot="1" x14ac:dyDescent="0.3">
      <c r="A470" s="779"/>
      <c r="B470" s="724" t="s">
        <v>1327</v>
      </c>
      <c r="C470" s="835">
        <v>-632</v>
      </c>
      <c r="D470" s="836">
        <v>-104</v>
      </c>
      <c r="E470" s="811"/>
      <c r="F470" s="837"/>
      <c r="G470" s="836"/>
      <c r="H470" s="797">
        <f t="shared" si="203"/>
        <v>-736</v>
      </c>
      <c r="I470" s="815"/>
      <c r="J470" s="812"/>
      <c r="K470" s="812"/>
      <c r="L470" s="797">
        <f t="shared" si="204"/>
        <v>0</v>
      </c>
      <c r="M470" s="798">
        <f t="shared" si="205"/>
        <v>-736</v>
      </c>
      <c r="N470" s="798"/>
      <c r="O470" s="798">
        <f t="shared" si="206"/>
        <v>-736</v>
      </c>
    </row>
    <row r="471" spans="1:15" ht="17.25" thickTop="1" thickBot="1" x14ac:dyDescent="0.3">
      <c r="A471" s="791"/>
      <c r="B471" s="838" t="s">
        <v>379</v>
      </c>
      <c r="C471" s="839">
        <f>+C464+C467+C468+C469+C470</f>
        <v>47087</v>
      </c>
      <c r="D471" s="839">
        <f t="shared" ref="D471:O471" si="207">+D464+D467+D468+D469+D470</f>
        <v>7933</v>
      </c>
      <c r="E471" s="839">
        <f t="shared" si="207"/>
        <v>36592</v>
      </c>
      <c r="F471" s="839">
        <f t="shared" si="207"/>
        <v>0</v>
      </c>
      <c r="G471" s="839">
        <f t="shared" si="207"/>
        <v>0</v>
      </c>
      <c r="H471" s="839">
        <f t="shared" si="207"/>
        <v>91612</v>
      </c>
      <c r="I471" s="839">
        <f t="shared" si="207"/>
        <v>258</v>
      </c>
      <c r="J471" s="839">
        <f t="shared" si="207"/>
        <v>0</v>
      </c>
      <c r="K471" s="839">
        <f t="shared" si="207"/>
        <v>0</v>
      </c>
      <c r="L471" s="839">
        <f t="shared" si="207"/>
        <v>258</v>
      </c>
      <c r="M471" s="839">
        <f t="shared" si="207"/>
        <v>91870</v>
      </c>
      <c r="N471" s="839">
        <f t="shared" si="207"/>
        <v>0</v>
      </c>
      <c r="O471" s="839">
        <f t="shared" si="207"/>
        <v>91870</v>
      </c>
    </row>
    <row r="472" spans="1:15" ht="17.25" thickTop="1" thickBot="1" x14ac:dyDescent="0.3">
      <c r="A472" s="791"/>
      <c r="B472" s="792" t="s">
        <v>385</v>
      </c>
      <c r="C472" s="793">
        <f>+C465+C467+C468+C469+C470</f>
        <v>47087</v>
      </c>
      <c r="D472" s="793">
        <f t="shared" ref="D472:O472" si="208">+D465+D467+D468+D469+D470</f>
        <v>7933</v>
      </c>
      <c r="E472" s="793">
        <f t="shared" si="208"/>
        <v>36592</v>
      </c>
      <c r="F472" s="793">
        <f t="shared" si="208"/>
        <v>0</v>
      </c>
      <c r="G472" s="793">
        <f t="shared" si="208"/>
        <v>0</v>
      </c>
      <c r="H472" s="793">
        <f t="shared" si="208"/>
        <v>91612</v>
      </c>
      <c r="I472" s="793">
        <f t="shared" si="208"/>
        <v>258</v>
      </c>
      <c r="J472" s="793">
        <f t="shared" si="208"/>
        <v>0</v>
      </c>
      <c r="K472" s="793">
        <f t="shared" si="208"/>
        <v>0</v>
      </c>
      <c r="L472" s="793">
        <f t="shared" si="208"/>
        <v>258</v>
      </c>
      <c r="M472" s="793">
        <f t="shared" si="208"/>
        <v>91870</v>
      </c>
      <c r="N472" s="793">
        <f t="shared" si="208"/>
        <v>0</v>
      </c>
      <c r="O472" s="793">
        <f t="shared" si="208"/>
        <v>91870</v>
      </c>
    </row>
    <row r="473" spans="1:15" ht="16.5" thickTop="1" x14ac:dyDescent="0.25">
      <c r="A473" s="771" t="s">
        <v>16</v>
      </c>
      <c r="B473" s="799" t="s">
        <v>390</v>
      </c>
      <c r="C473" s="800"/>
      <c r="D473" s="801"/>
      <c r="E473" s="774"/>
      <c r="F473" s="803"/>
      <c r="G473" s="801"/>
      <c r="H473" s="776"/>
      <c r="I473" s="802"/>
      <c r="J473" s="803"/>
      <c r="K473" s="803"/>
      <c r="L473" s="776"/>
      <c r="M473" s="804"/>
      <c r="N473" s="804"/>
      <c r="O473" s="804"/>
    </row>
    <row r="474" spans="1:15" x14ac:dyDescent="0.25">
      <c r="A474" s="771"/>
      <c r="B474" s="724" t="s">
        <v>347</v>
      </c>
      <c r="C474" s="800">
        <f>SUM(C475:C476)</f>
        <v>268279</v>
      </c>
      <c r="D474" s="800">
        <f>SUM(D475:D476)</f>
        <v>50690</v>
      </c>
      <c r="E474" s="800">
        <f>SUM(E475:E476)</f>
        <v>97840</v>
      </c>
      <c r="F474" s="803"/>
      <c r="G474" s="801"/>
      <c r="H474" s="776">
        <f>SUM(C474:G474)</f>
        <v>416809</v>
      </c>
      <c r="I474" s="777">
        <f>SUM(I475:I476)</f>
        <v>13433</v>
      </c>
      <c r="J474" s="777">
        <f>SUM(J475:J476)</f>
        <v>0</v>
      </c>
      <c r="K474" s="777">
        <f>SUM(K475:K476)</f>
        <v>0</v>
      </c>
      <c r="L474" s="776">
        <f>SUM(I474:K474)</f>
        <v>13433</v>
      </c>
      <c r="M474" s="778">
        <f>SUM(H474+L474)</f>
        <v>430242</v>
      </c>
      <c r="N474" s="778"/>
      <c r="O474" s="778">
        <f>SUM(M474+N474)</f>
        <v>430242</v>
      </c>
    </row>
    <row r="475" spans="1:15" s="788" customFormat="1" x14ac:dyDescent="0.25">
      <c r="A475" s="779"/>
      <c r="B475" s="780" t="s">
        <v>381</v>
      </c>
      <c r="C475" s="805">
        <v>265237</v>
      </c>
      <c r="D475" s="806">
        <v>49703</v>
      </c>
      <c r="E475" s="782">
        <v>96990</v>
      </c>
      <c r="F475" s="834"/>
      <c r="G475" s="840"/>
      <c r="H475" s="841">
        <f>SUM(C475:G475)</f>
        <v>411930</v>
      </c>
      <c r="I475" s="794">
        <v>13433</v>
      </c>
      <c r="J475" s="783"/>
      <c r="K475" s="840"/>
      <c r="L475" s="784">
        <f>SUM(I475:K475)</f>
        <v>13433</v>
      </c>
      <c r="M475" s="787">
        <f>SUM(H475+L475)</f>
        <v>425363</v>
      </c>
      <c r="N475" s="787"/>
      <c r="O475" s="787">
        <f>SUM(M475+N475)</f>
        <v>425363</v>
      </c>
    </row>
    <row r="476" spans="1:15" s="788" customFormat="1" x14ac:dyDescent="0.25">
      <c r="A476" s="779"/>
      <c r="B476" s="780" t="s">
        <v>380</v>
      </c>
      <c r="C476" s="805">
        <v>3042</v>
      </c>
      <c r="D476" s="806">
        <v>987</v>
      </c>
      <c r="E476" s="782">
        <v>850</v>
      </c>
      <c r="F476" s="834"/>
      <c r="G476" s="842"/>
      <c r="H476" s="841">
        <f>SUM(C476:G476)</f>
        <v>4879</v>
      </c>
      <c r="I476" s="794"/>
      <c r="J476" s="783"/>
      <c r="K476" s="840"/>
      <c r="L476" s="784">
        <f>SUM(I476:K476)</f>
        <v>0</v>
      </c>
      <c r="M476" s="787">
        <f>SUM(H476+L476)</f>
        <v>4879</v>
      </c>
      <c r="N476" s="787"/>
      <c r="O476" s="787">
        <f>SUM(M476+N476)</f>
        <v>4879</v>
      </c>
    </row>
    <row r="477" spans="1:15" s="788" customFormat="1" x14ac:dyDescent="0.25">
      <c r="A477" s="779"/>
      <c r="B477" s="780" t="s">
        <v>131</v>
      </c>
      <c r="C477" s="805"/>
      <c r="D477" s="806"/>
      <c r="E477" s="782"/>
      <c r="F477" s="834"/>
      <c r="G477" s="842"/>
      <c r="H477" s="841"/>
      <c r="I477" s="794"/>
      <c r="J477" s="783"/>
      <c r="K477" s="840"/>
      <c r="L477" s="784"/>
      <c r="M477" s="787"/>
      <c r="N477" s="787"/>
      <c r="O477" s="787"/>
    </row>
    <row r="478" spans="1:15" s="788" customFormat="1" ht="31.5" x14ac:dyDescent="0.25">
      <c r="A478" s="779"/>
      <c r="B478" s="724" t="s">
        <v>1325</v>
      </c>
      <c r="C478" s="835">
        <v>125</v>
      </c>
      <c r="D478" s="836">
        <v>20</v>
      </c>
      <c r="E478" s="811"/>
      <c r="F478" s="837"/>
      <c r="G478" s="843"/>
      <c r="H478" s="844">
        <f t="shared" ref="H478:H484" si="209">SUM(C478:G478)</f>
        <v>145</v>
      </c>
      <c r="I478" s="815"/>
      <c r="J478" s="812"/>
      <c r="K478" s="845"/>
      <c r="L478" s="797">
        <f t="shared" ref="L478:L484" si="210">SUM(I478:K478)</f>
        <v>0</v>
      </c>
      <c r="M478" s="798">
        <f t="shared" ref="M478:M484" si="211">SUM(H478+L478)</f>
        <v>145</v>
      </c>
      <c r="N478" s="798"/>
      <c r="O478" s="798">
        <f t="shared" ref="O478:O484" si="212">SUM(M478+N478)</f>
        <v>145</v>
      </c>
    </row>
    <row r="479" spans="1:15" s="788" customFormat="1" ht="47.25" x14ac:dyDescent="0.25">
      <c r="A479" s="779"/>
      <c r="B479" s="724" t="s">
        <v>1518</v>
      </c>
      <c r="C479" s="835">
        <v>13123</v>
      </c>
      <c r="D479" s="836">
        <v>2100</v>
      </c>
      <c r="E479" s="811"/>
      <c r="F479" s="837"/>
      <c r="G479" s="843"/>
      <c r="H479" s="844">
        <f t="shared" si="209"/>
        <v>15223</v>
      </c>
      <c r="I479" s="815"/>
      <c r="J479" s="812"/>
      <c r="K479" s="845"/>
      <c r="L479" s="797">
        <f t="shared" si="210"/>
        <v>0</v>
      </c>
      <c r="M479" s="798">
        <f t="shared" si="211"/>
        <v>15223</v>
      </c>
      <c r="N479" s="798"/>
      <c r="O479" s="798">
        <f t="shared" si="212"/>
        <v>15223</v>
      </c>
    </row>
    <row r="480" spans="1:15" s="788" customFormat="1" ht="63" x14ac:dyDescent="0.25">
      <c r="A480" s="779"/>
      <c r="B480" s="724" t="s">
        <v>1326</v>
      </c>
      <c r="C480" s="835">
        <v>229</v>
      </c>
      <c r="D480" s="836">
        <v>40</v>
      </c>
      <c r="E480" s="811"/>
      <c r="F480" s="837"/>
      <c r="G480" s="843"/>
      <c r="H480" s="844">
        <f t="shared" si="209"/>
        <v>269</v>
      </c>
      <c r="I480" s="815"/>
      <c r="J480" s="812"/>
      <c r="K480" s="845"/>
      <c r="L480" s="797">
        <f t="shared" si="210"/>
        <v>0</v>
      </c>
      <c r="M480" s="798">
        <f t="shared" si="211"/>
        <v>269</v>
      </c>
      <c r="N480" s="798"/>
      <c r="O480" s="798">
        <f t="shared" si="212"/>
        <v>269</v>
      </c>
    </row>
    <row r="481" spans="1:16" s="788" customFormat="1" ht="31.5" x14ac:dyDescent="0.25">
      <c r="A481" s="779"/>
      <c r="B481" s="724" t="s">
        <v>565</v>
      </c>
      <c r="C481" s="835"/>
      <c r="D481" s="836"/>
      <c r="E481" s="811">
        <v>-1595</v>
      </c>
      <c r="F481" s="837"/>
      <c r="G481" s="843"/>
      <c r="H481" s="844">
        <f t="shared" si="209"/>
        <v>-1595</v>
      </c>
      <c r="I481" s="815">
        <v>1595</v>
      </c>
      <c r="J481" s="812"/>
      <c r="K481" s="845"/>
      <c r="L481" s="797">
        <f t="shared" si="210"/>
        <v>1595</v>
      </c>
      <c r="M481" s="798">
        <f t="shared" si="211"/>
        <v>0</v>
      </c>
      <c r="N481" s="798"/>
      <c r="O481" s="798">
        <f t="shared" si="212"/>
        <v>0</v>
      </c>
    </row>
    <row r="482" spans="1:16" s="788" customFormat="1" ht="31.5" x14ac:dyDescent="0.25">
      <c r="A482" s="779"/>
      <c r="B482" s="724" t="s">
        <v>960</v>
      </c>
      <c r="C482" s="835">
        <v>161</v>
      </c>
      <c r="D482" s="836">
        <v>25</v>
      </c>
      <c r="E482" s="811">
        <v>49930</v>
      </c>
      <c r="F482" s="837">
        <v>10446</v>
      </c>
      <c r="G482" s="843"/>
      <c r="H482" s="844">
        <f t="shared" si="209"/>
        <v>60562</v>
      </c>
      <c r="I482" s="815"/>
      <c r="J482" s="812"/>
      <c r="K482" s="845"/>
      <c r="L482" s="797">
        <f t="shared" si="210"/>
        <v>0</v>
      </c>
      <c r="M482" s="798">
        <f t="shared" si="211"/>
        <v>60562</v>
      </c>
      <c r="N482" s="798"/>
      <c r="O482" s="798">
        <f t="shared" si="212"/>
        <v>60562</v>
      </c>
    </row>
    <row r="483" spans="1:16" s="788" customFormat="1" ht="31.5" x14ac:dyDescent="0.25">
      <c r="A483" s="816"/>
      <c r="B483" s="724" t="s">
        <v>1327</v>
      </c>
      <c r="C483" s="810">
        <v>-3022</v>
      </c>
      <c r="D483" s="811">
        <v>-528</v>
      </c>
      <c r="E483" s="811"/>
      <c r="F483" s="812"/>
      <c r="G483" s="845"/>
      <c r="H483" s="844">
        <f t="shared" si="209"/>
        <v>-3550</v>
      </c>
      <c r="I483" s="815"/>
      <c r="J483" s="812"/>
      <c r="K483" s="845"/>
      <c r="L483" s="797">
        <f t="shared" si="210"/>
        <v>0</v>
      </c>
      <c r="M483" s="797">
        <f t="shared" si="211"/>
        <v>-3550</v>
      </c>
      <c r="N483" s="797"/>
      <c r="O483" s="797">
        <f t="shared" si="212"/>
        <v>-3550</v>
      </c>
    </row>
    <row r="484" spans="1:16" s="788" customFormat="1" ht="78.75" x14ac:dyDescent="0.25">
      <c r="A484" s="816"/>
      <c r="B484" s="772" t="s">
        <v>1367</v>
      </c>
      <c r="C484" s="810">
        <v>11845</v>
      </c>
      <c r="D484" s="811">
        <v>1836</v>
      </c>
      <c r="E484" s="811"/>
      <c r="F484" s="812"/>
      <c r="G484" s="845"/>
      <c r="H484" s="844">
        <f t="shared" si="209"/>
        <v>13681</v>
      </c>
      <c r="I484" s="815"/>
      <c r="J484" s="812"/>
      <c r="K484" s="845"/>
      <c r="L484" s="797">
        <f t="shared" si="210"/>
        <v>0</v>
      </c>
      <c r="M484" s="797">
        <f t="shared" si="211"/>
        <v>13681</v>
      </c>
      <c r="N484" s="797"/>
      <c r="O484" s="797">
        <f t="shared" si="212"/>
        <v>13681</v>
      </c>
    </row>
    <row r="485" spans="1:16" s="788" customFormat="1" x14ac:dyDescent="0.25">
      <c r="A485" s="816"/>
      <c r="B485" s="796" t="s">
        <v>132</v>
      </c>
      <c r="C485" s="810"/>
      <c r="D485" s="811"/>
      <c r="E485" s="811"/>
      <c r="F485" s="812"/>
      <c r="G485" s="845"/>
      <c r="H485" s="844"/>
      <c r="I485" s="815"/>
      <c r="J485" s="812"/>
      <c r="K485" s="845"/>
      <c r="L485" s="797"/>
      <c r="M485" s="797"/>
      <c r="N485" s="797"/>
      <c r="O485" s="797"/>
    </row>
    <row r="486" spans="1:16" s="788" customFormat="1" x14ac:dyDescent="0.25">
      <c r="A486" s="779"/>
      <c r="B486" s="724" t="s">
        <v>1330</v>
      </c>
      <c r="C486" s="835">
        <v>1792</v>
      </c>
      <c r="D486" s="836">
        <v>269</v>
      </c>
      <c r="E486" s="811"/>
      <c r="F486" s="837"/>
      <c r="G486" s="843"/>
      <c r="H486" s="844">
        <f>SUM(C486:G486)</f>
        <v>2061</v>
      </c>
      <c r="I486" s="815"/>
      <c r="J486" s="812"/>
      <c r="K486" s="845"/>
      <c r="L486" s="797">
        <f>SUM(I486:K486)</f>
        <v>0</v>
      </c>
      <c r="M486" s="798">
        <f>SUM(H486+L486)</f>
        <v>2061</v>
      </c>
      <c r="N486" s="798"/>
      <c r="O486" s="798">
        <f>SUM(M486+N486)</f>
        <v>2061</v>
      </c>
    </row>
    <row r="487" spans="1:16" s="788" customFormat="1" ht="78.75" x14ac:dyDescent="0.25">
      <c r="A487" s="779"/>
      <c r="B487" s="724" t="s">
        <v>1368</v>
      </c>
      <c r="C487" s="835"/>
      <c r="D487" s="836"/>
      <c r="E487" s="811">
        <v>40</v>
      </c>
      <c r="F487" s="837"/>
      <c r="G487" s="843"/>
      <c r="H487" s="844">
        <f>SUM(C487:G487)</f>
        <v>40</v>
      </c>
      <c r="I487" s="815"/>
      <c r="J487" s="812"/>
      <c r="K487" s="845"/>
      <c r="L487" s="797">
        <f>SUM(I487:K487)</f>
        <v>0</v>
      </c>
      <c r="M487" s="798">
        <f>SUM(H487+L487)</f>
        <v>40</v>
      </c>
      <c r="N487" s="798"/>
      <c r="O487" s="798">
        <f>SUM(M487+N487)</f>
        <v>40</v>
      </c>
    </row>
    <row r="488" spans="1:16" s="788" customFormat="1" ht="31.5" x14ac:dyDescent="0.25">
      <c r="A488" s="779"/>
      <c r="B488" s="772" t="s">
        <v>961</v>
      </c>
      <c r="C488" s="835"/>
      <c r="D488" s="836"/>
      <c r="E488" s="811">
        <v>2628</v>
      </c>
      <c r="F488" s="837"/>
      <c r="G488" s="843"/>
      <c r="H488" s="844">
        <f>SUM(C488:G488)</f>
        <v>2628</v>
      </c>
      <c r="I488" s="815">
        <v>2866</v>
      </c>
      <c r="J488" s="812"/>
      <c r="K488" s="845"/>
      <c r="L488" s="797">
        <f>SUM(I488:K488)</f>
        <v>2866</v>
      </c>
      <c r="M488" s="798">
        <f>SUM(H488+L488)</f>
        <v>5494</v>
      </c>
      <c r="N488" s="798"/>
      <c r="O488" s="798">
        <f>SUM(M488+N488)</f>
        <v>5494</v>
      </c>
    </row>
    <row r="489" spans="1:16" s="788" customFormat="1" ht="95.25" thickBot="1" x14ac:dyDescent="0.3">
      <c r="A489" s="779"/>
      <c r="B489" s="724" t="s">
        <v>1369</v>
      </c>
      <c r="C489" s="835"/>
      <c r="D489" s="836"/>
      <c r="E489" s="811">
        <v>100</v>
      </c>
      <c r="F489" s="837"/>
      <c r="G489" s="843"/>
      <c r="H489" s="844">
        <f>SUM(C489:G489)</f>
        <v>100</v>
      </c>
      <c r="I489" s="815"/>
      <c r="J489" s="812"/>
      <c r="K489" s="845"/>
      <c r="L489" s="797">
        <f>SUM(I489:K489)</f>
        <v>0</v>
      </c>
      <c r="M489" s="798">
        <f>SUM(H489+L489)</f>
        <v>100</v>
      </c>
      <c r="N489" s="798"/>
      <c r="O489" s="798">
        <f>SUM(M489+N489)</f>
        <v>100</v>
      </c>
    </row>
    <row r="490" spans="1:16" ht="17.25" thickTop="1" thickBot="1" x14ac:dyDescent="0.3">
      <c r="A490" s="791"/>
      <c r="B490" s="792" t="s">
        <v>379</v>
      </c>
      <c r="C490" s="793">
        <f>+C474+C478+C479+C480+C486+C487+C488+C481+C482+C483+C489+C484</f>
        <v>292532</v>
      </c>
      <c r="D490" s="793">
        <f t="shared" ref="D490:O490" si="213">+D474+D478+D479+D480+D486+D487+D488+D481+D482+D483+D489+D484</f>
        <v>54452</v>
      </c>
      <c r="E490" s="793">
        <f t="shared" si="213"/>
        <v>148943</v>
      </c>
      <c r="F490" s="793">
        <f t="shared" si="213"/>
        <v>10446</v>
      </c>
      <c r="G490" s="793">
        <f t="shared" si="213"/>
        <v>0</v>
      </c>
      <c r="H490" s="793">
        <f t="shared" si="213"/>
        <v>506373</v>
      </c>
      <c r="I490" s="793">
        <f t="shared" si="213"/>
        <v>17894</v>
      </c>
      <c r="J490" s="793">
        <f t="shared" si="213"/>
        <v>0</v>
      </c>
      <c r="K490" s="793">
        <f t="shared" si="213"/>
        <v>0</v>
      </c>
      <c r="L490" s="793">
        <f t="shared" si="213"/>
        <v>17894</v>
      </c>
      <c r="M490" s="793">
        <f t="shared" si="213"/>
        <v>524267</v>
      </c>
      <c r="N490" s="793">
        <f t="shared" si="213"/>
        <v>0</v>
      </c>
      <c r="O490" s="793">
        <f t="shared" si="213"/>
        <v>524267</v>
      </c>
      <c r="P490" s="698">
        <f>O491+O492</f>
        <v>524267</v>
      </c>
    </row>
    <row r="491" spans="1:16" ht="17.25" thickTop="1" thickBot="1" x14ac:dyDescent="0.3">
      <c r="A491" s="791"/>
      <c r="B491" s="792" t="s">
        <v>378</v>
      </c>
      <c r="C491" s="793">
        <f>+C475+C478+C479+C480+C481+C482+C483+C484</f>
        <v>287698</v>
      </c>
      <c r="D491" s="793">
        <f t="shared" ref="D491:O491" si="214">+D475+D478+D479+D480+D481+D482+D483+D484</f>
        <v>53196</v>
      </c>
      <c r="E491" s="793">
        <f t="shared" si="214"/>
        <v>145325</v>
      </c>
      <c r="F491" s="793">
        <f t="shared" si="214"/>
        <v>10446</v>
      </c>
      <c r="G491" s="793">
        <f t="shared" si="214"/>
        <v>0</v>
      </c>
      <c r="H491" s="793">
        <f t="shared" si="214"/>
        <v>496665</v>
      </c>
      <c r="I491" s="793">
        <f t="shared" si="214"/>
        <v>15028</v>
      </c>
      <c r="J491" s="793">
        <f t="shared" si="214"/>
        <v>0</v>
      </c>
      <c r="K491" s="793">
        <f t="shared" si="214"/>
        <v>0</v>
      </c>
      <c r="L491" s="793">
        <f t="shared" si="214"/>
        <v>15028</v>
      </c>
      <c r="M491" s="793">
        <f t="shared" si="214"/>
        <v>511693</v>
      </c>
      <c r="N491" s="793">
        <f t="shared" si="214"/>
        <v>0</v>
      </c>
      <c r="O491" s="793">
        <f t="shared" si="214"/>
        <v>511693</v>
      </c>
    </row>
    <row r="492" spans="1:16" ht="17.25" thickTop="1" thickBot="1" x14ac:dyDescent="0.3">
      <c r="A492" s="791"/>
      <c r="B492" s="792" t="s">
        <v>377</v>
      </c>
      <c r="C492" s="793">
        <f t="shared" ref="C492:O492" si="215">+C476+C486+C487+C488+C489</f>
        <v>4834</v>
      </c>
      <c r="D492" s="793">
        <f t="shared" si="215"/>
        <v>1256</v>
      </c>
      <c r="E492" s="793">
        <f t="shared" si="215"/>
        <v>3618</v>
      </c>
      <c r="F492" s="793">
        <f t="shared" si="215"/>
        <v>0</v>
      </c>
      <c r="G492" s="793">
        <f t="shared" si="215"/>
        <v>0</v>
      </c>
      <c r="H492" s="793">
        <f t="shared" si="215"/>
        <v>9708</v>
      </c>
      <c r="I492" s="793">
        <f t="shared" si="215"/>
        <v>2866</v>
      </c>
      <c r="J492" s="793">
        <f t="shared" si="215"/>
        <v>0</v>
      </c>
      <c r="K492" s="793">
        <f t="shared" si="215"/>
        <v>0</v>
      </c>
      <c r="L492" s="793">
        <f t="shared" si="215"/>
        <v>2866</v>
      </c>
      <c r="M492" s="793">
        <f t="shared" si="215"/>
        <v>12574</v>
      </c>
      <c r="N492" s="793">
        <f t="shared" si="215"/>
        <v>0</v>
      </c>
      <c r="O492" s="793">
        <f t="shared" si="215"/>
        <v>12574</v>
      </c>
    </row>
    <row r="493" spans="1:16" ht="16.5" thickTop="1" x14ac:dyDescent="0.25">
      <c r="A493" s="771" t="s">
        <v>17</v>
      </c>
      <c r="B493" s="799" t="s">
        <v>389</v>
      </c>
      <c r="C493" s="800"/>
      <c r="D493" s="801"/>
      <c r="E493" s="774"/>
      <c r="F493" s="803"/>
      <c r="G493" s="801"/>
      <c r="H493" s="776"/>
      <c r="I493" s="802"/>
      <c r="J493" s="803"/>
      <c r="K493" s="803"/>
      <c r="L493" s="776"/>
      <c r="M493" s="804"/>
      <c r="N493" s="804"/>
      <c r="O493" s="804"/>
    </row>
    <row r="494" spans="1:16" x14ac:dyDescent="0.25">
      <c r="A494" s="771"/>
      <c r="B494" s="724" t="s">
        <v>347</v>
      </c>
      <c r="C494" s="800">
        <f>SUM(C495:C496)</f>
        <v>436212</v>
      </c>
      <c r="D494" s="800">
        <f>SUM(D495:D496)</f>
        <v>81352</v>
      </c>
      <c r="E494" s="800">
        <f>SUM(E495:E496)</f>
        <v>413927</v>
      </c>
      <c r="F494" s="803"/>
      <c r="G494" s="801"/>
      <c r="H494" s="776">
        <f t="shared" ref="H494:H503" si="216">SUM(C494:G494)</f>
        <v>931491</v>
      </c>
      <c r="I494" s="777">
        <f>SUM(I495:I496)</f>
        <v>14800</v>
      </c>
      <c r="J494" s="777">
        <f>SUM(J495:J496)</f>
        <v>1851</v>
      </c>
      <c r="K494" s="775"/>
      <c r="L494" s="776">
        <f t="shared" ref="L494:L503" si="217">SUM(I494:K494)</f>
        <v>16651</v>
      </c>
      <c r="M494" s="778">
        <f t="shared" ref="M494:M503" si="218">SUM(H494+L494)</f>
        <v>948142</v>
      </c>
      <c r="N494" s="778"/>
      <c r="O494" s="778">
        <f t="shared" ref="O494:O503" si="219">SUM(M494+N494)</f>
        <v>948142</v>
      </c>
      <c r="P494" s="698"/>
    </row>
    <row r="495" spans="1:16" s="788" customFormat="1" x14ac:dyDescent="0.25">
      <c r="A495" s="779"/>
      <c r="B495" s="780" t="s">
        <v>381</v>
      </c>
      <c r="C495" s="805">
        <v>432006</v>
      </c>
      <c r="D495" s="806">
        <v>79985</v>
      </c>
      <c r="E495" s="782">
        <v>413912</v>
      </c>
      <c r="F495" s="834"/>
      <c r="G495" s="806"/>
      <c r="H495" s="784">
        <f t="shared" si="216"/>
        <v>925903</v>
      </c>
      <c r="I495" s="794">
        <v>14800</v>
      </c>
      <c r="J495" s="783">
        <v>1851</v>
      </c>
      <c r="K495" s="783"/>
      <c r="L495" s="784">
        <f t="shared" si="217"/>
        <v>16651</v>
      </c>
      <c r="M495" s="787">
        <f t="shared" si="218"/>
        <v>942554</v>
      </c>
      <c r="N495" s="787"/>
      <c r="O495" s="787">
        <f t="shared" si="219"/>
        <v>942554</v>
      </c>
    </row>
    <row r="496" spans="1:16" s="788" customFormat="1" x14ac:dyDescent="0.25">
      <c r="A496" s="846"/>
      <c r="B496" s="780" t="s">
        <v>380</v>
      </c>
      <c r="C496" s="847">
        <v>4206</v>
      </c>
      <c r="D496" s="848">
        <v>1367</v>
      </c>
      <c r="E496" s="849">
        <v>15</v>
      </c>
      <c r="F496" s="831"/>
      <c r="G496" s="848"/>
      <c r="H496" s="778">
        <f t="shared" si="216"/>
        <v>5588</v>
      </c>
      <c r="I496" s="789"/>
      <c r="J496" s="790"/>
      <c r="K496" s="790"/>
      <c r="L496" s="778">
        <f t="shared" si="217"/>
        <v>0</v>
      </c>
      <c r="M496" s="778">
        <f t="shared" si="218"/>
        <v>5588</v>
      </c>
      <c r="N496" s="778"/>
      <c r="O496" s="778">
        <f t="shared" si="219"/>
        <v>5588</v>
      </c>
    </row>
    <row r="497" spans="1:16" s="788" customFormat="1" x14ac:dyDescent="0.25">
      <c r="A497" s="816"/>
      <c r="B497" s="796" t="s">
        <v>131</v>
      </c>
      <c r="C497" s="794"/>
      <c r="D497" s="782"/>
      <c r="E497" s="782"/>
      <c r="F497" s="782"/>
      <c r="G497" s="794"/>
      <c r="H497" s="778">
        <f t="shared" si="216"/>
        <v>0</v>
      </c>
      <c r="I497" s="777"/>
      <c r="J497" s="774"/>
      <c r="K497" s="777"/>
      <c r="L497" s="778">
        <f t="shared" si="217"/>
        <v>0</v>
      </c>
      <c r="M497" s="778">
        <f t="shared" si="218"/>
        <v>0</v>
      </c>
      <c r="N497" s="778"/>
      <c r="O497" s="778">
        <f t="shared" si="219"/>
        <v>0</v>
      </c>
    </row>
    <row r="498" spans="1:16" ht="31.5" x14ac:dyDescent="0.25">
      <c r="A498" s="850"/>
      <c r="B498" s="724" t="s">
        <v>1325</v>
      </c>
      <c r="C498" s="815">
        <v>54</v>
      </c>
      <c r="D498" s="811">
        <v>9</v>
      </c>
      <c r="E498" s="811"/>
      <c r="F498" s="811"/>
      <c r="G498" s="815"/>
      <c r="H498" s="798">
        <f t="shared" si="216"/>
        <v>63</v>
      </c>
      <c r="I498" s="815"/>
      <c r="J498" s="811"/>
      <c r="K498" s="815"/>
      <c r="L498" s="798">
        <f t="shared" si="217"/>
        <v>0</v>
      </c>
      <c r="M498" s="798">
        <f t="shared" si="218"/>
        <v>63</v>
      </c>
      <c r="N498" s="798"/>
      <c r="O498" s="798">
        <f t="shared" si="219"/>
        <v>63</v>
      </c>
    </row>
    <row r="499" spans="1:16" ht="47.25" x14ac:dyDescent="0.25">
      <c r="A499" s="850"/>
      <c r="B499" s="724" t="s">
        <v>1518</v>
      </c>
      <c r="C499" s="815">
        <v>14505</v>
      </c>
      <c r="D499" s="811">
        <v>2322</v>
      </c>
      <c r="E499" s="811"/>
      <c r="F499" s="811"/>
      <c r="G499" s="815"/>
      <c r="H499" s="798">
        <f t="shared" si="216"/>
        <v>16827</v>
      </c>
      <c r="I499" s="815"/>
      <c r="J499" s="811"/>
      <c r="K499" s="815"/>
      <c r="L499" s="798">
        <f t="shared" si="217"/>
        <v>0</v>
      </c>
      <c r="M499" s="798">
        <f t="shared" si="218"/>
        <v>16827</v>
      </c>
      <c r="N499" s="798"/>
      <c r="O499" s="798">
        <f t="shared" si="219"/>
        <v>16827</v>
      </c>
    </row>
    <row r="500" spans="1:16" ht="31.5" x14ac:dyDescent="0.25">
      <c r="A500" s="850"/>
      <c r="B500" s="724" t="s">
        <v>565</v>
      </c>
      <c r="C500" s="815"/>
      <c r="D500" s="811"/>
      <c r="E500" s="811">
        <v>-1088</v>
      </c>
      <c r="F500" s="811"/>
      <c r="G500" s="815"/>
      <c r="H500" s="798">
        <f t="shared" si="216"/>
        <v>-1088</v>
      </c>
      <c r="I500" s="815">
        <v>1087</v>
      </c>
      <c r="J500" s="811">
        <v>1</v>
      </c>
      <c r="K500" s="815"/>
      <c r="L500" s="798">
        <f t="shared" si="217"/>
        <v>1088</v>
      </c>
      <c r="M500" s="798">
        <f t="shared" si="218"/>
        <v>0</v>
      </c>
      <c r="N500" s="798"/>
      <c r="O500" s="798">
        <f t="shared" si="219"/>
        <v>0</v>
      </c>
    </row>
    <row r="501" spans="1:16" ht="31.5" x14ac:dyDescent="0.25">
      <c r="A501" s="850"/>
      <c r="B501" s="724" t="s">
        <v>1327</v>
      </c>
      <c r="C501" s="815">
        <v>-6913</v>
      </c>
      <c r="D501" s="811">
        <v>-1383</v>
      </c>
      <c r="E501" s="811"/>
      <c r="F501" s="811"/>
      <c r="G501" s="815"/>
      <c r="H501" s="798">
        <f t="shared" si="216"/>
        <v>-8296</v>
      </c>
      <c r="I501" s="815"/>
      <c r="J501" s="811"/>
      <c r="K501" s="815"/>
      <c r="L501" s="798">
        <f t="shared" si="217"/>
        <v>0</v>
      </c>
      <c r="M501" s="798">
        <f t="shared" si="218"/>
        <v>-8296</v>
      </c>
      <c r="N501" s="798"/>
      <c r="O501" s="798">
        <f t="shared" si="219"/>
        <v>-8296</v>
      </c>
    </row>
    <row r="502" spans="1:16" ht="78.75" x14ac:dyDescent="0.25">
      <c r="A502" s="850"/>
      <c r="B502" s="772" t="s">
        <v>1367</v>
      </c>
      <c r="C502" s="815">
        <v>11944</v>
      </c>
      <c r="D502" s="811">
        <v>1852</v>
      </c>
      <c r="E502" s="811"/>
      <c r="F502" s="811"/>
      <c r="G502" s="815"/>
      <c r="H502" s="798">
        <f t="shared" si="216"/>
        <v>13796</v>
      </c>
      <c r="I502" s="815"/>
      <c r="J502" s="811"/>
      <c r="K502" s="815"/>
      <c r="L502" s="798">
        <f t="shared" si="217"/>
        <v>0</v>
      </c>
      <c r="M502" s="798">
        <f t="shared" si="218"/>
        <v>13796</v>
      </c>
      <c r="N502" s="798"/>
      <c r="O502" s="798">
        <f t="shared" si="219"/>
        <v>13796</v>
      </c>
    </row>
    <row r="503" spans="1:16" ht="31.5" x14ac:dyDescent="0.25">
      <c r="A503" s="850"/>
      <c r="B503" s="772" t="s">
        <v>1370</v>
      </c>
      <c r="C503" s="815"/>
      <c r="D503" s="811"/>
      <c r="E503" s="811">
        <v>-57404</v>
      </c>
      <c r="F503" s="811"/>
      <c r="G503" s="815"/>
      <c r="H503" s="797">
        <f t="shared" si="216"/>
        <v>-57404</v>
      </c>
      <c r="I503" s="815"/>
      <c r="J503" s="811"/>
      <c r="K503" s="815"/>
      <c r="L503" s="797">
        <f t="shared" si="217"/>
        <v>0</v>
      </c>
      <c r="M503" s="797">
        <f t="shared" si="218"/>
        <v>-57404</v>
      </c>
      <c r="N503" s="797"/>
      <c r="O503" s="797">
        <f t="shared" si="219"/>
        <v>-57404</v>
      </c>
    </row>
    <row r="504" spans="1:16" s="788" customFormat="1" x14ac:dyDescent="0.25">
      <c r="A504" s="816"/>
      <c r="B504" s="796" t="s">
        <v>132</v>
      </c>
      <c r="C504" s="794"/>
      <c r="D504" s="782"/>
      <c r="E504" s="782"/>
      <c r="F504" s="782"/>
      <c r="G504" s="794"/>
      <c r="H504" s="776"/>
      <c r="I504" s="777"/>
      <c r="J504" s="774"/>
      <c r="K504" s="777"/>
      <c r="L504" s="776"/>
      <c r="M504" s="776"/>
      <c r="N504" s="776"/>
      <c r="O504" s="776"/>
    </row>
    <row r="505" spans="1:16" x14ac:dyDescent="0.25">
      <c r="A505" s="850"/>
      <c r="B505" s="724" t="s">
        <v>1330</v>
      </c>
      <c r="C505" s="815">
        <v>2534</v>
      </c>
      <c r="D505" s="811">
        <v>380</v>
      </c>
      <c r="E505" s="811"/>
      <c r="F505" s="811"/>
      <c r="G505" s="815"/>
      <c r="H505" s="798">
        <f>SUM(C505:G505)</f>
        <v>2914</v>
      </c>
      <c r="I505" s="815"/>
      <c r="J505" s="811"/>
      <c r="K505" s="815"/>
      <c r="L505" s="798">
        <f>SUM(I505:K505)</f>
        <v>0</v>
      </c>
      <c r="M505" s="798">
        <f>SUM(H505+L505)</f>
        <v>2914</v>
      </c>
      <c r="N505" s="798"/>
      <c r="O505" s="798">
        <f>SUM(M505+N505)</f>
        <v>2914</v>
      </c>
    </row>
    <row r="506" spans="1:16" ht="32.25" thickBot="1" x14ac:dyDescent="0.3">
      <c r="A506" s="850"/>
      <c r="B506" s="772" t="s">
        <v>961</v>
      </c>
      <c r="C506" s="815"/>
      <c r="D506" s="811"/>
      <c r="E506" s="811">
        <v>14</v>
      </c>
      <c r="F506" s="811"/>
      <c r="G506" s="815"/>
      <c r="H506" s="798">
        <f>SUM(C506:G506)</f>
        <v>14</v>
      </c>
      <c r="I506" s="815"/>
      <c r="J506" s="811"/>
      <c r="K506" s="815"/>
      <c r="L506" s="798">
        <f>SUM(I506:K506)</f>
        <v>0</v>
      </c>
      <c r="M506" s="798">
        <f>SUM(H506+L506)</f>
        <v>14</v>
      </c>
      <c r="N506" s="798"/>
      <c r="O506" s="798">
        <f>SUM(M506+N506)</f>
        <v>14</v>
      </c>
    </row>
    <row r="507" spans="1:16" ht="17.25" thickTop="1" thickBot="1" x14ac:dyDescent="0.3">
      <c r="A507" s="791"/>
      <c r="B507" s="792" t="s">
        <v>379</v>
      </c>
      <c r="C507" s="793">
        <f t="shared" ref="C507:O507" si="220">+C494+C498+C499+C500+C505+C506+C501+C502+C503</f>
        <v>458336</v>
      </c>
      <c r="D507" s="793">
        <f t="shared" si="220"/>
        <v>84532</v>
      </c>
      <c r="E507" s="793">
        <f t="shared" si="220"/>
        <v>355449</v>
      </c>
      <c r="F507" s="793">
        <f t="shared" si="220"/>
        <v>0</v>
      </c>
      <c r="G507" s="793">
        <f t="shared" si="220"/>
        <v>0</v>
      </c>
      <c r="H507" s="793">
        <f t="shared" si="220"/>
        <v>898317</v>
      </c>
      <c r="I507" s="793">
        <f t="shared" si="220"/>
        <v>15887</v>
      </c>
      <c r="J507" s="793">
        <f t="shared" si="220"/>
        <v>1852</v>
      </c>
      <c r="K507" s="793">
        <f t="shared" si="220"/>
        <v>0</v>
      </c>
      <c r="L507" s="793">
        <f t="shared" si="220"/>
        <v>17739</v>
      </c>
      <c r="M507" s="793">
        <f t="shared" si="220"/>
        <v>916056</v>
      </c>
      <c r="N507" s="793">
        <f t="shared" si="220"/>
        <v>0</v>
      </c>
      <c r="O507" s="793">
        <f t="shared" si="220"/>
        <v>916056</v>
      </c>
      <c r="P507" s="698">
        <f>O508+O509</f>
        <v>916056</v>
      </c>
    </row>
    <row r="508" spans="1:16" ht="17.25" thickTop="1" thickBot="1" x14ac:dyDescent="0.3">
      <c r="A508" s="791"/>
      <c r="B508" s="792" t="s">
        <v>378</v>
      </c>
      <c r="C508" s="793">
        <f t="shared" ref="C508:O508" si="221">+C495+C498+C499+C500+C501+C502+C503</f>
        <v>451596</v>
      </c>
      <c r="D508" s="793">
        <f t="shared" si="221"/>
        <v>82785</v>
      </c>
      <c r="E508" s="793">
        <f t="shared" si="221"/>
        <v>355420</v>
      </c>
      <c r="F508" s="793">
        <f t="shared" si="221"/>
        <v>0</v>
      </c>
      <c r="G508" s="793">
        <f t="shared" si="221"/>
        <v>0</v>
      </c>
      <c r="H508" s="793">
        <f t="shared" si="221"/>
        <v>889801</v>
      </c>
      <c r="I508" s="793">
        <f t="shared" si="221"/>
        <v>15887</v>
      </c>
      <c r="J508" s="793">
        <f t="shared" si="221"/>
        <v>1852</v>
      </c>
      <c r="K508" s="793">
        <f t="shared" si="221"/>
        <v>0</v>
      </c>
      <c r="L508" s="793">
        <f t="shared" si="221"/>
        <v>17739</v>
      </c>
      <c r="M508" s="793">
        <f t="shared" si="221"/>
        <v>907540</v>
      </c>
      <c r="N508" s="793">
        <f t="shared" si="221"/>
        <v>0</v>
      </c>
      <c r="O508" s="793">
        <f t="shared" si="221"/>
        <v>907540</v>
      </c>
    </row>
    <row r="509" spans="1:16" ht="17.25" thickTop="1" thickBot="1" x14ac:dyDescent="0.3">
      <c r="A509" s="791"/>
      <c r="B509" s="792" t="s">
        <v>377</v>
      </c>
      <c r="C509" s="793">
        <f t="shared" ref="C509:O509" si="222">+C496+C505+C506</f>
        <v>6740</v>
      </c>
      <c r="D509" s="793">
        <f t="shared" si="222"/>
        <v>1747</v>
      </c>
      <c r="E509" s="793">
        <f t="shared" si="222"/>
        <v>29</v>
      </c>
      <c r="F509" s="793">
        <f t="shared" si="222"/>
        <v>0</v>
      </c>
      <c r="G509" s="793">
        <f t="shared" si="222"/>
        <v>0</v>
      </c>
      <c r="H509" s="793">
        <f t="shared" si="222"/>
        <v>8516</v>
      </c>
      <c r="I509" s="793">
        <f t="shared" si="222"/>
        <v>0</v>
      </c>
      <c r="J509" s="793">
        <f t="shared" si="222"/>
        <v>0</v>
      </c>
      <c r="K509" s="793">
        <f t="shared" si="222"/>
        <v>0</v>
      </c>
      <c r="L509" s="793">
        <f t="shared" si="222"/>
        <v>0</v>
      </c>
      <c r="M509" s="793">
        <f t="shared" si="222"/>
        <v>8516</v>
      </c>
      <c r="N509" s="793">
        <f t="shared" si="222"/>
        <v>0</v>
      </c>
      <c r="O509" s="793">
        <f t="shared" si="222"/>
        <v>8516</v>
      </c>
    </row>
    <row r="510" spans="1:16" ht="36.75" customHeight="1" thickTop="1" x14ac:dyDescent="0.25">
      <c r="A510" s="771" t="s">
        <v>18</v>
      </c>
      <c r="B510" s="799" t="s">
        <v>569</v>
      </c>
      <c r="C510" s="800"/>
      <c r="D510" s="801"/>
      <c r="E510" s="774"/>
      <c r="F510" s="803"/>
      <c r="G510" s="801"/>
      <c r="H510" s="776"/>
      <c r="I510" s="802"/>
      <c r="J510" s="803"/>
      <c r="K510" s="803"/>
      <c r="L510" s="776"/>
      <c r="M510" s="804"/>
      <c r="N510" s="804"/>
      <c r="O510" s="804"/>
    </row>
    <row r="511" spans="1:16" x14ac:dyDescent="0.25">
      <c r="A511" s="795"/>
      <c r="B511" s="772" t="s">
        <v>347</v>
      </c>
      <c r="C511" s="773">
        <f>SUM(C512)</f>
        <v>28152</v>
      </c>
      <c r="D511" s="773">
        <f>SUM(D512)</f>
        <v>4739</v>
      </c>
      <c r="E511" s="773">
        <f>SUM(E512)</f>
        <v>18344</v>
      </c>
      <c r="F511" s="775"/>
      <c r="G511" s="774"/>
      <c r="H511" s="776">
        <f>SUM(C511:G511)</f>
        <v>51235</v>
      </c>
      <c r="I511" s="777"/>
      <c r="J511" s="775"/>
      <c r="K511" s="775"/>
      <c r="L511" s="776">
        <f>SUM(I511:K511)</f>
        <v>0</v>
      </c>
      <c r="M511" s="778">
        <f>SUM(H511+L511)</f>
        <v>51235</v>
      </c>
      <c r="N511" s="778"/>
      <c r="O511" s="778">
        <f>SUM(M511+N511)</f>
        <v>51235</v>
      </c>
    </row>
    <row r="512" spans="1:16" s="788" customFormat="1" x14ac:dyDescent="0.25">
      <c r="A512" s="816"/>
      <c r="B512" s="780" t="s">
        <v>386</v>
      </c>
      <c r="C512" s="781">
        <v>28152</v>
      </c>
      <c r="D512" s="782">
        <v>4739</v>
      </c>
      <c r="E512" s="782">
        <v>18344</v>
      </c>
      <c r="F512" s="783"/>
      <c r="G512" s="840"/>
      <c r="H512" s="784">
        <f>SUM(C512:G512)</f>
        <v>51235</v>
      </c>
      <c r="I512" s="794"/>
      <c r="J512" s="783"/>
      <c r="K512" s="840"/>
      <c r="L512" s="797">
        <f>SUM(I512:K512)</f>
        <v>0</v>
      </c>
      <c r="M512" s="787">
        <f>SUM(H512+L512)</f>
        <v>51235</v>
      </c>
      <c r="N512" s="787"/>
      <c r="O512" s="787">
        <f>SUM(M512+N512)</f>
        <v>51235</v>
      </c>
    </row>
    <row r="513" spans="1:15" s="788" customFormat="1" x14ac:dyDescent="0.25">
      <c r="A513" s="816"/>
      <c r="B513" s="796" t="s">
        <v>132</v>
      </c>
      <c r="C513" s="781"/>
      <c r="D513" s="782"/>
      <c r="E513" s="782"/>
      <c r="F513" s="783"/>
      <c r="G513" s="840"/>
      <c r="H513" s="784"/>
      <c r="I513" s="794"/>
      <c r="J513" s="783"/>
      <c r="K513" s="840"/>
      <c r="L513" s="797"/>
      <c r="M513" s="784"/>
      <c r="N513" s="784"/>
      <c r="O513" s="784"/>
    </row>
    <row r="514" spans="1:15" s="788" customFormat="1" ht="47.25" x14ac:dyDescent="0.25">
      <c r="A514" s="816"/>
      <c r="B514" s="724" t="s">
        <v>1518</v>
      </c>
      <c r="C514" s="810">
        <v>838</v>
      </c>
      <c r="D514" s="811">
        <v>134</v>
      </c>
      <c r="E514" s="811"/>
      <c r="F514" s="812"/>
      <c r="G514" s="845"/>
      <c r="H514" s="797">
        <f t="shared" ref="H514:H517" si="223">SUM(C514:G514)</f>
        <v>972</v>
      </c>
      <c r="I514" s="815"/>
      <c r="J514" s="812"/>
      <c r="K514" s="845"/>
      <c r="L514" s="797">
        <f t="shared" ref="L514:L517" si="224">SUM(I514:K514)</f>
        <v>0</v>
      </c>
      <c r="M514" s="797">
        <f t="shared" ref="M514:M517" si="225">SUM(H514+L514)</f>
        <v>972</v>
      </c>
      <c r="N514" s="797"/>
      <c r="O514" s="797">
        <f t="shared" ref="O514:O517" si="226">SUM(M514+N514)</f>
        <v>972</v>
      </c>
    </row>
    <row r="515" spans="1:15" s="788" customFormat="1" x14ac:dyDescent="0.25">
      <c r="A515" s="816"/>
      <c r="B515" s="724" t="s">
        <v>1330</v>
      </c>
      <c r="C515" s="810">
        <v>83</v>
      </c>
      <c r="D515" s="811">
        <v>12</v>
      </c>
      <c r="E515" s="811"/>
      <c r="F515" s="812"/>
      <c r="G515" s="845"/>
      <c r="H515" s="797">
        <f t="shared" si="223"/>
        <v>95</v>
      </c>
      <c r="I515" s="815"/>
      <c r="J515" s="812"/>
      <c r="K515" s="845"/>
      <c r="L515" s="797">
        <f t="shared" si="224"/>
        <v>0</v>
      </c>
      <c r="M515" s="798">
        <f t="shared" si="225"/>
        <v>95</v>
      </c>
      <c r="N515" s="798"/>
      <c r="O515" s="798">
        <f t="shared" si="226"/>
        <v>95</v>
      </c>
    </row>
    <row r="516" spans="1:15" s="788" customFormat="1" ht="31.5" x14ac:dyDescent="0.25">
      <c r="A516" s="816"/>
      <c r="B516" s="724" t="s">
        <v>1327</v>
      </c>
      <c r="C516" s="810">
        <v>-842</v>
      </c>
      <c r="D516" s="811">
        <v>-139</v>
      </c>
      <c r="E516" s="811"/>
      <c r="F516" s="812"/>
      <c r="G516" s="845"/>
      <c r="H516" s="797">
        <f t="shared" si="223"/>
        <v>-981</v>
      </c>
      <c r="I516" s="815"/>
      <c r="J516" s="812"/>
      <c r="K516" s="845"/>
      <c r="L516" s="797">
        <f t="shared" si="224"/>
        <v>0</v>
      </c>
      <c r="M516" s="798">
        <f t="shared" si="225"/>
        <v>-981</v>
      </c>
      <c r="N516" s="798"/>
      <c r="O516" s="798">
        <f t="shared" si="226"/>
        <v>-981</v>
      </c>
    </row>
    <row r="517" spans="1:15" s="788" customFormat="1" ht="32.25" thickBot="1" x14ac:dyDescent="0.3">
      <c r="A517" s="816"/>
      <c r="B517" s="772" t="s">
        <v>1370</v>
      </c>
      <c r="C517" s="810"/>
      <c r="D517" s="811"/>
      <c r="E517" s="811">
        <v>-8000</v>
      </c>
      <c r="F517" s="812"/>
      <c r="G517" s="845"/>
      <c r="H517" s="797">
        <f t="shared" si="223"/>
        <v>-8000</v>
      </c>
      <c r="I517" s="815"/>
      <c r="J517" s="812"/>
      <c r="K517" s="845"/>
      <c r="L517" s="797">
        <f t="shared" si="224"/>
        <v>0</v>
      </c>
      <c r="M517" s="798">
        <f t="shared" si="225"/>
        <v>-8000</v>
      </c>
      <c r="N517" s="798"/>
      <c r="O517" s="798">
        <f t="shared" si="226"/>
        <v>-8000</v>
      </c>
    </row>
    <row r="518" spans="1:15" ht="17.25" thickTop="1" thickBot="1" x14ac:dyDescent="0.3">
      <c r="A518" s="791"/>
      <c r="B518" s="792" t="s">
        <v>379</v>
      </c>
      <c r="C518" s="793">
        <f>+C511+C514+C515+C516+C517</f>
        <v>28231</v>
      </c>
      <c r="D518" s="793">
        <f t="shared" ref="D518:O518" si="227">+D511+D514+D515+D516+D517</f>
        <v>4746</v>
      </c>
      <c r="E518" s="793">
        <f t="shared" si="227"/>
        <v>10344</v>
      </c>
      <c r="F518" s="793">
        <f t="shared" si="227"/>
        <v>0</v>
      </c>
      <c r="G518" s="793">
        <f t="shared" si="227"/>
        <v>0</v>
      </c>
      <c r="H518" s="793">
        <f t="shared" si="227"/>
        <v>43321</v>
      </c>
      <c r="I518" s="793">
        <f t="shared" si="227"/>
        <v>0</v>
      </c>
      <c r="J518" s="793">
        <f t="shared" si="227"/>
        <v>0</v>
      </c>
      <c r="K518" s="793">
        <f t="shared" si="227"/>
        <v>0</v>
      </c>
      <c r="L518" s="793">
        <f t="shared" si="227"/>
        <v>0</v>
      </c>
      <c r="M518" s="793">
        <f t="shared" si="227"/>
        <v>43321</v>
      </c>
      <c r="N518" s="793">
        <f t="shared" si="227"/>
        <v>0</v>
      </c>
      <c r="O518" s="793">
        <f t="shared" si="227"/>
        <v>43321</v>
      </c>
    </row>
    <row r="519" spans="1:15" ht="17.25" thickTop="1" thickBot="1" x14ac:dyDescent="0.3">
      <c r="A519" s="791"/>
      <c r="B519" s="792" t="s">
        <v>385</v>
      </c>
      <c r="C519" s="793">
        <f>+C512+C514+C515+C516+C517</f>
        <v>28231</v>
      </c>
      <c r="D519" s="793">
        <f t="shared" ref="D519:O519" si="228">+D512+D514+D515+D516+D517</f>
        <v>4746</v>
      </c>
      <c r="E519" s="793">
        <f t="shared" si="228"/>
        <v>10344</v>
      </c>
      <c r="F519" s="793">
        <f t="shared" si="228"/>
        <v>0</v>
      </c>
      <c r="G519" s="793">
        <f t="shared" si="228"/>
        <v>0</v>
      </c>
      <c r="H519" s="793">
        <f t="shared" si="228"/>
        <v>43321</v>
      </c>
      <c r="I519" s="793">
        <f t="shared" si="228"/>
        <v>0</v>
      </c>
      <c r="J519" s="793">
        <f t="shared" si="228"/>
        <v>0</v>
      </c>
      <c r="K519" s="793">
        <f t="shared" si="228"/>
        <v>0</v>
      </c>
      <c r="L519" s="793">
        <f t="shared" si="228"/>
        <v>0</v>
      </c>
      <c r="M519" s="793">
        <f t="shared" si="228"/>
        <v>43321</v>
      </c>
      <c r="N519" s="793">
        <f t="shared" si="228"/>
        <v>0</v>
      </c>
      <c r="O519" s="793">
        <f t="shared" si="228"/>
        <v>43321</v>
      </c>
    </row>
    <row r="520" spans="1:15" ht="16.5" thickTop="1" x14ac:dyDescent="0.25">
      <c r="A520" s="771" t="s">
        <v>19</v>
      </c>
      <c r="B520" s="799" t="s">
        <v>388</v>
      </c>
      <c r="C520" s="800"/>
      <c r="D520" s="801"/>
      <c r="E520" s="774"/>
      <c r="F520" s="803"/>
      <c r="G520" s="801"/>
      <c r="H520" s="776"/>
      <c r="I520" s="802"/>
      <c r="J520" s="803"/>
      <c r="K520" s="803"/>
      <c r="L520" s="776"/>
      <c r="M520" s="804"/>
      <c r="N520" s="804"/>
      <c r="O520" s="804"/>
    </row>
    <row r="521" spans="1:15" x14ac:dyDescent="0.25">
      <c r="A521" s="795"/>
      <c r="B521" s="772" t="s">
        <v>347</v>
      </c>
      <c r="C521" s="773">
        <f>SUM(C522)</f>
        <v>183482</v>
      </c>
      <c r="D521" s="773">
        <f>SUM(D522)</f>
        <v>34209</v>
      </c>
      <c r="E521" s="773">
        <f>SUM(E522)</f>
        <v>111946</v>
      </c>
      <c r="F521" s="775"/>
      <c r="G521" s="774"/>
      <c r="H521" s="776">
        <f>SUM(C521:G521)</f>
        <v>329637</v>
      </c>
      <c r="I521" s="777">
        <f>SUM(I522)</f>
        <v>3813</v>
      </c>
      <c r="J521" s="775"/>
      <c r="K521" s="775">
        <f>SUM(K522)</f>
        <v>2770</v>
      </c>
      <c r="L521" s="776">
        <f>SUM(I521:K521)</f>
        <v>6583</v>
      </c>
      <c r="M521" s="778">
        <f>SUM(H521+L521)</f>
        <v>336220</v>
      </c>
      <c r="N521" s="778"/>
      <c r="O521" s="778">
        <f>SUM(M521+N521)</f>
        <v>336220</v>
      </c>
    </row>
    <row r="522" spans="1:15" s="788" customFormat="1" x14ac:dyDescent="0.25">
      <c r="A522" s="816"/>
      <c r="B522" s="780" t="s">
        <v>386</v>
      </c>
      <c r="C522" s="781">
        <v>183482</v>
      </c>
      <c r="D522" s="782">
        <v>34209</v>
      </c>
      <c r="E522" s="782">
        <v>111946</v>
      </c>
      <c r="F522" s="783"/>
      <c r="G522" s="840"/>
      <c r="H522" s="784">
        <f>SUM(C522:G522)</f>
        <v>329637</v>
      </c>
      <c r="I522" s="794">
        <v>3813</v>
      </c>
      <c r="J522" s="783"/>
      <c r="K522" s="840">
        <v>2770</v>
      </c>
      <c r="L522" s="784">
        <f>SUM(I522:K522)</f>
        <v>6583</v>
      </c>
      <c r="M522" s="787">
        <f>SUM(H522+L522)</f>
        <v>336220</v>
      </c>
      <c r="N522" s="787"/>
      <c r="O522" s="787">
        <f>SUM(M522+N522)</f>
        <v>336220</v>
      </c>
    </row>
    <row r="523" spans="1:15" s="788" customFormat="1" x14ac:dyDescent="0.25">
      <c r="A523" s="816"/>
      <c r="B523" s="780" t="s">
        <v>132</v>
      </c>
      <c r="C523" s="781"/>
      <c r="D523" s="782"/>
      <c r="E523" s="782"/>
      <c r="F523" s="783"/>
      <c r="G523" s="840"/>
      <c r="H523" s="784"/>
      <c r="I523" s="794"/>
      <c r="J523" s="783"/>
      <c r="K523" s="840"/>
      <c r="L523" s="784"/>
      <c r="M523" s="787"/>
      <c r="N523" s="787"/>
      <c r="O523" s="787"/>
    </row>
    <row r="524" spans="1:15" s="788" customFormat="1" ht="47.25" x14ac:dyDescent="0.25">
      <c r="A524" s="816"/>
      <c r="B524" s="724" t="s">
        <v>1518</v>
      </c>
      <c r="C524" s="810">
        <v>6478</v>
      </c>
      <c r="D524" s="811">
        <v>1036</v>
      </c>
      <c r="E524" s="811"/>
      <c r="F524" s="812"/>
      <c r="G524" s="845"/>
      <c r="H524" s="797">
        <f t="shared" ref="H524:H532" si="229">SUM(C524:G524)</f>
        <v>7514</v>
      </c>
      <c r="I524" s="815"/>
      <c r="J524" s="812"/>
      <c r="K524" s="845"/>
      <c r="L524" s="797">
        <f t="shared" ref="L524:L532" si="230">SUM(I524:K524)</f>
        <v>0</v>
      </c>
      <c r="M524" s="798">
        <f t="shared" ref="M524:M532" si="231">SUM(H524+L524)</f>
        <v>7514</v>
      </c>
      <c r="N524" s="798"/>
      <c r="O524" s="798">
        <f t="shared" ref="O524:O532" si="232">SUM(M524+N524)</f>
        <v>7514</v>
      </c>
    </row>
    <row r="525" spans="1:15" s="788" customFormat="1" x14ac:dyDescent="0.25">
      <c r="A525" s="816"/>
      <c r="B525" s="724" t="s">
        <v>1330</v>
      </c>
      <c r="C525" s="810">
        <v>917</v>
      </c>
      <c r="D525" s="811">
        <v>138</v>
      </c>
      <c r="E525" s="811"/>
      <c r="F525" s="812"/>
      <c r="G525" s="845"/>
      <c r="H525" s="797">
        <f t="shared" si="229"/>
        <v>1055</v>
      </c>
      <c r="I525" s="815"/>
      <c r="J525" s="812"/>
      <c r="K525" s="845"/>
      <c r="L525" s="797">
        <f t="shared" si="230"/>
        <v>0</v>
      </c>
      <c r="M525" s="798">
        <f t="shared" si="231"/>
        <v>1055</v>
      </c>
      <c r="N525" s="798"/>
      <c r="O525" s="798">
        <f t="shared" si="232"/>
        <v>1055</v>
      </c>
    </row>
    <row r="526" spans="1:15" s="788" customFormat="1" ht="31.5" x14ac:dyDescent="0.25">
      <c r="A526" s="816"/>
      <c r="B526" s="724" t="s">
        <v>565</v>
      </c>
      <c r="C526" s="810"/>
      <c r="D526" s="811"/>
      <c r="E526" s="811">
        <v>-973</v>
      </c>
      <c r="F526" s="812"/>
      <c r="G526" s="845"/>
      <c r="H526" s="797">
        <f t="shared" si="229"/>
        <v>-973</v>
      </c>
      <c r="I526" s="815">
        <v>3743</v>
      </c>
      <c r="J526" s="812"/>
      <c r="K526" s="845">
        <v>-2770</v>
      </c>
      <c r="L526" s="797">
        <f t="shared" si="230"/>
        <v>973</v>
      </c>
      <c r="M526" s="798">
        <f t="shared" si="231"/>
        <v>0</v>
      </c>
      <c r="N526" s="798"/>
      <c r="O526" s="798">
        <f t="shared" si="232"/>
        <v>0</v>
      </c>
    </row>
    <row r="527" spans="1:15" s="788" customFormat="1" ht="31.5" x14ac:dyDescent="0.25">
      <c r="A527" s="816"/>
      <c r="B527" s="724" t="s">
        <v>1327</v>
      </c>
      <c r="C527" s="810">
        <v>-2365</v>
      </c>
      <c r="D527" s="811">
        <v>-400</v>
      </c>
      <c r="E527" s="811"/>
      <c r="F527" s="812"/>
      <c r="G527" s="845"/>
      <c r="H527" s="797">
        <f t="shared" si="229"/>
        <v>-2765</v>
      </c>
      <c r="I527" s="815"/>
      <c r="J527" s="812"/>
      <c r="K527" s="845"/>
      <c r="L527" s="797">
        <f t="shared" si="230"/>
        <v>0</v>
      </c>
      <c r="M527" s="798">
        <f t="shared" si="231"/>
        <v>-2765</v>
      </c>
      <c r="N527" s="798"/>
      <c r="O527" s="798">
        <f t="shared" si="232"/>
        <v>-2765</v>
      </c>
    </row>
    <row r="528" spans="1:15" s="788" customFormat="1" ht="31.5" x14ac:dyDescent="0.25">
      <c r="A528" s="816"/>
      <c r="B528" s="724" t="s">
        <v>1371</v>
      </c>
      <c r="C528" s="810">
        <v>-126</v>
      </c>
      <c r="D528" s="811">
        <v>-20</v>
      </c>
      <c r="E528" s="811">
        <v>-1794</v>
      </c>
      <c r="F528" s="812"/>
      <c r="G528" s="845"/>
      <c r="H528" s="797">
        <f t="shared" si="229"/>
        <v>-1940</v>
      </c>
      <c r="I528" s="815"/>
      <c r="J528" s="812"/>
      <c r="K528" s="845"/>
      <c r="L528" s="797">
        <f t="shared" si="230"/>
        <v>0</v>
      </c>
      <c r="M528" s="798">
        <f t="shared" si="231"/>
        <v>-1940</v>
      </c>
      <c r="N528" s="798"/>
      <c r="O528" s="798">
        <f t="shared" si="232"/>
        <v>-1940</v>
      </c>
    </row>
    <row r="529" spans="1:15" s="788" customFormat="1" ht="31.5" x14ac:dyDescent="0.25">
      <c r="A529" s="816"/>
      <c r="B529" s="772" t="s">
        <v>1372</v>
      </c>
      <c r="C529" s="810">
        <v>38095</v>
      </c>
      <c r="D529" s="811">
        <v>5905</v>
      </c>
      <c r="E529" s="811">
        <v>26000</v>
      </c>
      <c r="F529" s="812"/>
      <c r="G529" s="845"/>
      <c r="H529" s="797">
        <f t="shared" si="229"/>
        <v>70000</v>
      </c>
      <c r="I529" s="815"/>
      <c r="J529" s="812"/>
      <c r="K529" s="845"/>
      <c r="L529" s="797">
        <f t="shared" si="230"/>
        <v>0</v>
      </c>
      <c r="M529" s="797">
        <f t="shared" si="231"/>
        <v>70000</v>
      </c>
      <c r="N529" s="797"/>
      <c r="O529" s="797">
        <f t="shared" si="232"/>
        <v>70000</v>
      </c>
    </row>
    <row r="530" spans="1:15" s="788" customFormat="1" ht="31.5" x14ac:dyDescent="0.25">
      <c r="A530" s="816"/>
      <c r="B530" s="772" t="s">
        <v>1373</v>
      </c>
      <c r="C530" s="810">
        <v>-38095</v>
      </c>
      <c r="D530" s="811">
        <v>-5905</v>
      </c>
      <c r="E530" s="811">
        <v>-3570</v>
      </c>
      <c r="F530" s="812"/>
      <c r="G530" s="845"/>
      <c r="H530" s="797">
        <f t="shared" si="229"/>
        <v>-47570</v>
      </c>
      <c r="I530" s="815"/>
      <c r="J530" s="812"/>
      <c r="K530" s="845"/>
      <c r="L530" s="797">
        <f t="shared" si="230"/>
        <v>0</v>
      </c>
      <c r="M530" s="797">
        <f t="shared" si="231"/>
        <v>-47570</v>
      </c>
      <c r="N530" s="797"/>
      <c r="O530" s="797">
        <f t="shared" si="232"/>
        <v>-47570</v>
      </c>
    </row>
    <row r="531" spans="1:15" s="788" customFormat="1" ht="31.5" x14ac:dyDescent="0.25">
      <c r="A531" s="816"/>
      <c r="B531" s="724" t="s">
        <v>1374</v>
      </c>
      <c r="C531" s="810"/>
      <c r="D531" s="811"/>
      <c r="E531" s="811">
        <v>-10000</v>
      </c>
      <c r="F531" s="812"/>
      <c r="G531" s="845"/>
      <c r="H531" s="797">
        <f t="shared" si="229"/>
        <v>-10000</v>
      </c>
      <c r="I531" s="815"/>
      <c r="J531" s="812"/>
      <c r="K531" s="845"/>
      <c r="L531" s="797">
        <f t="shared" si="230"/>
        <v>0</v>
      </c>
      <c r="M531" s="798">
        <f t="shared" si="231"/>
        <v>-10000</v>
      </c>
      <c r="N531" s="798"/>
      <c r="O531" s="798">
        <f t="shared" si="232"/>
        <v>-10000</v>
      </c>
    </row>
    <row r="532" spans="1:15" s="788" customFormat="1" ht="32.25" thickBot="1" x14ac:dyDescent="0.3">
      <c r="A532" s="816"/>
      <c r="B532" s="772" t="s">
        <v>961</v>
      </c>
      <c r="C532" s="810"/>
      <c r="D532" s="811"/>
      <c r="E532" s="811">
        <v>58</v>
      </c>
      <c r="F532" s="812"/>
      <c r="G532" s="845"/>
      <c r="H532" s="797">
        <f t="shared" si="229"/>
        <v>58</v>
      </c>
      <c r="I532" s="815"/>
      <c r="J532" s="812"/>
      <c r="K532" s="845"/>
      <c r="L532" s="797">
        <f t="shared" si="230"/>
        <v>0</v>
      </c>
      <c r="M532" s="798">
        <f t="shared" si="231"/>
        <v>58</v>
      </c>
      <c r="N532" s="798"/>
      <c r="O532" s="798">
        <f t="shared" si="232"/>
        <v>58</v>
      </c>
    </row>
    <row r="533" spans="1:15" ht="17.25" thickTop="1" thickBot="1" x14ac:dyDescent="0.3">
      <c r="A533" s="791"/>
      <c r="B533" s="792" t="s">
        <v>379</v>
      </c>
      <c r="C533" s="793">
        <f t="shared" ref="C533:O533" si="233">+C521+C524+C525+C526+C527+C528+C529+C530+C531+C532</f>
        <v>188386</v>
      </c>
      <c r="D533" s="793">
        <f t="shared" si="233"/>
        <v>34963</v>
      </c>
      <c r="E533" s="793">
        <f t="shared" si="233"/>
        <v>121667</v>
      </c>
      <c r="F533" s="793">
        <f t="shared" si="233"/>
        <v>0</v>
      </c>
      <c r="G533" s="793">
        <f t="shared" si="233"/>
        <v>0</v>
      </c>
      <c r="H533" s="793">
        <f t="shared" si="233"/>
        <v>345016</v>
      </c>
      <c r="I533" s="793">
        <f t="shared" si="233"/>
        <v>7556</v>
      </c>
      <c r="J533" s="793">
        <f t="shared" si="233"/>
        <v>0</v>
      </c>
      <c r="K533" s="793">
        <f t="shared" si="233"/>
        <v>0</v>
      </c>
      <c r="L533" s="793">
        <f t="shared" si="233"/>
        <v>7556</v>
      </c>
      <c r="M533" s="793">
        <f t="shared" si="233"/>
        <v>352572</v>
      </c>
      <c r="N533" s="793">
        <f t="shared" si="233"/>
        <v>0</v>
      </c>
      <c r="O533" s="793">
        <f t="shared" si="233"/>
        <v>352572</v>
      </c>
    </row>
    <row r="534" spans="1:15" ht="17.25" thickTop="1" thickBot="1" x14ac:dyDescent="0.3">
      <c r="A534" s="791"/>
      <c r="B534" s="792" t="s">
        <v>385</v>
      </c>
      <c r="C534" s="793">
        <f t="shared" ref="C534:O534" si="234">+C522+C524+C525+C526+C527+C528+C529+C530+C531+C532</f>
        <v>188386</v>
      </c>
      <c r="D534" s="793">
        <f t="shared" si="234"/>
        <v>34963</v>
      </c>
      <c r="E534" s="793">
        <f t="shared" si="234"/>
        <v>121667</v>
      </c>
      <c r="F534" s="793">
        <f t="shared" si="234"/>
        <v>0</v>
      </c>
      <c r="G534" s="793">
        <f t="shared" si="234"/>
        <v>0</v>
      </c>
      <c r="H534" s="793">
        <f t="shared" si="234"/>
        <v>345016</v>
      </c>
      <c r="I534" s="793">
        <f t="shared" si="234"/>
        <v>7556</v>
      </c>
      <c r="J534" s="793">
        <f t="shared" si="234"/>
        <v>0</v>
      </c>
      <c r="K534" s="793">
        <f t="shared" si="234"/>
        <v>0</v>
      </c>
      <c r="L534" s="793">
        <f t="shared" si="234"/>
        <v>7556</v>
      </c>
      <c r="M534" s="793">
        <f t="shared" si="234"/>
        <v>352572</v>
      </c>
      <c r="N534" s="793">
        <f t="shared" si="234"/>
        <v>0</v>
      </c>
      <c r="O534" s="793">
        <f t="shared" si="234"/>
        <v>352572</v>
      </c>
    </row>
    <row r="535" spans="1:15" ht="16.5" thickTop="1" x14ac:dyDescent="0.25">
      <c r="A535" s="771" t="s">
        <v>20</v>
      </c>
      <c r="B535" s="799" t="s">
        <v>387</v>
      </c>
      <c r="C535" s="800"/>
      <c r="D535" s="801"/>
      <c r="E535" s="774"/>
      <c r="F535" s="803"/>
      <c r="G535" s="801"/>
      <c r="H535" s="776"/>
      <c r="I535" s="802"/>
      <c r="J535" s="803"/>
      <c r="K535" s="803"/>
      <c r="L535" s="776"/>
      <c r="M535" s="804"/>
      <c r="N535" s="804"/>
      <c r="O535" s="804"/>
    </row>
    <row r="536" spans="1:15" x14ac:dyDescent="0.25">
      <c r="A536" s="771"/>
      <c r="B536" s="724" t="s">
        <v>347</v>
      </c>
      <c r="C536" s="800">
        <f>SUM(C537)</f>
        <v>553054</v>
      </c>
      <c r="D536" s="800">
        <f>SUM(D537)</f>
        <v>99804</v>
      </c>
      <c r="E536" s="800">
        <f>SUM(E537)</f>
        <v>668203</v>
      </c>
      <c r="F536" s="803"/>
      <c r="G536" s="801"/>
      <c r="H536" s="776">
        <f>SUM(C536:G536)</f>
        <v>1321061</v>
      </c>
      <c r="I536" s="777">
        <f>SUM(I537)</f>
        <v>31573</v>
      </c>
      <c r="J536" s="777">
        <f>SUM(J537)</f>
        <v>677</v>
      </c>
      <c r="K536" s="775"/>
      <c r="L536" s="776">
        <f>SUM(I536:K536)</f>
        <v>32250</v>
      </c>
      <c r="M536" s="778">
        <f>SUM(H536+L536)</f>
        <v>1353311</v>
      </c>
      <c r="N536" s="778"/>
      <c r="O536" s="778">
        <f>SUM(M536+N536)</f>
        <v>1353311</v>
      </c>
    </row>
    <row r="537" spans="1:15" s="788" customFormat="1" x14ac:dyDescent="0.25">
      <c r="A537" s="846"/>
      <c r="B537" s="780" t="s">
        <v>386</v>
      </c>
      <c r="C537" s="847">
        <v>553054</v>
      </c>
      <c r="D537" s="848">
        <v>99804</v>
      </c>
      <c r="E537" s="849">
        <v>668203</v>
      </c>
      <c r="F537" s="831"/>
      <c r="G537" s="848"/>
      <c r="H537" s="784">
        <f>SUM(C537:G537)</f>
        <v>1321061</v>
      </c>
      <c r="I537" s="794">
        <v>31573</v>
      </c>
      <c r="J537" s="783">
        <v>677</v>
      </c>
      <c r="K537" s="783"/>
      <c r="L537" s="784">
        <f>SUM(I537:K537)</f>
        <v>32250</v>
      </c>
      <c r="M537" s="787">
        <f>SUM(H537+L537)</f>
        <v>1353311</v>
      </c>
      <c r="N537" s="787"/>
      <c r="O537" s="787">
        <f>SUM(M537+N537)</f>
        <v>1353311</v>
      </c>
    </row>
    <row r="538" spans="1:15" s="788" customFormat="1" x14ac:dyDescent="0.25">
      <c r="A538" s="816"/>
      <c r="B538" s="780" t="s">
        <v>132</v>
      </c>
      <c r="C538" s="781"/>
      <c r="D538" s="782"/>
      <c r="E538" s="782"/>
      <c r="F538" s="783"/>
      <c r="G538" s="840"/>
      <c r="H538" s="784"/>
      <c r="I538" s="794"/>
      <c r="J538" s="783"/>
      <c r="K538" s="840"/>
      <c r="L538" s="784"/>
      <c r="M538" s="787"/>
      <c r="N538" s="787"/>
      <c r="O538" s="787"/>
    </row>
    <row r="539" spans="1:15" s="788" customFormat="1" ht="31.5" x14ac:dyDescent="0.25">
      <c r="A539" s="816"/>
      <c r="B539" s="724" t="s">
        <v>1325</v>
      </c>
      <c r="C539" s="810">
        <v>88</v>
      </c>
      <c r="D539" s="811">
        <v>15</v>
      </c>
      <c r="E539" s="811"/>
      <c r="F539" s="812"/>
      <c r="G539" s="845"/>
      <c r="H539" s="797">
        <f t="shared" ref="H539:H545" si="235">SUM(C539:G539)</f>
        <v>103</v>
      </c>
      <c r="I539" s="815"/>
      <c r="J539" s="812"/>
      <c r="K539" s="845"/>
      <c r="L539" s="797">
        <f t="shared" ref="L539:L545" si="236">SUM(I539:K539)</f>
        <v>0</v>
      </c>
      <c r="M539" s="798">
        <f t="shared" ref="M539:M545" si="237">SUM(H539+L539)</f>
        <v>103</v>
      </c>
      <c r="N539" s="798"/>
      <c r="O539" s="798">
        <f t="shared" ref="O539:O545" si="238">SUM(M539+N539)</f>
        <v>103</v>
      </c>
    </row>
    <row r="540" spans="1:15" s="788" customFormat="1" ht="47.25" x14ac:dyDescent="0.25">
      <c r="A540" s="816"/>
      <c r="B540" s="724" t="s">
        <v>1518</v>
      </c>
      <c r="C540" s="810">
        <v>13211</v>
      </c>
      <c r="D540" s="811">
        <v>2115</v>
      </c>
      <c r="E540" s="811"/>
      <c r="F540" s="812"/>
      <c r="G540" s="845"/>
      <c r="H540" s="797">
        <f t="shared" si="235"/>
        <v>15326</v>
      </c>
      <c r="I540" s="815"/>
      <c r="J540" s="812"/>
      <c r="K540" s="845"/>
      <c r="L540" s="797">
        <f t="shared" si="236"/>
        <v>0</v>
      </c>
      <c r="M540" s="798">
        <f t="shared" si="237"/>
        <v>15326</v>
      </c>
      <c r="N540" s="798"/>
      <c r="O540" s="798">
        <f t="shared" si="238"/>
        <v>15326</v>
      </c>
    </row>
    <row r="541" spans="1:15" s="788" customFormat="1" ht="78.75" x14ac:dyDescent="0.25">
      <c r="A541" s="816"/>
      <c r="B541" s="772" t="s">
        <v>1367</v>
      </c>
      <c r="C541" s="810">
        <v>3855</v>
      </c>
      <c r="D541" s="811">
        <v>597</v>
      </c>
      <c r="E541" s="811"/>
      <c r="F541" s="812"/>
      <c r="G541" s="845"/>
      <c r="H541" s="797">
        <f t="shared" si="235"/>
        <v>4452</v>
      </c>
      <c r="I541" s="815"/>
      <c r="J541" s="812"/>
      <c r="K541" s="845"/>
      <c r="L541" s="797">
        <f t="shared" si="236"/>
        <v>0</v>
      </c>
      <c r="M541" s="798">
        <f t="shared" si="237"/>
        <v>4452</v>
      </c>
      <c r="N541" s="798"/>
      <c r="O541" s="798">
        <f t="shared" si="238"/>
        <v>4452</v>
      </c>
    </row>
    <row r="542" spans="1:15" s="788" customFormat="1" x14ac:dyDescent="0.25">
      <c r="A542" s="816"/>
      <c r="B542" s="724" t="s">
        <v>1375</v>
      </c>
      <c r="C542" s="810"/>
      <c r="D542" s="811"/>
      <c r="E542" s="811">
        <v>3437</v>
      </c>
      <c r="F542" s="812"/>
      <c r="G542" s="845"/>
      <c r="H542" s="797">
        <f t="shared" si="235"/>
        <v>3437</v>
      </c>
      <c r="I542" s="815"/>
      <c r="J542" s="812"/>
      <c r="K542" s="845"/>
      <c r="L542" s="797">
        <f t="shared" si="236"/>
        <v>0</v>
      </c>
      <c r="M542" s="798">
        <f t="shared" si="237"/>
        <v>3437</v>
      </c>
      <c r="N542" s="798"/>
      <c r="O542" s="798">
        <f t="shared" si="238"/>
        <v>3437</v>
      </c>
    </row>
    <row r="543" spans="1:15" s="788" customFormat="1" ht="31.5" x14ac:dyDescent="0.25">
      <c r="A543" s="816"/>
      <c r="B543" s="724" t="s">
        <v>1376</v>
      </c>
      <c r="C543" s="810">
        <v>4329</v>
      </c>
      <c r="D543" s="811">
        <v>671</v>
      </c>
      <c r="E543" s="811">
        <v>11000</v>
      </c>
      <c r="F543" s="812"/>
      <c r="G543" s="845"/>
      <c r="H543" s="797">
        <f t="shared" si="235"/>
        <v>16000</v>
      </c>
      <c r="I543" s="815"/>
      <c r="J543" s="812"/>
      <c r="K543" s="845"/>
      <c r="L543" s="797">
        <f t="shared" si="236"/>
        <v>0</v>
      </c>
      <c r="M543" s="798">
        <f t="shared" si="237"/>
        <v>16000</v>
      </c>
      <c r="N543" s="798"/>
      <c r="O543" s="798">
        <f t="shared" si="238"/>
        <v>16000</v>
      </c>
    </row>
    <row r="544" spans="1:15" s="788" customFormat="1" ht="31.5" x14ac:dyDescent="0.25">
      <c r="A544" s="816"/>
      <c r="B544" s="724" t="s">
        <v>1374</v>
      </c>
      <c r="C544" s="810"/>
      <c r="D544" s="811"/>
      <c r="E544" s="811">
        <v>-100000</v>
      </c>
      <c r="F544" s="812"/>
      <c r="G544" s="845"/>
      <c r="H544" s="797">
        <f t="shared" si="235"/>
        <v>-100000</v>
      </c>
      <c r="I544" s="815"/>
      <c r="J544" s="812"/>
      <c r="K544" s="845"/>
      <c r="L544" s="797">
        <f t="shared" si="236"/>
        <v>0</v>
      </c>
      <c r="M544" s="798">
        <f t="shared" si="237"/>
        <v>-100000</v>
      </c>
      <c r="N544" s="798"/>
      <c r="O544" s="798">
        <f t="shared" si="238"/>
        <v>-100000</v>
      </c>
    </row>
    <row r="545" spans="1:15" s="788" customFormat="1" ht="32.25" thickBot="1" x14ac:dyDescent="0.3">
      <c r="A545" s="816"/>
      <c r="B545" s="724" t="s">
        <v>565</v>
      </c>
      <c r="C545" s="810">
        <v>-16988</v>
      </c>
      <c r="D545" s="811">
        <v>-2935</v>
      </c>
      <c r="E545" s="811">
        <v>19923</v>
      </c>
      <c r="F545" s="812"/>
      <c r="G545" s="845"/>
      <c r="H545" s="797">
        <f t="shared" si="235"/>
        <v>0</v>
      </c>
      <c r="I545" s="815"/>
      <c r="J545" s="812"/>
      <c r="K545" s="845"/>
      <c r="L545" s="797">
        <f t="shared" si="236"/>
        <v>0</v>
      </c>
      <c r="M545" s="798">
        <f t="shared" si="237"/>
        <v>0</v>
      </c>
      <c r="N545" s="798"/>
      <c r="O545" s="798">
        <f t="shared" si="238"/>
        <v>0</v>
      </c>
    </row>
    <row r="546" spans="1:15" ht="17.25" thickTop="1" thickBot="1" x14ac:dyDescent="0.3">
      <c r="A546" s="791"/>
      <c r="B546" s="792" t="s">
        <v>379</v>
      </c>
      <c r="C546" s="793">
        <f>+C536+C539+C540+C541+C542+C543+C544+C545</f>
        <v>557549</v>
      </c>
      <c r="D546" s="793">
        <f t="shared" ref="D546:O546" si="239">+D536+D539+D540+D541+D542+D543+D544+D545</f>
        <v>100267</v>
      </c>
      <c r="E546" s="793">
        <f t="shared" si="239"/>
        <v>602563</v>
      </c>
      <c r="F546" s="793">
        <f t="shared" si="239"/>
        <v>0</v>
      </c>
      <c r="G546" s="793">
        <f t="shared" si="239"/>
        <v>0</v>
      </c>
      <c r="H546" s="793">
        <f t="shared" si="239"/>
        <v>1260379</v>
      </c>
      <c r="I546" s="793">
        <f t="shared" si="239"/>
        <v>31573</v>
      </c>
      <c r="J546" s="793">
        <f t="shared" si="239"/>
        <v>677</v>
      </c>
      <c r="K546" s="793">
        <f t="shared" si="239"/>
        <v>0</v>
      </c>
      <c r="L546" s="793">
        <f t="shared" si="239"/>
        <v>32250</v>
      </c>
      <c r="M546" s="793">
        <f t="shared" si="239"/>
        <v>1292629</v>
      </c>
      <c r="N546" s="793">
        <f t="shared" si="239"/>
        <v>0</v>
      </c>
      <c r="O546" s="793">
        <f t="shared" si="239"/>
        <v>1292629</v>
      </c>
    </row>
    <row r="547" spans="1:15" ht="17.25" thickTop="1" thickBot="1" x14ac:dyDescent="0.3">
      <c r="A547" s="791"/>
      <c r="B547" s="792" t="s">
        <v>385</v>
      </c>
      <c r="C547" s="793">
        <f>+C537+C539+C540+C541+C542+C543+C544+C545</f>
        <v>557549</v>
      </c>
      <c r="D547" s="793">
        <f t="shared" ref="D547:O547" si="240">+D537+D539+D540+D541+D542+D543+D544+D545</f>
        <v>100267</v>
      </c>
      <c r="E547" s="793">
        <f t="shared" si="240"/>
        <v>602563</v>
      </c>
      <c r="F547" s="793">
        <f t="shared" si="240"/>
        <v>0</v>
      </c>
      <c r="G547" s="793">
        <f t="shared" si="240"/>
        <v>0</v>
      </c>
      <c r="H547" s="793">
        <f t="shared" si="240"/>
        <v>1260379</v>
      </c>
      <c r="I547" s="793">
        <f t="shared" si="240"/>
        <v>31573</v>
      </c>
      <c r="J547" s="793">
        <f t="shared" si="240"/>
        <v>677</v>
      </c>
      <c r="K547" s="793">
        <f t="shared" si="240"/>
        <v>0</v>
      </c>
      <c r="L547" s="793">
        <f t="shared" si="240"/>
        <v>32250</v>
      </c>
      <c r="M547" s="793">
        <f t="shared" si="240"/>
        <v>1292629</v>
      </c>
      <c r="N547" s="793">
        <f t="shared" si="240"/>
        <v>0</v>
      </c>
      <c r="O547" s="793">
        <f t="shared" si="240"/>
        <v>1292629</v>
      </c>
    </row>
    <row r="548" spans="1:15" ht="16.5" thickTop="1" x14ac:dyDescent="0.25">
      <c r="A548" s="771" t="s">
        <v>21</v>
      </c>
      <c r="B548" s="799" t="s">
        <v>564</v>
      </c>
      <c r="C548" s="800"/>
      <c r="D548" s="801"/>
      <c r="E548" s="774"/>
      <c r="F548" s="803"/>
      <c r="G548" s="801"/>
      <c r="H548" s="776"/>
      <c r="I548" s="802"/>
      <c r="J548" s="803"/>
      <c r="K548" s="803"/>
      <c r="L548" s="776"/>
      <c r="M548" s="804"/>
      <c r="N548" s="804"/>
      <c r="O548" s="804"/>
    </row>
    <row r="549" spans="1:15" s="788" customFormat="1" x14ac:dyDescent="0.25">
      <c r="A549" s="816"/>
      <c r="B549" s="851" t="s">
        <v>347</v>
      </c>
      <c r="C549" s="810">
        <f>SUM(C550)</f>
        <v>110351</v>
      </c>
      <c r="D549" s="810">
        <f>SUM(D550)</f>
        <v>17832</v>
      </c>
      <c r="E549" s="810">
        <f>SUM(E550)</f>
        <v>120917</v>
      </c>
      <c r="F549" s="812"/>
      <c r="G549" s="845"/>
      <c r="H549" s="797">
        <f>SUM(C549:G549)</f>
        <v>249100</v>
      </c>
      <c r="I549" s="815">
        <f>SUM(I550)</f>
        <v>1400</v>
      </c>
      <c r="J549" s="812"/>
      <c r="K549" s="845"/>
      <c r="L549" s="797">
        <f>SUM(I549:K549)</f>
        <v>1400</v>
      </c>
      <c r="M549" s="798">
        <f>SUM(H549+L549)</f>
        <v>250500</v>
      </c>
      <c r="N549" s="798"/>
      <c r="O549" s="798">
        <f>SUM(M549+N549)</f>
        <v>250500</v>
      </c>
    </row>
    <row r="550" spans="1:15" s="788" customFormat="1" x14ac:dyDescent="0.25">
      <c r="A550" s="846"/>
      <c r="B550" s="780" t="s">
        <v>664</v>
      </c>
      <c r="C550" s="847">
        <v>110351</v>
      </c>
      <c r="D550" s="848">
        <v>17832</v>
      </c>
      <c r="E550" s="849">
        <v>120917</v>
      </c>
      <c r="F550" s="831"/>
      <c r="G550" s="848"/>
      <c r="H550" s="784">
        <f>SUM(C550:G550)</f>
        <v>249100</v>
      </c>
      <c r="I550" s="794">
        <v>1400</v>
      </c>
      <c r="J550" s="783"/>
      <c r="K550" s="783"/>
      <c r="L550" s="797">
        <f>SUM(I550:K550)</f>
        <v>1400</v>
      </c>
      <c r="M550" s="787">
        <f>SUM(H550+L550)</f>
        <v>250500</v>
      </c>
      <c r="N550" s="787"/>
      <c r="O550" s="787">
        <f>SUM(M550+N550)</f>
        <v>250500</v>
      </c>
    </row>
    <row r="551" spans="1:15" s="788" customFormat="1" x14ac:dyDescent="0.25">
      <c r="A551" s="816"/>
      <c r="B551" s="796" t="s">
        <v>132</v>
      </c>
      <c r="C551" s="781"/>
      <c r="D551" s="782"/>
      <c r="E551" s="782"/>
      <c r="F551" s="783"/>
      <c r="G551" s="840"/>
      <c r="H551" s="784"/>
      <c r="I551" s="794"/>
      <c r="J551" s="783"/>
      <c r="K551" s="840"/>
      <c r="L551" s="797"/>
      <c r="M551" s="784"/>
      <c r="N551" s="784"/>
      <c r="O551" s="784"/>
    </row>
    <row r="552" spans="1:15" s="788" customFormat="1" ht="47.25" x14ac:dyDescent="0.25">
      <c r="A552" s="816"/>
      <c r="B552" s="724" t="s">
        <v>1518</v>
      </c>
      <c r="C552" s="810">
        <v>1558</v>
      </c>
      <c r="D552" s="811">
        <v>251</v>
      </c>
      <c r="E552" s="811"/>
      <c r="F552" s="812"/>
      <c r="G552" s="845"/>
      <c r="H552" s="797">
        <f t="shared" ref="H552:H558" si="241">SUM(C552:G552)</f>
        <v>1809</v>
      </c>
      <c r="I552" s="815"/>
      <c r="J552" s="812"/>
      <c r="K552" s="845"/>
      <c r="L552" s="797">
        <f t="shared" ref="L552:L558" si="242">SUM(I552:K552)</f>
        <v>0</v>
      </c>
      <c r="M552" s="797">
        <f t="shared" ref="M552:M558" si="243">SUM(H552+L552)</f>
        <v>1809</v>
      </c>
      <c r="N552" s="797"/>
      <c r="O552" s="797">
        <f t="shared" ref="O552:O558" si="244">SUM(M552+N552)</f>
        <v>1809</v>
      </c>
    </row>
    <row r="553" spans="1:15" s="788" customFormat="1" x14ac:dyDescent="0.25">
      <c r="A553" s="816"/>
      <c r="B553" s="724" t="s">
        <v>1330</v>
      </c>
      <c r="C553" s="810">
        <v>391</v>
      </c>
      <c r="D553" s="811">
        <v>59</v>
      </c>
      <c r="E553" s="811"/>
      <c r="F553" s="812"/>
      <c r="G553" s="845"/>
      <c r="H553" s="797">
        <f t="shared" si="241"/>
        <v>450</v>
      </c>
      <c r="I553" s="815"/>
      <c r="J553" s="812"/>
      <c r="K553" s="845"/>
      <c r="L553" s="797">
        <f t="shared" si="242"/>
        <v>0</v>
      </c>
      <c r="M553" s="798">
        <f t="shared" si="243"/>
        <v>450</v>
      </c>
      <c r="N553" s="798"/>
      <c r="O553" s="798">
        <f t="shared" si="244"/>
        <v>450</v>
      </c>
    </row>
    <row r="554" spans="1:15" s="788" customFormat="1" ht="31.5" x14ac:dyDescent="0.25">
      <c r="A554" s="816"/>
      <c r="B554" s="724" t="s">
        <v>565</v>
      </c>
      <c r="C554" s="810"/>
      <c r="D554" s="811"/>
      <c r="E554" s="811">
        <v>-139</v>
      </c>
      <c r="F554" s="812"/>
      <c r="G554" s="845"/>
      <c r="H554" s="797">
        <f t="shared" si="241"/>
        <v>-139</v>
      </c>
      <c r="I554" s="815">
        <v>139</v>
      </c>
      <c r="J554" s="812"/>
      <c r="K554" s="845"/>
      <c r="L554" s="797">
        <f t="shared" si="242"/>
        <v>139</v>
      </c>
      <c r="M554" s="798">
        <f t="shared" si="243"/>
        <v>0</v>
      </c>
      <c r="N554" s="798"/>
      <c r="O554" s="798">
        <f t="shared" si="244"/>
        <v>0</v>
      </c>
    </row>
    <row r="555" spans="1:15" s="788" customFormat="1" ht="31.5" x14ac:dyDescent="0.25">
      <c r="A555" s="816"/>
      <c r="B555" s="724" t="s">
        <v>1327</v>
      </c>
      <c r="C555" s="810">
        <v>-1602</v>
      </c>
      <c r="D555" s="811">
        <v>-541</v>
      </c>
      <c r="E555" s="811"/>
      <c r="F555" s="812"/>
      <c r="G555" s="845"/>
      <c r="H555" s="797">
        <f t="shared" si="241"/>
        <v>-2143</v>
      </c>
      <c r="I555" s="815"/>
      <c r="J555" s="812"/>
      <c r="K555" s="845"/>
      <c r="L555" s="797">
        <f t="shared" si="242"/>
        <v>0</v>
      </c>
      <c r="M555" s="798">
        <f t="shared" si="243"/>
        <v>-2143</v>
      </c>
      <c r="N555" s="798"/>
      <c r="O555" s="798">
        <f t="shared" si="244"/>
        <v>-2143</v>
      </c>
    </row>
    <row r="556" spans="1:15" s="788" customFormat="1" ht="31.5" x14ac:dyDescent="0.25">
      <c r="A556" s="816"/>
      <c r="B556" s="724" t="s">
        <v>1372</v>
      </c>
      <c r="C556" s="810"/>
      <c r="D556" s="811"/>
      <c r="E556" s="811">
        <v>7432</v>
      </c>
      <c r="F556" s="812"/>
      <c r="G556" s="845"/>
      <c r="H556" s="797">
        <f t="shared" si="241"/>
        <v>7432</v>
      </c>
      <c r="I556" s="815"/>
      <c r="J556" s="812"/>
      <c r="K556" s="845"/>
      <c r="L556" s="797">
        <f t="shared" si="242"/>
        <v>0</v>
      </c>
      <c r="M556" s="798">
        <f t="shared" si="243"/>
        <v>7432</v>
      </c>
      <c r="N556" s="798"/>
      <c r="O556" s="798">
        <f t="shared" si="244"/>
        <v>7432</v>
      </c>
    </row>
    <row r="557" spans="1:15" s="788" customFormat="1" ht="31.5" x14ac:dyDescent="0.25">
      <c r="A557" s="816"/>
      <c r="B557" s="724" t="s">
        <v>1377</v>
      </c>
      <c r="C557" s="810"/>
      <c r="D557" s="811"/>
      <c r="E557" s="811">
        <v>-3716</v>
      </c>
      <c r="F557" s="812"/>
      <c r="G557" s="845"/>
      <c r="H557" s="797">
        <f t="shared" si="241"/>
        <v>-3716</v>
      </c>
      <c r="I557" s="815"/>
      <c r="J557" s="812"/>
      <c r="K557" s="845"/>
      <c r="L557" s="797">
        <f t="shared" si="242"/>
        <v>0</v>
      </c>
      <c r="M557" s="798">
        <f t="shared" si="243"/>
        <v>-3716</v>
      </c>
      <c r="N557" s="798"/>
      <c r="O557" s="798">
        <f t="shared" si="244"/>
        <v>-3716</v>
      </c>
    </row>
    <row r="558" spans="1:15" s="788" customFormat="1" ht="32.25" thickBot="1" x14ac:dyDescent="0.3">
      <c r="A558" s="816"/>
      <c r="B558" s="724" t="s">
        <v>1376</v>
      </c>
      <c r="C558" s="810"/>
      <c r="D558" s="811"/>
      <c r="E558" s="811">
        <v>41000</v>
      </c>
      <c r="F558" s="812"/>
      <c r="G558" s="845"/>
      <c r="H558" s="797">
        <f t="shared" si="241"/>
        <v>41000</v>
      </c>
      <c r="I558" s="815"/>
      <c r="J558" s="812"/>
      <c r="K558" s="845"/>
      <c r="L558" s="797">
        <f t="shared" si="242"/>
        <v>0</v>
      </c>
      <c r="M558" s="798">
        <f t="shared" si="243"/>
        <v>41000</v>
      </c>
      <c r="N558" s="798"/>
      <c r="O558" s="798">
        <f t="shared" si="244"/>
        <v>41000</v>
      </c>
    </row>
    <row r="559" spans="1:15" ht="17.25" thickTop="1" thickBot="1" x14ac:dyDescent="0.3">
      <c r="A559" s="791"/>
      <c r="B559" s="792" t="s">
        <v>379</v>
      </c>
      <c r="C559" s="793">
        <f>+C549+C552+C553+C554+C555+C556+C557+C558</f>
        <v>110698</v>
      </c>
      <c r="D559" s="793">
        <f t="shared" ref="D559:O559" si="245">+D549+D552+D553+D554+D555+D556+D557+D558</f>
        <v>17601</v>
      </c>
      <c r="E559" s="793">
        <f t="shared" si="245"/>
        <v>165494</v>
      </c>
      <c r="F559" s="793">
        <f t="shared" si="245"/>
        <v>0</v>
      </c>
      <c r="G559" s="793">
        <f t="shared" si="245"/>
        <v>0</v>
      </c>
      <c r="H559" s="793">
        <f t="shared" si="245"/>
        <v>293793</v>
      </c>
      <c r="I559" s="793">
        <f t="shared" si="245"/>
        <v>1539</v>
      </c>
      <c r="J559" s="793">
        <f t="shared" si="245"/>
        <v>0</v>
      </c>
      <c r="K559" s="793">
        <f t="shared" si="245"/>
        <v>0</v>
      </c>
      <c r="L559" s="793">
        <f t="shared" si="245"/>
        <v>1539</v>
      </c>
      <c r="M559" s="793">
        <f t="shared" si="245"/>
        <v>295332</v>
      </c>
      <c r="N559" s="793">
        <f t="shared" si="245"/>
        <v>0</v>
      </c>
      <c r="O559" s="793">
        <f t="shared" si="245"/>
        <v>295332</v>
      </c>
    </row>
    <row r="560" spans="1:15" ht="17.25" thickTop="1" thickBot="1" x14ac:dyDescent="0.3">
      <c r="A560" s="791"/>
      <c r="B560" s="792" t="s">
        <v>385</v>
      </c>
      <c r="C560" s="793">
        <f>+C550+C552+C553+C554+C555+C556+C557+C558</f>
        <v>110698</v>
      </c>
      <c r="D560" s="793">
        <f t="shared" ref="D560:O560" si="246">+D550+D552+D553+D554+D555+D556+D557+D558</f>
        <v>17601</v>
      </c>
      <c r="E560" s="793">
        <f t="shared" si="246"/>
        <v>165494</v>
      </c>
      <c r="F560" s="793">
        <f t="shared" si="246"/>
        <v>0</v>
      </c>
      <c r="G560" s="793">
        <f t="shared" si="246"/>
        <v>0</v>
      </c>
      <c r="H560" s="793">
        <f t="shared" si="246"/>
        <v>293793</v>
      </c>
      <c r="I560" s="793">
        <f t="shared" si="246"/>
        <v>1539</v>
      </c>
      <c r="J560" s="793">
        <f t="shared" si="246"/>
        <v>0</v>
      </c>
      <c r="K560" s="793">
        <f t="shared" si="246"/>
        <v>0</v>
      </c>
      <c r="L560" s="793">
        <f t="shared" si="246"/>
        <v>1539</v>
      </c>
      <c r="M560" s="793">
        <f t="shared" si="246"/>
        <v>295332</v>
      </c>
      <c r="N560" s="793">
        <f t="shared" si="246"/>
        <v>0</v>
      </c>
      <c r="O560" s="793">
        <f t="shared" si="246"/>
        <v>295332</v>
      </c>
    </row>
    <row r="561" spans="1:15" ht="32.25" thickTop="1" x14ac:dyDescent="0.25">
      <c r="A561" s="771" t="s">
        <v>562</v>
      </c>
      <c r="B561" s="799" t="s">
        <v>793</v>
      </c>
      <c r="C561" s="800"/>
      <c r="D561" s="774"/>
      <c r="E561" s="774"/>
      <c r="F561" s="775"/>
      <c r="G561" s="801"/>
      <c r="H561" s="776"/>
      <c r="I561" s="802"/>
      <c r="J561" s="803"/>
      <c r="K561" s="803"/>
      <c r="L561" s="776"/>
      <c r="M561" s="804"/>
      <c r="N561" s="804"/>
      <c r="O561" s="804"/>
    </row>
    <row r="562" spans="1:15" x14ac:dyDescent="0.25">
      <c r="A562" s="771"/>
      <c r="B562" s="724" t="s">
        <v>347</v>
      </c>
      <c r="C562" s="800">
        <f>SUM(C563:C564)</f>
        <v>98267</v>
      </c>
      <c r="D562" s="800">
        <f>SUM(D563:D564)</f>
        <v>17238</v>
      </c>
      <c r="E562" s="800">
        <f>SUM(E563:E564)</f>
        <v>74120</v>
      </c>
      <c r="F562" s="775"/>
      <c r="G562" s="801"/>
      <c r="H562" s="776">
        <f>SUM(C562:G562)</f>
        <v>189625</v>
      </c>
      <c r="I562" s="777">
        <f>SUM(I563:I564)</f>
        <v>63</v>
      </c>
      <c r="J562" s="775"/>
      <c r="K562" s="775"/>
      <c r="L562" s="776">
        <f>SUM(I562:K562)</f>
        <v>63</v>
      </c>
      <c r="M562" s="778">
        <f>SUM(H562+L562)</f>
        <v>189688</v>
      </c>
      <c r="N562" s="778"/>
      <c r="O562" s="778">
        <f>SUM(M562+N562)</f>
        <v>189688</v>
      </c>
    </row>
    <row r="563" spans="1:15" s="788" customFormat="1" x14ac:dyDescent="0.25">
      <c r="A563" s="779"/>
      <c r="B563" s="780" t="s">
        <v>381</v>
      </c>
      <c r="C563" s="805">
        <v>97022</v>
      </c>
      <c r="D563" s="782">
        <v>16833</v>
      </c>
      <c r="E563" s="782">
        <v>73733</v>
      </c>
      <c r="F563" s="783"/>
      <c r="G563" s="806"/>
      <c r="H563" s="784">
        <f>SUM(C563:G563)</f>
        <v>187588</v>
      </c>
      <c r="I563" s="794"/>
      <c r="J563" s="783"/>
      <c r="K563" s="783"/>
      <c r="L563" s="784">
        <f>SUM(I563:K563)</f>
        <v>0</v>
      </c>
      <c r="M563" s="787">
        <f>SUM(H563+L563)</f>
        <v>187588</v>
      </c>
      <c r="N563" s="787"/>
      <c r="O563" s="787">
        <f>SUM(M563+N563)</f>
        <v>187588</v>
      </c>
    </row>
    <row r="564" spans="1:15" s="788" customFormat="1" x14ac:dyDescent="0.25">
      <c r="A564" s="779"/>
      <c r="B564" s="780" t="s">
        <v>380</v>
      </c>
      <c r="C564" s="805">
        <v>1245</v>
      </c>
      <c r="D564" s="782">
        <v>405</v>
      </c>
      <c r="E564" s="782">
        <v>387</v>
      </c>
      <c r="F564" s="783"/>
      <c r="G564" s="806"/>
      <c r="H564" s="784">
        <f>SUM(C564:G564)</f>
        <v>2037</v>
      </c>
      <c r="I564" s="794">
        <v>63</v>
      </c>
      <c r="J564" s="783"/>
      <c r="K564" s="783"/>
      <c r="L564" s="784">
        <f>SUM(I564:K564)</f>
        <v>63</v>
      </c>
      <c r="M564" s="787">
        <f>SUM(H564+L564)</f>
        <v>2100</v>
      </c>
      <c r="N564" s="787"/>
      <c r="O564" s="787">
        <f>SUM(M564+N564)</f>
        <v>2100</v>
      </c>
    </row>
    <row r="565" spans="1:15" s="788" customFormat="1" x14ac:dyDescent="0.25">
      <c r="A565" s="779"/>
      <c r="B565" s="780" t="s">
        <v>131</v>
      </c>
      <c r="C565" s="805"/>
      <c r="D565" s="782"/>
      <c r="E565" s="782"/>
      <c r="F565" s="783"/>
      <c r="G565" s="806"/>
      <c r="H565" s="784"/>
      <c r="I565" s="794"/>
      <c r="J565" s="783"/>
      <c r="K565" s="783"/>
      <c r="L565" s="784"/>
      <c r="M565" s="787"/>
      <c r="N565" s="787"/>
      <c r="O565" s="787"/>
    </row>
    <row r="566" spans="1:15" s="788" customFormat="1" ht="47.25" x14ac:dyDescent="0.25">
      <c r="A566" s="779"/>
      <c r="B566" s="724" t="s">
        <v>1518</v>
      </c>
      <c r="C566" s="835">
        <v>4055</v>
      </c>
      <c r="D566" s="811">
        <v>648</v>
      </c>
      <c r="E566" s="811"/>
      <c r="F566" s="812"/>
      <c r="G566" s="836"/>
      <c r="H566" s="797">
        <f>SUM(C566:G566)</f>
        <v>4703</v>
      </c>
      <c r="I566" s="815"/>
      <c r="J566" s="812"/>
      <c r="K566" s="812"/>
      <c r="L566" s="797">
        <f>SUM(I566:K566)</f>
        <v>0</v>
      </c>
      <c r="M566" s="798">
        <f>SUM(H566+L566)</f>
        <v>4703</v>
      </c>
      <c r="N566" s="798"/>
      <c r="O566" s="798">
        <f>SUM(M566+N566)</f>
        <v>4703</v>
      </c>
    </row>
    <row r="567" spans="1:15" s="788" customFormat="1" ht="31.5" x14ac:dyDescent="0.25">
      <c r="A567" s="779"/>
      <c r="B567" s="724" t="s">
        <v>565</v>
      </c>
      <c r="C567" s="835"/>
      <c r="D567" s="811"/>
      <c r="E567" s="811">
        <v>-40</v>
      </c>
      <c r="F567" s="812"/>
      <c r="G567" s="836"/>
      <c r="H567" s="797">
        <f>SUM(C567:G567)</f>
        <v>-40</v>
      </c>
      <c r="I567" s="815">
        <v>40</v>
      </c>
      <c r="J567" s="812"/>
      <c r="K567" s="812"/>
      <c r="L567" s="797">
        <f>SUM(I567:K567)</f>
        <v>40</v>
      </c>
      <c r="M567" s="798">
        <f>SUM(H567+L567)</f>
        <v>0</v>
      </c>
      <c r="N567" s="798"/>
      <c r="O567" s="798">
        <f>SUM(M567+N567)</f>
        <v>0</v>
      </c>
    </row>
    <row r="568" spans="1:15" s="788" customFormat="1" ht="78.75" x14ac:dyDescent="0.25">
      <c r="A568" s="779"/>
      <c r="B568" s="772" t="s">
        <v>1367</v>
      </c>
      <c r="C568" s="835">
        <v>1332</v>
      </c>
      <c r="D568" s="811">
        <v>207</v>
      </c>
      <c r="E568" s="811"/>
      <c r="F568" s="812"/>
      <c r="G568" s="836"/>
      <c r="H568" s="797">
        <f>SUM(C568:G568)</f>
        <v>1539</v>
      </c>
      <c r="I568" s="815"/>
      <c r="J568" s="812"/>
      <c r="K568" s="812"/>
      <c r="L568" s="797">
        <f>SUM(I568:K568)</f>
        <v>0</v>
      </c>
      <c r="M568" s="798">
        <f>SUM(H568+L568)</f>
        <v>1539</v>
      </c>
      <c r="N568" s="798"/>
      <c r="O568" s="798">
        <f>SUM(M568+N568)</f>
        <v>1539</v>
      </c>
    </row>
    <row r="569" spans="1:15" s="788" customFormat="1" x14ac:dyDescent="0.25">
      <c r="A569" s="779"/>
      <c r="B569" s="780" t="s">
        <v>132</v>
      </c>
      <c r="C569" s="835"/>
      <c r="D569" s="811"/>
      <c r="E569" s="811"/>
      <c r="F569" s="812"/>
      <c r="G569" s="836"/>
      <c r="H569" s="797"/>
      <c r="I569" s="815"/>
      <c r="J569" s="812"/>
      <c r="K569" s="812"/>
      <c r="L569" s="797"/>
      <c r="M569" s="798"/>
      <c r="N569" s="798"/>
      <c r="O569" s="798"/>
    </row>
    <row r="570" spans="1:15" s="788" customFormat="1" x14ac:dyDescent="0.25">
      <c r="A570" s="779"/>
      <c r="B570" s="724" t="s">
        <v>1330</v>
      </c>
      <c r="C570" s="835">
        <v>707</v>
      </c>
      <c r="D570" s="811">
        <v>106</v>
      </c>
      <c r="E570" s="811"/>
      <c r="F570" s="812"/>
      <c r="G570" s="836"/>
      <c r="H570" s="797">
        <f>SUM(C570:G570)</f>
        <v>813</v>
      </c>
      <c r="I570" s="815"/>
      <c r="J570" s="812"/>
      <c r="K570" s="812"/>
      <c r="L570" s="797">
        <f>SUM(I570:K570)</f>
        <v>0</v>
      </c>
      <c r="M570" s="798">
        <f>SUM(H570+L570)</f>
        <v>813</v>
      </c>
      <c r="N570" s="798"/>
      <c r="O570" s="798">
        <f>SUM(M570+N570)</f>
        <v>813</v>
      </c>
    </row>
    <row r="571" spans="1:15" s="788" customFormat="1" ht="78.75" x14ac:dyDescent="0.25">
      <c r="A571" s="779"/>
      <c r="B571" s="724" t="s">
        <v>1378</v>
      </c>
      <c r="C571" s="835"/>
      <c r="D571" s="811"/>
      <c r="E571" s="811">
        <v>40</v>
      </c>
      <c r="F571" s="812"/>
      <c r="G571" s="836"/>
      <c r="H571" s="797">
        <f>SUM(C571:G571)</f>
        <v>40</v>
      </c>
      <c r="I571" s="815"/>
      <c r="J571" s="812"/>
      <c r="K571" s="812"/>
      <c r="L571" s="797">
        <f>SUM(I571:K571)</f>
        <v>0</v>
      </c>
      <c r="M571" s="798">
        <f>SUM(H571+L571)</f>
        <v>40</v>
      </c>
      <c r="N571" s="798"/>
      <c r="O571" s="798">
        <f>SUM(M571+N571)</f>
        <v>40</v>
      </c>
    </row>
    <row r="572" spans="1:15" s="788" customFormat="1" ht="63" x14ac:dyDescent="0.25">
      <c r="A572" s="816"/>
      <c r="B572" s="772" t="s">
        <v>1379</v>
      </c>
      <c r="C572" s="810"/>
      <c r="D572" s="811"/>
      <c r="E572" s="811">
        <v>30</v>
      </c>
      <c r="F572" s="812"/>
      <c r="G572" s="811"/>
      <c r="H572" s="797">
        <f>SUM(C572:G572)</f>
        <v>30</v>
      </c>
      <c r="I572" s="815"/>
      <c r="J572" s="812"/>
      <c r="K572" s="812"/>
      <c r="L572" s="797">
        <f>SUM(I572:K572)</f>
        <v>0</v>
      </c>
      <c r="M572" s="797">
        <f>SUM(H572+L572)</f>
        <v>30</v>
      </c>
      <c r="N572" s="797"/>
      <c r="O572" s="797">
        <f>SUM(M572+N572)</f>
        <v>30</v>
      </c>
    </row>
    <row r="573" spans="1:15" s="788" customFormat="1" ht="78.75" x14ac:dyDescent="0.25">
      <c r="A573" s="816"/>
      <c r="B573" s="772" t="s">
        <v>1380</v>
      </c>
      <c r="C573" s="810"/>
      <c r="D573" s="811"/>
      <c r="E573" s="811">
        <v>200</v>
      </c>
      <c r="F573" s="812"/>
      <c r="G573" s="811"/>
      <c r="H573" s="797">
        <f t="shared" ref="H573:H578" si="247">SUM(C573:G573)</f>
        <v>200</v>
      </c>
      <c r="I573" s="815"/>
      <c r="J573" s="812"/>
      <c r="K573" s="812"/>
      <c r="L573" s="797">
        <f t="shared" ref="L573:L578" si="248">SUM(I573:K573)</f>
        <v>0</v>
      </c>
      <c r="M573" s="797">
        <f t="shared" ref="M573:M578" si="249">SUM(H573+L573)</f>
        <v>200</v>
      </c>
      <c r="N573" s="797"/>
      <c r="O573" s="797">
        <f t="shared" ref="O573:O578" si="250">SUM(M573+N573)</f>
        <v>200</v>
      </c>
    </row>
    <row r="574" spans="1:15" s="788" customFormat="1" ht="110.25" x14ac:dyDescent="0.25">
      <c r="A574" s="816"/>
      <c r="B574" s="772" t="s">
        <v>1381</v>
      </c>
      <c r="C574" s="810"/>
      <c r="D574" s="811"/>
      <c r="E574" s="811">
        <v>250</v>
      </c>
      <c r="F574" s="812"/>
      <c r="G574" s="811"/>
      <c r="H574" s="797">
        <f t="shared" si="247"/>
        <v>250</v>
      </c>
      <c r="I574" s="815"/>
      <c r="J574" s="812"/>
      <c r="K574" s="812"/>
      <c r="L574" s="797">
        <f t="shared" si="248"/>
        <v>0</v>
      </c>
      <c r="M574" s="797">
        <f t="shared" si="249"/>
        <v>250</v>
      </c>
      <c r="N574" s="797"/>
      <c r="O574" s="797">
        <f t="shared" si="250"/>
        <v>250</v>
      </c>
    </row>
    <row r="575" spans="1:15" s="788" customFormat="1" ht="94.5" x14ac:dyDescent="0.25">
      <c r="A575" s="816"/>
      <c r="B575" s="772" t="s">
        <v>1382</v>
      </c>
      <c r="C575" s="810"/>
      <c r="D575" s="811"/>
      <c r="E575" s="811">
        <v>100</v>
      </c>
      <c r="F575" s="812"/>
      <c r="G575" s="811"/>
      <c r="H575" s="797">
        <f t="shared" si="247"/>
        <v>100</v>
      </c>
      <c r="I575" s="815"/>
      <c r="J575" s="812"/>
      <c r="K575" s="812"/>
      <c r="L575" s="797">
        <f t="shared" si="248"/>
        <v>0</v>
      </c>
      <c r="M575" s="797">
        <f t="shared" si="249"/>
        <v>100</v>
      </c>
      <c r="N575" s="797"/>
      <c r="O575" s="797">
        <f t="shared" si="250"/>
        <v>100</v>
      </c>
    </row>
    <row r="576" spans="1:15" s="788" customFormat="1" ht="63" x14ac:dyDescent="0.25">
      <c r="A576" s="816"/>
      <c r="B576" s="772" t="s">
        <v>1383</v>
      </c>
      <c r="C576" s="810"/>
      <c r="D576" s="811"/>
      <c r="E576" s="811">
        <v>90</v>
      </c>
      <c r="F576" s="812"/>
      <c r="G576" s="811"/>
      <c r="H576" s="797">
        <f t="shared" si="247"/>
        <v>90</v>
      </c>
      <c r="I576" s="815"/>
      <c r="J576" s="812"/>
      <c r="K576" s="812"/>
      <c r="L576" s="797">
        <f t="shared" si="248"/>
        <v>0</v>
      </c>
      <c r="M576" s="797">
        <f t="shared" si="249"/>
        <v>90</v>
      </c>
      <c r="N576" s="797"/>
      <c r="O576" s="797">
        <f t="shared" si="250"/>
        <v>90</v>
      </c>
    </row>
    <row r="577" spans="1:16" s="788" customFormat="1" ht="78.75" x14ac:dyDescent="0.25">
      <c r="A577" s="816"/>
      <c r="B577" s="772" t="s">
        <v>1384</v>
      </c>
      <c r="C577" s="810"/>
      <c r="D577" s="811"/>
      <c r="E577" s="811">
        <v>150</v>
      </c>
      <c r="F577" s="812"/>
      <c r="G577" s="811"/>
      <c r="H577" s="797">
        <f t="shared" si="247"/>
        <v>150</v>
      </c>
      <c r="I577" s="815"/>
      <c r="J577" s="812"/>
      <c r="K577" s="812"/>
      <c r="L577" s="797">
        <f t="shared" si="248"/>
        <v>0</v>
      </c>
      <c r="M577" s="797">
        <f t="shared" si="249"/>
        <v>150</v>
      </c>
      <c r="N577" s="797"/>
      <c r="O577" s="797">
        <f t="shared" si="250"/>
        <v>150</v>
      </c>
    </row>
    <row r="578" spans="1:16" s="788" customFormat="1" ht="110.25" x14ac:dyDescent="0.25">
      <c r="A578" s="816"/>
      <c r="B578" s="772" t="s">
        <v>1385</v>
      </c>
      <c r="C578" s="810"/>
      <c r="D578" s="811"/>
      <c r="E578" s="811">
        <v>50</v>
      </c>
      <c r="F578" s="812"/>
      <c r="G578" s="811"/>
      <c r="H578" s="797">
        <f t="shared" si="247"/>
        <v>50</v>
      </c>
      <c r="I578" s="815"/>
      <c r="J578" s="812"/>
      <c r="K578" s="812"/>
      <c r="L578" s="797">
        <f t="shared" si="248"/>
        <v>0</v>
      </c>
      <c r="M578" s="797">
        <f t="shared" si="249"/>
        <v>50</v>
      </c>
      <c r="N578" s="797"/>
      <c r="O578" s="797">
        <f t="shared" si="250"/>
        <v>50</v>
      </c>
    </row>
    <row r="579" spans="1:16" s="788" customFormat="1" ht="110.25" x14ac:dyDescent="0.25">
      <c r="A579" s="816"/>
      <c r="B579" s="772" t="s">
        <v>1386</v>
      </c>
      <c r="C579" s="810"/>
      <c r="D579" s="811"/>
      <c r="E579" s="811">
        <v>200</v>
      </c>
      <c r="F579" s="812"/>
      <c r="G579" s="811"/>
      <c r="H579" s="797">
        <f>SUM(C579:G579)</f>
        <v>200</v>
      </c>
      <c r="I579" s="815"/>
      <c r="J579" s="812"/>
      <c r="K579" s="812"/>
      <c r="L579" s="797">
        <f>SUM(I579:K579)</f>
        <v>0</v>
      </c>
      <c r="M579" s="797">
        <f>SUM(H579+L579)</f>
        <v>200</v>
      </c>
      <c r="N579" s="797"/>
      <c r="O579" s="797">
        <f>SUM(M579+N579)</f>
        <v>200</v>
      </c>
    </row>
    <row r="580" spans="1:16" s="788" customFormat="1" ht="79.5" thickBot="1" x14ac:dyDescent="0.3">
      <c r="A580" s="779"/>
      <c r="B580" s="724" t="s">
        <v>1387</v>
      </c>
      <c r="C580" s="835"/>
      <c r="D580" s="811"/>
      <c r="E580" s="811">
        <v>400</v>
      </c>
      <c r="F580" s="812"/>
      <c r="G580" s="836"/>
      <c r="H580" s="797">
        <f>SUM(C580:G580)</f>
        <v>400</v>
      </c>
      <c r="I580" s="815"/>
      <c r="J580" s="812"/>
      <c r="K580" s="812"/>
      <c r="L580" s="797">
        <f>SUM(I580:K580)</f>
        <v>0</v>
      </c>
      <c r="M580" s="798">
        <f>SUM(H580+L580)</f>
        <v>400</v>
      </c>
      <c r="N580" s="798"/>
      <c r="O580" s="798">
        <f>SUM(M580+N580)</f>
        <v>400</v>
      </c>
    </row>
    <row r="581" spans="1:16" ht="17.25" thickTop="1" thickBot="1" x14ac:dyDescent="0.3">
      <c r="A581" s="791"/>
      <c r="B581" s="792" t="s">
        <v>379</v>
      </c>
      <c r="C581" s="793">
        <f>+C562+C566+C567+C570+C580+C579+C572+C571+C568+C573+C574+C575+C576+C577+C578</f>
        <v>104361</v>
      </c>
      <c r="D581" s="793">
        <f t="shared" ref="D581:O581" si="251">+D562+D566+D567+D570+D580+D579+D572+D571+D568+D573+D574+D575+D576+D577+D578</f>
        <v>18199</v>
      </c>
      <c r="E581" s="793">
        <f t="shared" si="251"/>
        <v>75590</v>
      </c>
      <c r="F581" s="793">
        <f t="shared" si="251"/>
        <v>0</v>
      </c>
      <c r="G581" s="793">
        <f t="shared" si="251"/>
        <v>0</v>
      </c>
      <c r="H581" s="793">
        <f t="shared" si="251"/>
        <v>198150</v>
      </c>
      <c r="I581" s="793">
        <f t="shared" si="251"/>
        <v>103</v>
      </c>
      <c r="J581" s="793">
        <f t="shared" si="251"/>
        <v>0</v>
      </c>
      <c r="K581" s="793">
        <f t="shared" si="251"/>
        <v>0</v>
      </c>
      <c r="L581" s="793">
        <f t="shared" si="251"/>
        <v>103</v>
      </c>
      <c r="M581" s="793">
        <f t="shared" si="251"/>
        <v>198253</v>
      </c>
      <c r="N581" s="793">
        <f t="shared" si="251"/>
        <v>0</v>
      </c>
      <c r="O581" s="793">
        <f t="shared" si="251"/>
        <v>198253</v>
      </c>
      <c r="P581" s="698">
        <f>O582+O583</f>
        <v>198253</v>
      </c>
    </row>
    <row r="582" spans="1:16" ht="17.25" thickTop="1" thickBot="1" x14ac:dyDescent="0.3">
      <c r="A582" s="791"/>
      <c r="B582" s="792" t="s">
        <v>378</v>
      </c>
      <c r="C582" s="793">
        <f>+C563+C566+C567+C568</f>
        <v>102409</v>
      </c>
      <c r="D582" s="793">
        <f t="shared" ref="D582:O582" si="252">+D563+D566+D567+D568</f>
        <v>17688</v>
      </c>
      <c r="E582" s="793">
        <f t="shared" si="252"/>
        <v>73693</v>
      </c>
      <c r="F582" s="793">
        <f t="shared" si="252"/>
        <v>0</v>
      </c>
      <c r="G582" s="793">
        <f t="shared" si="252"/>
        <v>0</v>
      </c>
      <c r="H582" s="793">
        <f t="shared" si="252"/>
        <v>193790</v>
      </c>
      <c r="I582" s="793">
        <f t="shared" si="252"/>
        <v>40</v>
      </c>
      <c r="J582" s="793">
        <f t="shared" si="252"/>
        <v>0</v>
      </c>
      <c r="K582" s="793">
        <f t="shared" si="252"/>
        <v>0</v>
      </c>
      <c r="L582" s="793">
        <f t="shared" si="252"/>
        <v>40</v>
      </c>
      <c r="M582" s="793">
        <f t="shared" si="252"/>
        <v>193830</v>
      </c>
      <c r="N582" s="793">
        <f t="shared" si="252"/>
        <v>0</v>
      </c>
      <c r="O582" s="793">
        <f t="shared" si="252"/>
        <v>193830</v>
      </c>
    </row>
    <row r="583" spans="1:16" ht="17.25" thickTop="1" thickBot="1" x14ac:dyDescent="0.3">
      <c r="A583" s="791"/>
      <c r="B583" s="792" t="s">
        <v>377</v>
      </c>
      <c r="C583" s="793">
        <f t="shared" ref="C583:O583" si="253">+C564+C570+C571+C572+C579+C580+C573+C574+C575+C576+C577+C578</f>
        <v>1952</v>
      </c>
      <c r="D583" s="793">
        <f t="shared" si="253"/>
        <v>511</v>
      </c>
      <c r="E583" s="793">
        <f t="shared" si="253"/>
        <v>1897</v>
      </c>
      <c r="F583" s="793">
        <f t="shared" si="253"/>
        <v>0</v>
      </c>
      <c r="G583" s="793">
        <f t="shared" si="253"/>
        <v>0</v>
      </c>
      <c r="H583" s="793">
        <f t="shared" si="253"/>
        <v>4360</v>
      </c>
      <c r="I583" s="793">
        <f t="shared" si="253"/>
        <v>63</v>
      </c>
      <c r="J583" s="793">
        <f t="shared" si="253"/>
        <v>0</v>
      </c>
      <c r="K583" s="793">
        <f t="shared" si="253"/>
        <v>0</v>
      </c>
      <c r="L583" s="793">
        <f t="shared" si="253"/>
        <v>63</v>
      </c>
      <c r="M583" s="793">
        <f t="shared" si="253"/>
        <v>4423</v>
      </c>
      <c r="N583" s="793">
        <f t="shared" si="253"/>
        <v>0</v>
      </c>
      <c r="O583" s="793">
        <f t="shared" si="253"/>
        <v>4423</v>
      </c>
    </row>
    <row r="584" spans="1:16" ht="17.25" thickTop="1" thickBot="1" x14ac:dyDescent="0.3">
      <c r="A584" s="791"/>
      <c r="B584" s="792" t="s">
        <v>384</v>
      </c>
      <c r="C584" s="839">
        <f t="shared" ref="C584:O584" si="254">SUM(C471+C490+C507+C533+C546+C559+C581+C518)</f>
        <v>1787180</v>
      </c>
      <c r="D584" s="839">
        <f t="shared" si="254"/>
        <v>322693</v>
      </c>
      <c r="E584" s="839">
        <f t="shared" si="254"/>
        <v>1516642</v>
      </c>
      <c r="F584" s="839">
        <f t="shared" si="254"/>
        <v>10446</v>
      </c>
      <c r="G584" s="839">
        <f t="shared" si="254"/>
        <v>0</v>
      </c>
      <c r="H584" s="839">
        <f t="shared" si="254"/>
        <v>3636961</v>
      </c>
      <c r="I584" s="839">
        <f t="shared" si="254"/>
        <v>74810</v>
      </c>
      <c r="J584" s="839">
        <f t="shared" si="254"/>
        <v>2529</v>
      </c>
      <c r="K584" s="839">
        <f t="shared" si="254"/>
        <v>0</v>
      </c>
      <c r="L584" s="839">
        <f t="shared" si="254"/>
        <v>77339</v>
      </c>
      <c r="M584" s="839">
        <f t="shared" si="254"/>
        <v>3714300</v>
      </c>
      <c r="N584" s="839">
        <f t="shared" si="254"/>
        <v>0</v>
      </c>
      <c r="O584" s="839">
        <f t="shared" si="254"/>
        <v>3714300</v>
      </c>
    </row>
    <row r="585" spans="1:16" ht="17.25" thickTop="1" thickBot="1" x14ac:dyDescent="0.3">
      <c r="A585" s="791"/>
      <c r="B585" s="792" t="s">
        <v>383</v>
      </c>
      <c r="C585" s="839">
        <f t="shared" ref="C585:O585" si="255">SUM(C395+C448+C460+C584)</f>
        <v>6699253</v>
      </c>
      <c r="D585" s="839">
        <f t="shared" si="255"/>
        <v>1202218</v>
      </c>
      <c r="E585" s="839">
        <f t="shared" si="255"/>
        <v>4352690</v>
      </c>
      <c r="F585" s="839">
        <f t="shared" si="255"/>
        <v>11588</v>
      </c>
      <c r="G585" s="839">
        <f t="shared" si="255"/>
        <v>285</v>
      </c>
      <c r="H585" s="839">
        <f t="shared" si="255"/>
        <v>12266034</v>
      </c>
      <c r="I585" s="839">
        <f t="shared" si="255"/>
        <v>106988</v>
      </c>
      <c r="J585" s="839">
        <f t="shared" si="255"/>
        <v>2529</v>
      </c>
      <c r="K585" s="839">
        <f t="shared" si="255"/>
        <v>0</v>
      </c>
      <c r="L585" s="839">
        <f t="shared" si="255"/>
        <v>109517</v>
      </c>
      <c r="M585" s="839">
        <f t="shared" si="255"/>
        <v>12375551</v>
      </c>
      <c r="N585" s="839">
        <f t="shared" si="255"/>
        <v>0</v>
      </c>
      <c r="O585" s="839">
        <f t="shared" si="255"/>
        <v>12375551</v>
      </c>
    </row>
    <row r="586" spans="1:16" ht="16.5" thickTop="1" x14ac:dyDescent="0.25">
      <c r="A586" s="771" t="s">
        <v>563</v>
      </c>
      <c r="B586" s="799" t="s">
        <v>382</v>
      </c>
      <c r="C586" s="800"/>
      <c r="D586" s="774"/>
      <c r="E586" s="774"/>
      <c r="F586" s="775"/>
      <c r="G586" s="801"/>
      <c r="H586" s="776"/>
      <c r="I586" s="802"/>
      <c r="J586" s="803"/>
      <c r="K586" s="803"/>
      <c r="L586" s="776"/>
      <c r="M586" s="804"/>
      <c r="N586" s="804"/>
      <c r="O586" s="804"/>
    </row>
    <row r="587" spans="1:16" x14ac:dyDescent="0.25">
      <c r="A587" s="771"/>
      <c r="B587" s="724" t="s">
        <v>24</v>
      </c>
      <c r="C587" s="800">
        <f>SUM(C588:C590)</f>
        <v>1990341</v>
      </c>
      <c r="D587" s="800">
        <f>SUM(D588:D590)</f>
        <v>364242</v>
      </c>
      <c r="E587" s="800">
        <f>SUM(E588:E590)</f>
        <v>307289</v>
      </c>
      <c r="F587" s="803"/>
      <c r="G587" s="801"/>
      <c r="H587" s="776">
        <f>SUM(C587:G587)</f>
        <v>2661872</v>
      </c>
      <c r="I587" s="777">
        <f>SUM(I588:I590)</f>
        <v>155540</v>
      </c>
      <c r="J587" s="777">
        <f>SUM(J588:J590)</f>
        <v>12911</v>
      </c>
      <c r="K587" s="775"/>
      <c r="L587" s="776">
        <f>SUM(I587:K587)</f>
        <v>168451</v>
      </c>
      <c r="M587" s="778">
        <f>SUM(H587+L587)</f>
        <v>2830323</v>
      </c>
      <c r="N587" s="778"/>
      <c r="O587" s="778">
        <f>SUM(M587+N587)</f>
        <v>2830323</v>
      </c>
    </row>
    <row r="588" spans="1:16" s="788" customFormat="1" x14ac:dyDescent="0.25">
      <c r="A588" s="779"/>
      <c r="B588" s="780" t="s">
        <v>381</v>
      </c>
      <c r="C588" s="805">
        <v>992616</v>
      </c>
      <c r="D588" s="806">
        <v>192522</v>
      </c>
      <c r="E588" s="782">
        <v>158465</v>
      </c>
      <c r="F588" s="834"/>
      <c r="G588" s="806"/>
      <c r="H588" s="784">
        <f>SUM(C588:G588)</f>
        <v>1343603</v>
      </c>
      <c r="I588" s="794">
        <v>97127</v>
      </c>
      <c r="J588" s="783">
        <v>10212</v>
      </c>
      <c r="K588" s="783"/>
      <c r="L588" s="784">
        <f>SUM(I588:K588)</f>
        <v>107339</v>
      </c>
      <c r="M588" s="787">
        <f>SUM(H588+L588)</f>
        <v>1450942</v>
      </c>
      <c r="N588" s="787"/>
      <c r="O588" s="787">
        <f>SUM(M588+N588)</f>
        <v>1450942</v>
      </c>
    </row>
    <row r="589" spans="1:16" s="788" customFormat="1" x14ac:dyDescent="0.25">
      <c r="A589" s="779"/>
      <c r="B589" s="780" t="s">
        <v>380</v>
      </c>
      <c r="C589" s="805">
        <v>315239</v>
      </c>
      <c r="D589" s="806">
        <v>39924</v>
      </c>
      <c r="E589" s="782">
        <v>39813</v>
      </c>
      <c r="F589" s="834"/>
      <c r="G589" s="806"/>
      <c r="H589" s="784">
        <f>SUM(C589:G589)</f>
        <v>394976</v>
      </c>
      <c r="I589" s="794"/>
      <c r="J589" s="783"/>
      <c r="K589" s="783"/>
      <c r="L589" s="784">
        <f>SUM(I589:K589)</f>
        <v>0</v>
      </c>
      <c r="M589" s="787">
        <f>SUM(H589+L589)</f>
        <v>394976</v>
      </c>
      <c r="N589" s="787"/>
      <c r="O589" s="787">
        <f>SUM(M589+N589)</f>
        <v>394976</v>
      </c>
    </row>
    <row r="590" spans="1:16" s="788" customFormat="1" x14ac:dyDescent="0.25">
      <c r="A590" s="779"/>
      <c r="B590" s="780" t="s">
        <v>447</v>
      </c>
      <c r="C590" s="805">
        <v>682486</v>
      </c>
      <c r="D590" s="806">
        <v>131796</v>
      </c>
      <c r="E590" s="782">
        <v>109011</v>
      </c>
      <c r="F590" s="834"/>
      <c r="G590" s="806"/>
      <c r="H590" s="784">
        <f>SUM(C590:G590)</f>
        <v>923293</v>
      </c>
      <c r="I590" s="794">
        <v>58413</v>
      </c>
      <c r="J590" s="783">
        <v>2699</v>
      </c>
      <c r="K590" s="783"/>
      <c r="L590" s="784">
        <f>SUM(I590:K590)</f>
        <v>61112</v>
      </c>
      <c r="M590" s="787">
        <f>SUM(H590+L590)</f>
        <v>984405</v>
      </c>
      <c r="N590" s="787"/>
      <c r="O590" s="787">
        <f>SUM(M590+N590)</f>
        <v>984405</v>
      </c>
    </row>
    <row r="591" spans="1:16" s="788" customFormat="1" x14ac:dyDescent="0.25">
      <c r="A591" s="816"/>
      <c r="B591" s="796" t="s">
        <v>131</v>
      </c>
      <c r="C591" s="781"/>
      <c r="D591" s="782"/>
      <c r="E591" s="782"/>
      <c r="F591" s="783"/>
      <c r="G591" s="782"/>
      <c r="H591" s="784"/>
      <c r="I591" s="794"/>
      <c r="J591" s="783"/>
      <c r="K591" s="783"/>
      <c r="L591" s="784"/>
      <c r="M591" s="784"/>
      <c r="N591" s="784"/>
      <c r="O591" s="784"/>
    </row>
    <row r="592" spans="1:16" s="788" customFormat="1" ht="31.5" x14ac:dyDescent="0.25">
      <c r="A592" s="816"/>
      <c r="B592" s="772" t="s">
        <v>1325</v>
      </c>
      <c r="C592" s="810">
        <v>686</v>
      </c>
      <c r="D592" s="811">
        <v>111</v>
      </c>
      <c r="E592" s="811"/>
      <c r="F592" s="812"/>
      <c r="G592" s="811"/>
      <c r="H592" s="797">
        <f t="shared" ref="H592:H598" si="256">SUM(C592:G592)</f>
        <v>797</v>
      </c>
      <c r="I592" s="815"/>
      <c r="J592" s="812"/>
      <c r="K592" s="812"/>
      <c r="L592" s="797">
        <f t="shared" ref="L592:L597" si="257">SUM(I592:K592)</f>
        <v>0</v>
      </c>
      <c r="M592" s="797">
        <f t="shared" ref="M592:M597" si="258">SUM(H592+L592)</f>
        <v>797</v>
      </c>
      <c r="N592" s="797"/>
      <c r="O592" s="797">
        <f t="shared" ref="O592:O597" si="259">SUM(M592+N592)</f>
        <v>797</v>
      </c>
    </row>
    <row r="593" spans="1:16" s="788" customFormat="1" ht="31.5" x14ac:dyDescent="0.25">
      <c r="A593" s="779"/>
      <c r="B593" s="724" t="s">
        <v>1388</v>
      </c>
      <c r="C593" s="835">
        <v>660</v>
      </c>
      <c r="D593" s="836">
        <v>58</v>
      </c>
      <c r="E593" s="811">
        <v>1550</v>
      </c>
      <c r="F593" s="837"/>
      <c r="G593" s="836"/>
      <c r="H593" s="797">
        <f t="shared" si="256"/>
        <v>2268</v>
      </c>
      <c r="I593" s="815">
        <v>2761</v>
      </c>
      <c r="J593" s="812"/>
      <c r="K593" s="812"/>
      <c r="L593" s="797">
        <f t="shared" si="257"/>
        <v>2761</v>
      </c>
      <c r="M593" s="798">
        <f t="shared" si="258"/>
        <v>5029</v>
      </c>
      <c r="N593" s="798"/>
      <c r="O593" s="798">
        <f t="shared" si="259"/>
        <v>5029</v>
      </c>
    </row>
    <row r="594" spans="1:16" s="788" customFormat="1" x14ac:dyDescent="0.25">
      <c r="A594" s="779"/>
      <c r="B594" s="724" t="s">
        <v>1389</v>
      </c>
      <c r="C594" s="835">
        <v>-378</v>
      </c>
      <c r="D594" s="836">
        <v>-112</v>
      </c>
      <c r="E594" s="811">
        <v>4138</v>
      </c>
      <c r="F594" s="837"/>
      <c r="G594" s="836"/>
      <c r="H594" s="797">
        <f t="shared" si="256"/>
        <v>3648</v>
      </c>
      <c r="I594" s="815">
        <v>-1285</v>
      </c>
      <c r="J594" s="812">
        <v>-2363</v>
      </c>
      <c r="K594" s="812"/>
      <c r="L594" s="797">
        <f t="shared" si="257"/>
        <v>-3648</v>
      </c>
      <c r="M594" s="798">
        <f t="shared" si="258"/>
        <v>0</v>
      </c>
      <c r="N594" s="798"/>
      <c r="O594" s="798">
        <f t="shared" si="259"/>
        <v>0</v>
      </c>
    </row>
    <row r="595" spans="1:16" s="788" customFormat="1" x14ac:dyDescent="0.25">
      <c r="A595" s="779"/>
      <c r="B595" s="780" t="s">
        <v>132</v>
      </c>
      <c r="C595" s="835"/>
      <c r="D595" s="836"/>
      <c r="E595" s="811"/>
      <c r="F595" s="837"/>
      <c r="G595" s="836"/>
      <c r="H595" s="797">
        <f t="shared" si="256"/>
        <v>0</v>
      </c>
      <c r="I595" s="815"/>
      <c r="J595" s="812"/>
      <c r="K595" s="812"/>
      <c r="L595" s="797">
        <f t="shared" si="257"/>
        <v>0</v>
      </c>
      <c r="M595" s="798">
        <f t="shared" si="258"/>
        <v>0</v>
      </c>
      <c r="N595" s="798"/>
      <c r="O595" s="798">
        <f t="shared" si="259"/>
        <v>0</v>
      </c>
    </row>
    <row r="596" spans="1:16" s="788" customFormat="1" x14ac:dyDescent="0.25">
      <c r="A596" s="779"/>
      <c r="B596" s="724" t="s">
        <v>962</v>
      </c>
      <c r="C596" s="835">
        <v>-135664</v>
      </c>
      <c r="D596" s="836">
        <v>-21028</v>
      </c>
      <c r="E596" s="811"/>
      <c r="F596" s="837"/>
      <c r="G596" s="836"/>
      <c r="H596" s="797">
        <f t="shared" si="256"/>
        <v>-156692</v>
      </c>
      <c r="I596" s="815"/>
      <c r="J596" s="812"/>
      <c r="K596" s="812"/>
      <c r="L596" s="797">
        <f t="shared" si="257"/>
        <v>0</v>
      </c>
      <c r="M596" s="798">
        <f t="shared" si="258"/>
        <v>-156692</v>
      </c>
      <c r="N596" s="798"/>
      <c r="O596" s="798">
        <f t="shared" si="259"/>
        <v>-156692</v>
      </c>
    </row>
    <row r="597" spans="1:16" s="788" customFormat="1" x14ac:dyDescent="0.25">
      <c r="A597" s="779"/>
      <c r="B597" s="724" t="s">
        <v>1389</v>
      </c>
      <c r="C597" s="835">
        <v>276</v>
      </c>
      <c r="D597" s="836">
        <v>496</v>
      </c>
      <c r="E597" s="811">
        <v>-772</v>
      </c>
      <c r="F597" s="837"/>
      <c r="G597" s="836"/>
      <c r="H597" s="797">
        <f t="shared" si="256"/>
        <v>0</v>
      </c>
      <c r="I597" s="815"/>
      <c r="J597" s="812"/>
      <c r="K597" s="812"/>
      <c r="L597" s="797">
        <f t="shared" si="257"/>
        <v>0</v>
      </c>
      <c r="M597" s="798">
        <f t="shared" si="258"/>
        <v>0</v>
      </c>
      <c r="N597" s="798"/>
      <c r="O597" s="798">
        <f t="shared" si="259"/>
        <v>0</v>
      </c>
    </row>
    <row r="598" spans="1:16" s="788" customFormat="1" x14ac:dyDescent="0.25">
      <c r="A598" s="779"/>
      <c r="B598" s="780" t="s">
        <v>333</v>
      </c>
      <c r="C598" s="835"/>
      <c r="D598" s="836"/>
      <c r="E598" s="811"/>
      <c r="F598" s="837"/>
      <c r="G598" s="836"/>
      <c r="H598" s="797">
        <f t="shared" si="256"/>
        <v>0</v>
      </c>
      <c r="I598" s="815"/>
      <c r="J598" s="812"/>
      <c r="K598" s="812"/>
      <c r="L598" s="797"/>
      <c r="M598" s="798"/>
      <c r="N598" s="798"/>
      <c r="O598" s="798"/>
    </row>
    <row r="599" spans="1:16" s="788" customFormat="1" ht="31.5" x14ac:dyDescent="0.25">
      <c r="A599" s="779"/>
      <c r="B599" s="724" t="s">
        <v>1388</v>
      </c>
      <c r="C599" s="835">
        <v>475</v>
      </c>
      <c r="D599" s="836">
        <v>41</v>
      </c>
      <c r="E599" s="811">
        <v>1113</v>
      </c>
      <c r="F599" s="837"/>
      <c r="G599" s="836"/>
      <c r="H599" s="797">
        <f>SUM(C599:G599)</f>
        <v>1629</v>
      </c>
      <c r="I599" s="815">
        <v>1975</v>
      </c>
      <c r="J599" s="812"/>
      <c r="K599" s="812"/>
      <c r="L599" s="797">
        <f>SUM(I599:K599)</f>
        <v>1975</v>
      </c>
      <c r="M599" s="798">
        <f>SUM(H599+L599)</f>
        <v>3604</v>
      </c>
      <c r="N599" s="798"/>
      <c r="O599" s="798">
        <f>SUM(M599+N599)</f>
        <v>3604</v>
      </c>
    </row>
    <row r="600" spans="1:16" s="788" customFormat="1" ht="16.5" thickBot="1" x14ac:dyDescent="0.3">
      <c r="A600" s="779"/>
      <c r="B600" s="724" t="s">
        <v>1389</v>
      </c>
      <c r="C600" s="835">
        <v>-8</v>
      </c>
      <c r="D600" s="836">
        <v>150</v>
      </c>
      <c r="E600" s="811">
        <v>2477</v>
      </c>
      <c r="F600" s="837"/>
      <c r="G600" s="836"/>
      <c r="H600" s="797">
        <f>SUM(C600:G600)</f>
        <v>2619</v>
      </c>
      <c r="I600" s="815">
        <v>-922</v>
      </c>
      <c r="J600" s="812">
        <v>-1697</v>
      </c>
      <c r="K600" s="812"/>
      <c r="L600" s="797">
        <f>SUM(I600:K600)</f>
        <v>-2619</v>
      </c>
      <c r="M600" s="798">
        <f>SUM(H600+L600)</f>
        <v>0</v>
      </c>
      <c r="N600" s="798"/>
      <c r="O600" s="798">
        <f>SUM(M600+N600)</f>
        <v>0</v>
      </c>
    </row>
    <row r="601" spans="1:16" s="853" customFormat="1" ht="17.25" thickTop="1" thickBot="1" x14ac:dyDescent="0.3">
      <c r="A601" s="791"/>
      <c r="B601" s="792" t="s">
        <v>379</v>
      </c>
      <c r="C601" s="793">
        <f>+C587+C592+C593+C594+C596+C599+C597+C600</f>
        <v>1856388</v>
      </c>
      <c r="D601" s="793">
        <f t="shared" ref="D601:O601" si="260">+D587+D592+D593+D594+D596+D599+D597+D600</f>
        <v>343958</v>
      </c>
      <c r="E601" s="793">
        <f t="shared" si="260"/>
        <v>315795</v>
      </c>
      <c r="F601" s="793">
        <f t="shared" si="260"/>
        <v>0</v>
      </c>
      <c r="G601" s="793">
        <f t="shared" si="260"/>
        <v>0</v>
      </c>
      <c r="H601" s="793">
        <f t="shared" si="260"/>
        <v>2516141</v>
      </c>
      <c r="I601" s="793">
        <f t="shared" si="260"/>
        <v>158069</v>
      </c>
      <c r="J601" s="793">
        <f t="shared" si="260"/>
        <v>8851</v>
      </c>
      <c r="K601" s="793">
        <f t="shared" si="260"/>
        <v>0</v>
      </c>
      <c r="L601" s="793">
        <f t="shared" si="260"/>
        <v>166920</v>
      </c>
      <c r="M601" s="793">
        <f t="shared" si="260"/>
        <v>2683061</v>
      </c>
      <c r="N601" s="793">
        <f t="shared" si="260"/>
        <v>0</v>
      </c>
      <c r="O601" s="793">
        <f t="shared" si="260"/>
        <v>2683061</v>
      </c>
      <c r="P601" s="852">
        <f>O602+O603+O604</f>
        <v>2683061</v>
      </c>
    </row>
    <row r="602" spans="1:16" ht="17.25" thickTop="1" thickBot="1" x14ac:dyDescent="0.3">
      <c r="A602" s="791"/>
      <c r="B602" s="792" t="s">
        <v>378</v>
      </c>
      <c r="C602" s="793">
        <f>+C588+C592+C593+C594</f>
        <v>993584</v>
      </c>
      <c r="D602" s="793">
        <f t="shared" ref="D602:O602" si="261">+D588+D592+D593+D594</f>
        <v>192579</v>
      </c>
      <c r="E602" s="793">
        <f t="shared" si="261"/>
        <v>164153</v>
      </c>
      <c r="F602" s="793">
        <f t="shared" si="261"/>
        <v>0</v>
      </c>
      <c r="G602" s="793">
        <f t="shared" si="261"/>
        <v>0</v>
      </c>
      <c r="H602" s="793">
        <f t="shared" si="261"/>
        <v>1350316</v>
      </c>
      <c r="I602" s="793">
        <f t="shared" si="261"/>
        <v>98603</v>
      </c>
      <c r="J602" s="793">
        <f t="shared" si="261"/>
        <v>7849</v>
      </c>
      <c r="K602" s="793">
        <f t="shared" si="261"/>
        <v>0</v>
      </c>
      <c r="L602" s="793">
        <f t="shared" si="261"/>
        <v>106452</v>
      </c>
      <c r="M602" s="793">
        <f t="shared" si="261"/>
        <v>1456768</v>
      </c>
      <c r="N602" s="793">
        <f t="shared" si="261"/>
        <v>0</v>
      </c>
      <c r="O602" s="793">
        <f t="shared" si="261"/>
        <v>1456768</v>
      </c>
    </row>
    <row r="603" spans="1:16" ht="17.25" thickTop="1" thickBot="1" x14ac:dyDescent="0.3">
      <c r="A603" s="791"/>
      <c r="B603" s="792" t="s">
        <v>377</v>
      </c>
      <c r="C603" s="793">
        <f>+C589+C596+C597</f>
        <v>179851</v>
      </c>
      <c r="D603" s="793">
        <f t="shared" ref="D603:O603" si="262">+D589+D596+D597</f>
        <v>19392</v>
      </c>
      <c r="E603" s="793">
        <f t="shared" si="262"/>
        <v>39041</v>
      </c>
      <c r="F603" s="793">
        <f t="shared" si="262"/>
        <v>0</v>
      </c>
      <c r="G603" s="793">
        <f t="shared" si="262"/>
        <v>0</v>
      </c>
      <c r="H603" s="793">
        <f t="shared" si="262"/>
        <v>238284</v>
      </c>
      <c r="I603" s="793">
        <f t="shared" si="262"/>
        <v>0</v>
      </c>
      <c r="J603" s="793">
        <f t="shared" si="262"/>
        <v>0</v>
      </c>
      <c r="K603" s="793">
        <f t="shared" si="262"/>
        <v>0</v>
      </c>
      <c r="L603" s="793">
        <f t="shared" si="262"/>
        <v>0</v>
      </c>
      <c r="M603" s="793">
        <f t="shared" si="262"/>
        <v>238284</v>
      </c>
      <c r="N603" s="793">
        <f t="shared" si="262"/>
        <v>0</v>
      </c>
      <c r="O603" s="793">
        <f t="shared" si="262"/>
        <v>238284</v>
      </c>
    </row>
    <row r="604" spans="1:16" ht="33" thickTop="1" thickBot="1" x14ac:dyDescent="0.3">
      <c r="A604" s="791"/>
      <c r="B604" s="792" t="s">
        <v>446</v>
      </c>
      <c r="C604" s="793">
        <f t="shared" ref="C604:O604" si="263">+C590+C599+C600</f>
        <v>682953</v>
      </c>
      <c r="D604" s="793">
        <f t="shared" si="263"/>
        <v>131987</v>
      </c>
      <c r="E604" s="793">
        <f t="shared" si="263"/>
        <v>112601</v>
      </c>
      <c r="F604" s="793">
        <f t="shared" si="263"/>
        <v>0</v>
      </c>
      <c r="G604" s="793">
        <f t="shared" si="263"/>
        <v>0</v>
      </c>
      <c r="H604" s="793">
        <f t="shared" si="263"/>
        <v>927541</v>
      </c>
      <c r="I604" s="793">
        <f t="shared" si="263"/>
        <v>59466</v>
      </c>
      <c r="J604" s="793">
        <f t="shared" si="263"/>
        <v>1002</v>
      </c>
      <c r="K604" s="793">
        <f t="shared" si="263"/>
        <v>0</v>
      </c>
      <c r="L604" s="793">
        <f t="shared" si="263"/>
        <v>60468</v>
      </c>
      <c r="M604" s="793">
        <f t="shared" si="263"/>
        <v>988009</v>
      </c>
      <c r="N604" s="793">
        <f t="shared" si="263"/>
        <v>0</v>
      </c>
      <c r="O604" s="793">
        <f t="shared" si="263"/>
        <v>988009</v>
      </c>
    </row>
    <row r="605" spans="1:16" s="853" customFormat="1" ht="17.25" thickTop="1" thickBot="1" x14ac:dyDescent="0.3">
      <c r="A605" s="791"/>
      <c r="B605" s="792" t="s">
        <v>375</v>
      </c>
      <c r="C605" s="839">
        <f t="shared" ref="C605:O605" si="264">SUM(C585+C601)</f>
        <v>8555641</v>
      </c>
      <c r="D605" s="839">
        <f t="shared" si="264"/>
        <v>1546176</v>
      </c>
      <c r="E605" s="839">
        <f t="shared" si="264"/>
        <v>4668485</v>
      </c>
      <c r="F605" s="839">
        <f t="shared" si="264"/>
        <v>11588</v>
      </c>
      <c r="G605" s="839">
        <f t="shared" si="264"/>
        <v>285</v>
      </c>
      <c r="H605" s="839">
        <f t="shared" si="264"/>
        <v>14782175</v>
      </c>
      <c r="I605" s="839">
        <f t="shared" si="264"/>
        <v>265057</v>
      </c>
      <c r="J605" s="839">
        <f t="shared" si="264"/>
        <v>11380</v>
      </c>
      <c r="K605" s="839">
        <f t="shared" si="264"/>
        <v>0</v>
      </c>
      <c r="L605" s="839">
        <f t="shared" si="264"/>
        <v>276437</v>
      </c>
      <c r="M605" s="839">
        <f t="shared" si="264"/>
        <v>15058612</v>
      </c>
      <c r="N605" s="839">
        <f t="shared" si="264"/>
        <v>0</v>
      </c>
      <c r="O605" s="839">
        <f t="shared" si="264"/>
        <v>15058612</v>
      </c>
    </row>
    <row r="606" spans="1:16" s="853" customFormat="1" ht="17.25" thickTop="1" thickBot="1" x14ac:dyDescent="0.3">
      <c r="A606" s="791"/>
      <c r="B606" s="792" t="s">
        <v>347</v>
      </c>
      <c r="C606" s="839">
        <f t="shared" ref="C606:O606" si="265">SUM(C8+C24+C41+C61+C81+C100+C119+C139+C158+C177+C196+C215+C241+C262+C281+C302+C325+C336+C354+C375+C397+C416+C431+C450+C464+C474+C494+C521+C536+C549+C562+C587+C511)</f>
        <v>8362384</v>
      </c>
      <c r="D606" s="839">
        <f t="shared" si="265"/>
        <v>1519362</v>
      </c>
      <c r="E606" s="839">
        <f t="shared" si="265"/>
        <v>5011293</v>
      </c>
      <c r="F606" s="839">
        <f t="shared" si="265"/>
        <v>0</v>
      </c>
      <c r="G606" s="839">
        <f t="shared" si="265"/>
        <v>0</v>
      </c>
      <c r="H606" s="839">
        <f t="shared" si="265"/>
        <v>14893039</v>
      </c>
      <c r="I606" s="839">
        <f t="shared" si="265"/>
        <v>236497</v>
      </c>
      <c r="J606" s="839">
        <f t="shared" si="265"/>
        <v>15439</v>
      </c>
      <c r="K606" s="839">
        <f t="shared" si="265"/>
        <v>2770</v>
      </c>
      <c r="L606" s="839">
        <f t="shared" si="265"/>
        <v>254706</v>
      </c>
      <c r="M606" s="839">
        <f t="shared" si="265"/>
        <v>15147745</v>
      </c>
      <c r="N606" s="839">
        <f t="shared" si="265"/>
        <v>0</v>
      </c>
      <c r="O606" s="839">
        <f t="shared" si="265"/>
        <v>15147745</v>
      </c>
    </row>
    <row r="607" spans="1:16" ht="16.5" thickTop="1" x14ac:dyDescent="0.25">
      <c r="A607" s="817"/>
      <c r="B607" s="854" t="s">
        <v>131</v>
      </c>
      <c r="C607" s="819"/>
      <c r="D607" s="820"/>
      <c r="E607" s="820"/>
      <c r="F607" s="820"/>
      <c r="G607" s="820"/>
      <c r="H607" s="822"/>
      <c r="I607" s="823"/>
      <c r="J607" s="821"/>
      <c r="K607" s="821"/>
      <c r="L607" s="822"/>
      <c r="M607" s="822"/>
      <c r="N607" s="822"/>
      <c r="O607" s="822"/>
    </row>
    <row r="608" spans="1:16" s="702" customFormat="1" ht="31.5" x14ac:dyDescent="0.25">
      <c r="A608" s="855"/>
      <c r="B608" s="856" t="s">
        <v>1325</v>
      </c>
      <c r="C608" s="857">
        <f t="shared" ref="C608:O608" si="266">C12+C28+C45+C65+C85+C104+C123+C143+C162+C181+C200+C219+C285+C306+C358+C379+C401+C420+C435+C454+C478+C498+C592</f>
        <v>4185</v>
      </c>
      <c r="D608" s="857">
        <f t="shared" si="266"/>
        <v>681</v>
      </c>
      <c r="E608" s="857">
        <f t="shared" si="266"/>
        <v>0</v>
      </c>
      <c r="F608" s="857">
        <f t="shared" si="266"/>
        <v>0</v>
      </c>
      <c r="G608" s="857">
        <f t="shared" si="266"/>
        <v>0</v>
      </c>
      <c r="H608" s="858">
        <f t="shared" si="266"/>
        <v>4866</v>
      </c>
      <c r="I608" s="858">
        <f t="shared" si="266"/>
        <v>0</v>
      </c>
      <c r="J608" s="858">
        <f t="shared" si="266"/>
        <v>0</v>
      </c>
      <c r="K608" s="858">
        <f t="shared" si="266"/>
        <v>0</v>
      </c>
      <c r="L608" s="858">
        <f t="shared" si="266"/>
        <v>0</v>
      </c>
      <c r="M608" s="858">
        <f t="shared" si="266"/>
        <v>4866</v>
      </c>
      <c r="N608" s="858">
        <f t="shared" si="266"/>
        <v>0</v>
      </c>
      <c r="O608" s="858">
        <f t="shared" si="266"/>
        <v>4866</v>
      </c>
    </row>
    <row r="609" spans="1:16" s="702" customFormat="1" ht="47.25" x14ac:dyDescent="0.25">
      <c r="A609" s="855"/>
      <c r="B609" s="856" t="s">
        <v>1331</v>
      </c>
      <c r="C609" s="857">
        <f t="shared" ref="C609:O609" si="267">C29+C46+C66+C86+C105+C124+C144+C402+C421+C436</f>
        <v>146527</v>
      </c>
      <c r="D609" s="857">
        <f t="shared" si="267"/>
        <v>23426</v>
      </c>
      <c r="E609" s="857">
        <f t="shared" si="267"/>
        <v>0</v>
      </c>
      <c r="F609" s="857">
        <f t="shared" si="267"/>
        <v>0</v>
      </c>
      <c r="G609" s="857">
        <f t="shared" si="267"/>
        <v>0</v>
      </c>
      <c r="H609" s="858">
        <f t="shared" si="267"/>
        <v>169953</v>
      </c>
      <c r="I609" s="858">
        <f t="shared" si="267"/>
        <v>0</v>
      </c>
      <c r="J609" s="858">
        <f t="shared" si="267"/>
        <v>0</v>
      </c>
      <c r="K609" s="858">
        <f t="shared" si="267"/>
        <v>0</v>
      </c>
      <c r="L609" s="858">
        <f t="shared" si="267"/>
        <v>0</v>
      </c>
      <c r="M609" s="858">
        <f t="shared" si="267"/>
        <v>169953</v>
      </c>
      <c r="N609" s="858">
        <f t="shared" si="267"/>
        <v>0</v>
      </c>
      <c r="O609" s="858">
        <f t="shared" si="267"/>
        <v>169953</v>
      </c>
    </row>
    <row r="610" spans="1:16" s="702" customFormat="1" ht="47.25" x14ac:dyDescent="0.25">
      <c r="A610" s="855"/>
      <c r="B610" s="856" t="s">
        <v>1361</v>
      </c>
      <c r="C610" s="857">
        <f t="shared" ref="C610:O610" si="268">C403</f>
        <v>4303</v>
      </c>
      <c r="D610" s="857">
        <f t="shared" si="268"/>
        <v>681</v>
      </c>
      <c r="E610" s="857">
        <f t="shared" si="268"/>
        <v>0</v>
      </c>
      <c r="F610" s="857">
        <f t="shared" si="268"/>
        <v>0</v>
      </c>
      <c r="G610" s="857">
        <f t="shared" si="268"/>
        <v>0</v>
      </c>
      <c r="H610" s="858">
        <f t="shared" si="268"/>
        <v>4984</v>
      </c>
      <c r="I610" s="858">
        <f t="shared" si="268"/>
        <v>0</v>
      </c>
      <c r="J610" s="858">
        <f t="shared" si="268"/>
        <v>0</v>
      </c>
      <c r="K610" s="858">
        <f t="shared" si="268"/>
        <v>0</v>
      </c>
      <c r="L610" s="858">
        <f t="shared" si="268"/>
        <v>0</v>
      </c>
      <c r="M610" s="858">
        <f t="shared" si="268"/>
        <v>4984</v>
      </c>
      <c r="N610" s="858">
        <f t="shared" si="268"/>
        <v>0</v>
      </c>
      <c r="O610" s="858">
        <f t="shared" si="268"/>
        <v>4984</v>
      </c>
    </row>
    <row r="611" spans="1:16" s="702" customFormat="1" ht="47.25" x14ac:dyDescent="0.25">
      <c r="A611" s="855"/>
      <c r="B611" s="856" t="s">
        <v>1518</v>
      </c>
      <c r="C611" s="857">
        <f t="shared" ref="C611:O611" si="269">C479+C499+C566</f>
        <v>31683</v>
      </c>
      <c r="D611" s="857">
        <f t="shared" si="269"/>
        <v>5070</v>
      </c>
      <c r="E611" s="857">
        <f t="shared" si="269"/>
        <v>0</v>
      </c>
      <c r="F611" s="857">
        <f t="shared" si="269"/>
        <v>0</v>
      </c>
      <c r="G611" s="857">
        <f t="shared" si="269"/>
        <v>0</v>
      </c>
      <c r="H611" s="858">
        <f t="shared" si="269"/>
        <v>36753</v>
      </c>
      <c r="I611" s="858">
        <f t="shared" si="269"/>
        <v>0</v>
      </c>
      <c r="J611" s="858">
        <f t="shared" si="269"/>
        <v>0</v>
      </c>
      <c r="K611" s="858">
        <f t="shared" si="269"/>
        <v>0</v>
      </c>
      <c r="L611" s="858">
        <f t="shared" si="269"/>
        <v>0</v>
      </c>
      <c r="M611" s="858">
        <f t="shared" si="269"/>
        <v>36753</v>
      </c>
      <c r="N611" s="858">
        <f t="shared" si="269"/>
        <v>0</v>
      </c>
      <c r="O611" s="858">
        <f t="shared" si="269"/>
        <v>36753</v>
      </c>
    </row>
    <row r="612" spans="1:16" s="702" customFormat="1" ht="63" x14ac:dyDescent="0.25">
      <c r="A612" s="855"/>
      <c r="B612" s="856" t="s">
        <v>1326</v>
      </c>
      <c r="C612" s="857">
        <f t="shared" ref="C612:O612" si="270">C13+C67+C125+C182+C201+C245+C266+C286+C307+C340+C359+C380+C455+C480</f>
        <v>25044</v>
      </c>
      <c r="D612" s="857">
        <f t="shared" si="270"/>
        <v>4185</v>
      </c>
      <c r="E612" s="857">
        <f t="shared" si="270"/>
        <v>0</v>
      </c>
      <c r="F612" s="857">
        <f t="shared" si="270"/>
        <v>0</v>
      </c>
      <c r="G612" s="857">
        <f t="shared" si="270"/>
        <v>0</v>
      </c>
      <c r="H612" s="858">
        <f t="shared" si="270"/>
        <v>29229</v>
      </c>
      <c r="I612" s="858">
        <f t="shared" si="270"/>
        <v>0</v>
      </c>
      <c r="J612" s="858">
        <f t="shared" si="270"/>
        <v>0</v>
      </c>
      <c r="K612" s="858">
        <f t="shared" si="270"/>
        <v>0</v>
      </c>
      <c r="L612" s="858">
        <f t="shared" si="270"/>
        <v>0</v>
      </c>
      <c r="M612" s="858">
        <f t="shared" si="270"/>
        <v>29229</v>
      </c>
      <c r="N612" s="858">
        <f t="shared" si="270"/>
        <v>0</v>
      </c>
      <c r="O612" s="858">
        <f t="shared" si="270"/>
        <v>29229</v>
      </c>
    </row>
    <row r="613" spans="1:16" s="702" customFormat="1" x14ac:dyDescent="0.25">
      <c r="A613" s="855"/>
      <c r="B613" s="856" t="s">
        <v>1365</v>
      </c>
      <c r="C613" s="857">
        <f t="shared" ref="C613:O613" si="271">C437</f>
        <v>211</v>
      </c>
      <c r="D613" s="857">
        <f t="shared" si="271"/>
        <v>33</v>
      </c>
      <c r="E613" s="857">
        <f t="shared" si="271"/>
        <v>0</v>
      </c>
      <c r="F613" s="857">
        <f t="shared" si="271"/>
        <v>0</v>
      </c>
      <c r="G613" s="857">
        <f t="shared" si="271"/>
        <v>0</v>
      </c>
      <c r="H613" s="858">
        <f t="shared" si="271"/>
        <v>244</v>
      </c>
      <c r="I613" s="858">
        <f t="shared" si="271"/>
        <v>0</v>
      </c>
      <c r="J613" s="858">
        <f t="shared" si="271"/>
        <v>0</v>
      </c>
      <c r="K613" s="858">
        <f t="shared" si="271"/>
        <v>0</v>
      </c>
      <c r="L613" s="858">
        <f t="shared" si="271"/>
        <v>0</v>
      </c>
      <c r="M613" s="858">
        <f t="shared" si="271"/>
        <v>244</v>
      </c>
      <c r="N613" s="858">
        <f t="shared" si="271"/>
        <v>0</v>
      </c>
      <c r="O613" s="858">
        <f t="shared" si="271"/>
        <v>244</v>
      </c>
    </row>
    <row r="614" spans="1:16" s="702" customFormat="1" ht="31.5" x14ac:dyDescent="0.25">
      <c r="A614" s="855"/>
      <c r="B614" s="856" t="s">
        <v>565</v>
      </c>
      <c r="C614" s="857">
        <f t="shared" ref="C614:O614" si="272">C30+C47+C68+C87+C106+C126+C145+C163+C246+C267+C287+C308+C404+C456+C481+C500</f>
        <v>-3047</v>
      </c>
      <c r="D614" s="857">
        <f t="shared" si="272"/>
        <v>-479</v>
      </c>
      <c r="E614" s="857">
        <f t="shared" si="272"/>
        <v>-10330</v>
      </c>
      <c r="F614" s="857">
        <f t="shared" si="272"/>
        <v>0</v>
      </c>
      <c r="G614" s="857">
        <f t="shared" si="272"/>
        <v>0</v>
      </c>
      <c r="H614" s="858">
        <f t="shared" si="272"/>
        <v>-13856</v>
      </c>
      <c r="I614" s="858">
        <f t="shared" si="272"/>
        <v>13855</v>
      </c>
      <c r="J614" s="858">
        <f t="shared" si="272"/>
        <v>1</v>
      </c>
      <c r="K614" s="858">
        <f t="shared" si="272"/>
        <v>0</v>
      </c>
      <c r="L614" s="858">
        <f t="shared" si="272"/>
        <v>13856</v>
      </c>
      <c r="M614" s="858">
        <f t="shared" si="272"/>
        <v>0</v>
      </c>
      <c r="N614" s="858">
        <f t="shared" si="272"/>
        <v>0</v>
      </c>
      <c r="O614" s="858">
        <f t="shared" si="272"/>
        <v>0</v>
      </c>
    </row>
    <row r="615" spans="1:16" s="702" customFormat="1" ht="47.25" x14ac:dyDescent="0.25">
      <c r="A615" s="855"/>
      <c r="B615" s="856" t="s">
        <v>960</v>
      </c>
      <c r="C615" s="857">
        <f t="shared" ref="C615:O615" si="273">C482</f>
        <v>161</v>
      </c>
      <c r="D615" s="857">
        <f t="shared" si="273"/>
        <v>25</v>
      </c>
      <c r="E615" s="857">
        <f t="shared" si="273"/>
        <v>49930</v>
      </c>
      <c r="F615" s="857">
        <f t="shared" si="273"/>
        <v>10446</v>
      </c>
      <c r="G615" s="857">
        <f t="shared" si="273"/>
        <v>0</v>
      </c>
      <c r="H615" s="858">
        <f t="shared" si="273"/>
        <v>60562</v>
      </c>
      <c r="I615" s="858">
        <f t="shared" si="273"/>
        <v>0</v>
      </c>
      <c r="J615" s="858">
        <f t="shared" si="273"/>
        <v>0</v>
      </c>
      <c r="K615" s="858">
        <f t="shared" si="273"/>
        <v>0</v>
      </c>
      <c r="L615" s="858">
        <f t="shared" si="273"/>
        <v>0</v>
      </c>
      <c r="M615" s="858">
        <f t="shared" si="273"/>
        <v>60562</v>
      </c>
      <c r="N615" s="858">
        <f t="shared" si="273"/>
        <v>0</v>
      </c>
      <c r="O615" s="858">
        <f t="shared" si="273"/>
        <v>60562</v>
      </c>
    </row>
    <row r="616" spans="1:16" s="702" customFormat="1" ht="78.75" x14ac:dyDescent="0.25">
      <c r="A616" s="855"/>
      <c r="B616" s="856" t="s">
        <v>1390</v>
      </c>
      <c r="C616" s="857">
        <f t="shared" ref="C616:O616" si="274">C48+C69+C88+C107+C127+C146+C164+C183+C202+C220+C247+C268+C288+C309+C341+C360+C381+C225</f>
        <v>55633</v>
      </c>
      <c r="D616" s="857">
        <f t="shared" si="274"/>
        <v>8623</v>
      </c>
      <c r="E616" s="857">
        <f t="shared" si="274"/>
        <v>0</v>
      </c>
      <c r="F616" s="857">
        <f t="shared" si="274"/>
        <v>0</v>
      </c>
      <c r="G616" s="857">
        <f t="shared" si="274"/>
        <v>0</v>
      </c>
      <c r="H616" s="858">
        <f t="shared" si="274"/>
        <v>64256</v>
      </c>
      <c r="I616" s="858">
        <f t="shared" si="274"/>
        <v>0</v>
      </c>
      <c r="J616" s="858">
        <f t="shared" si="274"/>
        <v>0</v>
      </c>
      <c r="K616" s="858">
        <f t="shared" si="274"/>
        <v>0</v>
      </c>
      <c r="L616" s="858">
        <f t="shared" si="274"/>
        <v>0</v>
      </c>
      <c r="M616" s="858">
        <f t="shared" si="274"/>
        <v>64256</v>
      </c>
      <c r="N616" s="858">
        <f t="shared" si="274"/>
        <v>0</v>
      </c>
      <c r="O616" s="858">
        <f t="shared" si="274"/>
        <v>64256</v>
      </c>
      <c r="P616" s="702" t="s">
        <v>1391</v>
      </c>
    </row>
    <row r="617" spans="1:16" s="702" customFormat="1" ht="47.25" x14ac:dyDescent="0.25">
      <c r="A617" s="855"/>
      <c r="B617" s="856" t="s">
        <v>1392</v>
      </c>
      <c r="C617" s="857">
        <f t="shared" ref="C617:O617" si="275">C165+C184+C203+C221+C248+C269+C289+C310+C342+C361+C382+C226</f>
        <v>15676</v>
      </c>
      <c r="D617" s="857">
        <f t="shared" si="275"/>
        <v>2430</v>
      </c>
      <c r="E617" s="857">
        <f t="shared" si="275"/>
        <v>0</v>
      </c>
      <c r="F617" s="857">
        <f t="shared" si="275"/>
        <v>0</v>
      </c>
      <c r="G617" s="857">
        <f t="shared" si="275"/>
        <v>0</v>
      </c>
      <c r="H617" s="858">
        <f t="shared" si="275"/>
        <v>18106</v>
      </c>
      <c r="I617" s="858">
        <f t="shared" si="275"/>
        <v>0</v>
      </c>
      <c r="J617" s="858">
        <f t="shared" si="275"/>
        <v>0</v>
      </c>
      <c r="K617" s="858">
        <f t="shared" si="275"/>
        <v>0</v>
      </c>
      <c r="L617" s="858">
        <f t="shared" si="275"/>
        <v>0</v>
      </c>
      <c r="M617" s="858">
        <f t="shared" si="275"/>
        <v>18106</v>
      </c>
      <c r="N617" s="858">
        <f t="shared" si="275"/>
        <v>0</v>
      </c>
      <c r="O617" s="858">
        <f t="shared" si="275"/>
        <v>18106</v>
      </c>
    </row>
    <row r="618" spans="1:16" s="702" customFormat="1" ht="31.5" x14ac:dyDescent="0.25">
      <c r="A618" s="855"/>
      <c r="B618" s="968" t="s">
        <v>1327</v>
      </c>
      <c r="C618" s="857">
        <f t="shared" ref="C618:O618" si="276">C14+C49+C70+C89+C128+C185+C204+C222+C249+C270+C290+C311+C343+C362+C383+C405+C422+C438+C483+C501+C227</f>
        <v>-131626</v>
      </c>
      <c r="D618" s="857">
        <f t="shared" si="276"/>
        <v>-24335</v>
      </c>
      <c r="E618" s="857">
        <f t="shared" si="276"/>
        <v>0</v>
      </c>
      <c r="F618" s="857">
        <f t="shared" si="276"/>
        <v>0</v>
      </c>
      <c r="G618" s="857">
        <f t="shared" si="276"/>
        <v>0</v>
      </c>
      <c r="H618" s="858">
        <f t="shared" si="276"/>
        <v>-155961</v>
      </c>
      <c r="I618" s="858">
        <f t="shared" si="276"/>
        <v>0</v>
      </c>
      <c r="J618" s="858">
        <f t="shared" si="276"/>
        <v>0</v>
      </c>
      <c r="K618" s="858">
        <f t="shared" si="276"/>
        <v>0</v>
      </c>
      <c r="L618" s="858">
        <f t="shared" si="276"/>
        <v>0</v>
      </c>
      <c r="M618" s="858">
        <f t="shared" si="276"/>
        <v>-155961</v>
      </c>
      <c r="N618" s="858">
        <f t="shared" si="276"/>
        <v>0</v>
      </c>
      <c r="O618" s="858">
        <f t="shared" si="276"/>
        <v>-155961</v>
      </c>
      <c r="P618" s="702" t="s">
        <v>1393</v>
      </c>
    </row>
    <row r="619" spans="1:16" s="702" customFormat="1" ht="31.5" x14ac:dyDescent="0.25">
      <c r="A619" s="855"/>
      <c r="B619" s="968" t="s">
        <v>961</v>
      </c>
      <c r="C619" s="857">
        <f t="shared" ref="C619:O619" si="277">C15+C31+C129+C147+C166+C186+C205+C223+C312+C439+C50+C71+C90+C108+C251+C272+C292+C345+C364+C385</f>
        <v>57081</v>
      </c>
      <c r="D619" s="857">
        <f t="shared" si="277"/>
        <v>8859</v>
      </c>
      <c r="E619" s="857">
        <f t="shared" si="277"/>
        <v>25277</v>
      </c>
      <c r="F619" s="857">
        <f t="shared" si="277"/>
        <v>1142</v>
      </c>
      <c r="G619" s="857">
        <f t="shared" si="277"/>
        <v>0</v>
      </c>
      <c r="H619" s="858">
        <f t="shared" si="277"/>
        <v>92359</v>
      </c>
      <c r="I619" s="858">
        <f t="shared" si="277"/>
        <v>5169</v>
      </c>
      <c r="J619" s="858">
        <f t="shared" si="277"/>
        <v>0</v>
      </c>
      <c r="K619" s="858">
        <f t="shared" si="277"/>
        <v>0</v>
      </c>
      <c r="L619" s="858">
        <f t="shared" si="277"/>
        <v>5169</v>
      </c>
      <c r="M619" s="858">
        <f t="shared" si="277"/>
        <v>97528</v>
      </c>
      <c r="N619" s="858">
        <f t="shared" si="277"/>
        <v>0</v>
      </c>
      <c r="O619" s="858">
        <f t="shared" si="277"/>
        <v>97528</v>
      </c>
    </row>
    <row r="620" spans="1:16" s="702" customFormat="1" ht="31.5" x14ac:dyDescent="0.25">
      <c r="A620" s="855"/>
      <c r="B620" s="856" t="s">
        <v>1346</v>
      </c>
      <c r="C620" s="857">
        <f t="shared" ref="C620:O620" si="278">C228</f>
        <v>0</v>
      </c>
      <c r="D620" s="857">
        <f t="shared" si="278"/>
        <v>0</v>
      </c>
      <c r="E620" s="857">
        <f t="shared" si="278"/>
        <v>0</v>
      </c>
      <c r="F620" s="857">
        <f t="shared" si="278"/>
        <v>0</v>
      </c>
      <c r="G620" s="857">
        <f t="shared" si="278"/>
        <v>285</v>
      </c>
      <c r="H620" s="858">
        <f t="shared" si="278"/>
        <v>285</v>
      </c>
      <c r="I620" s="858">
        <f t="shared" si="278"/>
        <v>0</v>
      </c>
      <c r="J620" s="858">
        <f t="shared" si="278"/>
        <v>0</v>
      </c>
      <c r="K620" s="858">
        <f t="shared" si="278"/>
        <v>0</v>
      </c>
      <c r="L620" s="858">
        <f t="shared" si="278"/>
        <v>0</v>
      </c>
      <c r="M620" s="858">
        <f t="shared" si="278"/>
        <v>285</v>
      </c>
      <c r="N620" s="858">
        <f t="shared" si="278"/>
        <v>0</v>
      </c>
      <c r="O620" s="858">
        <f t="shared" si="278"/>
        <v>285</v>
      </c>
    </row>
    <row r="621" spans="1:16" s="702" customFormat="1" ht="47.25" x14ac:dyDescent="0.25">
      <c r="A621" s="855"/>
      <c r="B621" s="856" t="s">
        <v>1394</v>
      </c>
      <c r="C621" s="857">
        <f t="shared" ref="C621:O621" si="279">C329</f>
        <v>-20588</v>
      </c>
      <c r="D621" s="857">
        <f t="shared" si="279"/>
        <v>-3124</v>
      </c>
      <c r="E621" s="857">
        <f t="shared" si="279"/>
        <v>-7757</v>
      </c>
      <c r="F621" s="857">
        <f t="shared" si="279"/>
        <v>0</v>
      </c>
      <c r="G621" s="857">
        <f t="shared" si="279"/>
        <v>246</v>
      </c>
      <c r="H621" s="858">
        <f t="shared" si="279"/>
        <v>-31223</v>
      </c>
      <c r="I621" s="858">
        <f t="shared" si="279"/>
        <v>0</v>
      </c>
      <c r="J621" s="858">
        <f t="shared" si="279"/>
        <v>0</v>
      </c>
      <c r="K621" s="858">
        <f t="shared" si="279"/>
        <v>0</v>
      </c>
      <c r="L621" s="858">
        <f t="shared" si="279"/>
        <v>0</v>
      </c>
      <c r="M621" s="858">
        <f t="shared" si="279"/>
        <v>-31223</v>
      </c>
      <c r="N621" s="858">
        <f t="shared" si="279"/>
        <v>0</v>
      </c>
      <c r="O621" s="858">
        <f t="shared" si="279"/>
        <v>-31223</v>
      </c>
    </row>
    <row r="622" spans="1:16" s="702" customFormat="1" ht="47.25" x14ac:dyDescent="0.25">
      <c r="A622" s="855"/>
      <c r="B622" s="856" t="s">
        <v>1395</v>
      </c>
      <c r="C622" s="857">
        <f t="shared" ref="C622:O622" si="280">C224</f>
        <v>20588</v>
      </c>
      <c r="D622" s="857">
        <f t="shared" si="280"/>
        <v>3124</v>
      </c>
      <c r="E622" s="857">
        <f t="shared" si="280"/>
        <v>7757</v>
      </c>
      <c r="F622" s="857">
        <f t="shared" si="280"/>
        <v>0</v>
      </c>
      <c r="G622" s="857">
        <f t="shared" si="280"/>
        <v>-246</v>
      </c>
      <c r="H622" s="858">
        <f t="shared" si="280"/>
        <v>31223</v>
      </c>
      <c r="I622" s="858">
        <f t="shared" si="280"/>
        <v>0</v>
      </c>
      <c r="J622" s="858">
        <f t="shared" si="280"/>
        <v>0</v>
      </c>
      <c r="K622" s="858">
        <f t="shared" si="280"/>
        <v>0</v>
      </c>
      <c r="L622" s="858">
        <f t="shared" si="280"/>
        <v>0</v>
      </c>
      <c r="M622" s="858">
        <f t="shared" si="280"/>
        <v>31223</v>
      </c>
      <c r="N622" s="858">
        <f t="shared" si="280"/>
        <v>0</v>
      </c>
      <c r="O622" s="858">
        <f t="shared" si="280"/>
        <v>31223</v>
      </c>
    </row>
    <row r="623" spans="1:16" s="702" customFormat="1" ht="31.5" x14ac:dyDescent="0.25">
      <c r="A623" s="855"/>
      <c r="B623" s="856" t="s">
        <v>1339</v>
      </c>
      <c r="C623" s="857">
        <f t="shared" ref="C623:O623" si="281">C167+C187+C206+C250+C271+C291+C344+C363+C384+C457</f>
        <v>0</v>
      </c>
      <c r="D623" s="857">
        <f t="shared" si="281"/>
        <v>0</v>
      </c>
      <c r="E623" s="857">
        <f t="shared" si="281"/>
        <v>-345578</v>
      </c>
      <c r="F623" s="857">
        <f t="shared" si="281"/>
        <v>0</v>
      </c>
      <c r="G623" s="857">
        <f t="shared" si="281"/>
        <v>0</v>
      </c>
      <c r="H623" s="858">
        <f t="shared" si="281"/>
        <v>-345578</v>
      </c>
      <c r="I623" s="858">
        <f t="shared" si="281"/>
        <v>0</v>
      </c>
      <c r="J623" s="858">
        <f t="shared" si="281"/>
        <v>0</v>
      </c>
      <c r="K623" s="858">
        <f t="shared" si="281"/>
        <v>0</v>
      </c>
      <c r="L623" s="858">
        <f t="shared" si="281"/>
        <v>0</v>
      </c>
      <c r="M623" s="858">
        <f t="shared" si="281"/>
        <v>-345578</v>
      </c>
      <c r="N623" s="858">
        <f t="shared" si="281"/>
        <v>0</v>
      </c>
      <c r="O623" s="858">
        <f t="shared" si="281"/>
        <v>-345578</v>
      </c>
      <c r="P623" s="702" t="s">
        <v>1396</v>
      </c>
    </row>
    <row r="624" spans="1:16" s="702" customFormat="1" ht="78.75" x14ac:dyDescent="0.25">
      <c r="A624" s="855"/>
      <c r="B624" s="856" t="s">
        <v>1397</v>
      </c>
      <c r="C624" s="857">
        <f t="shared" ref="C624:O624" si="282">C502+C484+C568</f>
        <v>25121</v>
      </c>
      <c r="D624" s="857">
        <f t="shared" si="282"/>
        <v>3895</v>
      </c>
      <c r="E624" s="857">
        <f t="shared" si="282"/>
        <v>0</v>
      </c>
      <c r="F624" s="857">
        <f t="shared" si="282"/>
        <v>0</v>
      </c>
      <c r="G624" s="857">
        <f t="shared" si="282"/>
        <v>0</v>
      </c>
      <c r="H624" s="858">
        <f t="shared" si="282"/>
        <v>29016</v>
      </c>
      <c r="I624" s="858">
        <f t="shared" si="282"/>
        <v>0</v>
      </c>
      <c r="J624" s="858">
        <f t="shared" si="282"/>
        <v>0</v>
      </c>
      <c r="K624" s="858">
        <f t="shared" si="282"/>
        <v>0</v>
      </c>
      <c r="L624" s="858">
        <f t="shared" si="282"/>
        <v>0</v>
      </c>
      <c r="M624" s="858">
        <f t="shared" si="282"/>
        <v>29016</v>
      </c>
      <c r="N624" s="858">
        <f t="shared" si="282"/>
        <v>0</v>
      </c>
      <c r="O624" s="858">
        <f t="shared" si="282"/>
        <v>29016</v>
      </c>
      <c r="P624" s="702" t="s">
        <v>1398</v>
      </c>
    </row>
    <row r="625" spans="1:16" s="702" customFormat="1" ht="47.25" x14ac:dyDescent="0.25">
      <c r="A625" s="855"/>
      <c r="B625" s="856" t="s">
        <v>1399</v>
      </c>
      <c r="C625" s="857">
        <f t="shared" ref="C625:O625" si="283">C229+C313</f>
        <v>0</v>
      </c>
      <c r="D625" s="857">
        <f t="shared" si="283"/>
        <v>0</v>
      </c>
      <c r="E625" s="857">
        <f t="shared" si="283"/>
        <v>0</v>
      </c>
      <c r="F625" s="857">
        <f t="shared" si="283"/>
        <v>0</v>
      </c>
      <c r="G625" s="857">
        <f t="shared" si="283"/>
        <v>0</v>
      </c>
      <c r="H625" s="858">
        <f t="shared" si="283"/>
        <v>0</v>
      </c>
      <c r="I625" s="858">
        <f t="shared" si="283"/>
        <v>0</v>
      </c>
      <c r="J625" s="858">
        <f t="shared" si="283"/>
        <v>0</v>
      </c>
      <c r="K625" s="858">
        <f t="shared" si="283"/>
        <v>0</v>
      </c>
      <c r="L625" s="858">
        <f t="shared" si="283"/>
        <v>0</v>
      </c>
      <c r="M625" s="858">
        <f t="shared" si="283"/>
        <v>0</v>
      </c>
      <c r="N625" s="858">
        <f t="shared" si="283"/>
        <v>0</v>
      </c>
      <c r="O625" s="858">
        <f t="shared" si="283"/>
        <v>0</v>
      </c>
    </row>
    <row r="626" spans="1:16" s="702" customFormat="1" ht="47.25" x14ac:dyDescent="0.25">
      <c r="A626" s="855"/>
      <c r="B626" s="856" t="s">
        <v>1400</v>
      </c>
      <c r="C626" s="857">
        <f t="shared" ref="C626:O626" si="284">C16</f>
        <v>0</v>
      </c>
      <c r="D626" s="857">
        <f t="shared" si="284"/>
        <v>0</v>
      </c>
      <c r="E626" s="857">
        <f t="shared" si="284"/>
        <v>-10000</v>
      </c>
      <c r="F626" s="857">
        <f t="shared" si="284"/>
        <v>0</v>
      </c>
      <c r="G626" s="857">
        <f t="shared" si="284"/>
        <v>0</v>
      </c>
      <c r="H626" s="858">
        <f t="shared" si="284"/>
        <v>-10000</v>
      </c>
      <c r="I626" s="858">
        <f t="shared" si="284"/>
        <v>0</v>
      </c>
      <c r="J626" s="858">
        <f t="shared" si="284"/>
        <v>0</v>
      </c>
      <c r="K626" s="858">
        <f t="shared" si="284"/>
        <v>0</v>
      </c>
      <c r="L626" s="858">
        <f t="shared" si="284"/>
        <v>0</v>
      </c>
      <c r="M626" s="858">
        <f t="shared" si="284"/>
        <v>-10000</v>
      </c>
      <c r="N626" s="858">
        <f t="shared" si="284"/>
        <v>0</v>
      </c>
      <c r="O626" s="858">
        <f t="shared" si="284"/>
        <v>-10000</v>
      </c>
      <c r="P626" s="702" t="s">
        <v>1401</v>
      </c>
    </row>
    <row r="627" spans="1:16" s="702" customFormat="1" ht="31.5" x14ac:dyDescent="0.25">
      <c r="A627" s="855"/>
      <c r="B627" s="856" t="s">
        <v>1402</v>
      </c>
      <c r="C627" s="857">
        <f t="shared" ref="C627:O627" si="285">C406</f>
        <v>0</v>
      </c>
      <c r="D627" s="857">
        <f t="shared" si="285"/>
        <v>0</v>
      </c>
      <c r="E627" s="857">
        <f t="shared" si="285"/>
        <v>10000</v>
      </c>
      <c r="F627" s="857">
        <f t="shared" si="285"/>
        <v>0</v>
      </c>
      <c r="G627" s="857">
        <f t="shared" si="285"/>
        <v>0</v>
      </c>
      <c r="H627" s="858">
        <f t="shared" si="285"/>
        <v>10000</v>
      </c>
      <c r="I627" s="858">
        <f t="shared" si="285"/>
        <v>0</v>
      </c>
      <c r="J627" s="858">
        <f t="shared" si="285"/>
        <v>0</v>
      </c>
      <c r="K627" s="858">
        <f t="shared" si="285"/>
        <v>0</v>
      </c>
      <c r="L627" s="858">
        <f t="shared" si="285"/>
        <v>0</v>
      </c>
      <c r="M627" s="858">
        <f t="shared" si="285"/>
        <v>10000</v>
      </c>
      <c r="N627" s="858">
        <f t="shared" si="285"/>
        <v>0</v>
      </c>
      <c r="O627" s="858">
        <f t="shared" si="285"/>
        <v>10000</v>
      </c>
      <c r="P627" s="702" t="s">
        <v>1403</v>
      </c>
    </row>
    <row r="628" spans="1:16" s="702" customFormat="1" ht="47.25" x14ac:dyDescent="0.25">
      <c r="A628" s="855"/>
      <c r="B628" s="856" t="s">
        <v>1404</v>
      </c>
      <c r="C628" s="857">
        <f t="shared" ref="C628:O628" si="286">C503</f>
        <v>0</v>
      </c>
      <c r="D628" s="857">
        <f t="shared" si="286"/>
        <v>0</v>
      </c>
      <c r="E628" s="857">
        <f t="shared" si="286"/>
        <v>-57404</v>
      </c>
      <c r="F628" s="857">
        <f t="shared" si="286"/>
        <v>0</v>
      </c>
      <c r="G628" s="857">
        <f t="shared" si="286"/>
        <v>0</v>
      </c>
      <c r="H628" s="858">
        <f t="shared" si="286"/>
        <v>-57404</v>
      </c>
      <c r="I628" s="858">
        <f t="shared" si="286"/>
        <v>0</v>
      </c>
      <c r="J628" s="858">
        <f t="shared" si="286"/>
        <v>0</v>
      </c>
      <c r="K628" s="858">
        <f t="shared" si="286"/>
        <v>0</v>
      </c>
      <c r="L628" s="858">
        <f t="shared" si="286"/>
        <v>0</v>
      </c>
      <c r="M628" s="858">
        <f t="shared" si="286"/>
        <v>-57404</v>
      </c>
      <c r="N628" s="858">
        <f t="shared" si="286"/>
        <v>0</v>
      </c>
      <c r="O628" s="858">
        <f t="shared" si="286"/>
        <v>-57404</v>
      </c>
      <c r="P628" s="702" t="s">
        <v>1405</v>
      </c>
    </row>
    <row r="629" spans="1:16" s="702" customFormat="1" ht="47.25" x14ac:dyDescent="0.25">
      <c r="A629" s="855"/>
      <c r="B629" s="856" t="s">
        <v>1406</v>
      </c>
      <c r="C629" s="857">
        <f t="shared" ref="C629:O630" si="287">C593</f>
        <v>660</v>
      </c>
      <c r="D629" s="857">
        <f t="shared" si="287"/>
        <v>58</v>
      </c>
      <c r="E629" s="857">
        <f t="shared" si="287"/>
        <v>1550</v>
      </c>
      <c r="F629" s="857">
        <f t="shared" si="287"/>
        <v>0</v>
      </c>
      <c r="G629" s="857">
        <f t="shared" si="287"/>
        <v>0</v>
      </c>
      <c r="H629" s="858">
        <f t="shared" si="287"/>
        <v>2268</v>
      </c>
      <c r="I629" s="858">
        <f t="shared" si="287"/>
        <v>2761</v>
      </c>
      <c r="J629" s="858">
        <f t="shared" si="287"/>
        <v>0</v>
      </c>
      <c r="K629" s="858">
        <f t="shared" si="287"/>
        <v>0</v>
      </c>
      <c r="L629" s="858">
        <f t="shared" si="287"/>
        <v>2761</v>
      </c>
      <c r="M629" s="858">
        <f t="shared" si="287"/>
        <v>5029</v>
      </c>
      <c r="N629" s="858">
        <f t="shared" si="287"/>
        <v>0</v>
      </c>
      <c r="O629" s="858">
        <f t="shared" si="287"/>
        <v>5029</v>
      </c>
    </row>
    <row r="630" spans="1:16" s="702" customFormat="1" ht="31.5" x14ac:dyDescent="0.25">
      <c r="A630" s="855"/>
      <c r="B630" s="856" t="s">
        <v>1407</v>
      </c>
      <c r="C630" s="857">
        <f t="shared" si="287"/>
        <v>-378</v>
      </c>
      <c r="D630" s="857">
        <f t="shared" si="287"/>
        <v>-112</v>
      </c>
      <c r="E630" s="857">
        <f t="shared" si="287"/>
        <v>4138</v>
      </c>
      <c r="F630" s="857">
        <f t="shared" si="287"/>
        <v>0</v>
      </c>
      <c r="G630" s="857">
        <f t="shared" si="287"/>
        <v>0</v>
      </c>
      <c r="H630" s="858">
        <f t="shared" si="287"/>
        <v>3648</v>
      </c>
      <c r="I630" s="858">
        <f t="shared" si="287"/>
        <v>-1285</v>
      </c>
      <c r="J630" s="858">
        <f t="shared" si="287"/>
        <v>-2363</v>
      </c>
      <c r="K630" s="858">
        <f t="shared" si="287"/>
        <v>0</v>
      </c>
      <c r="L630" s="858">
        <f t="shared" si="287"/>
        <v>-3648</v>
      </c>
      <c r="M630" s="858">
        <f t="shared" si="287"/>
        <v>0</v>
      </c>
      <c r="N630" s="858">
        <f t="shared" si="287"/>
        <v>0</v>
      </c>
      <c r="O630" s="858">
        <f t="shared" si="287"/>
        <v>0</v>
      </c>
    </row>
    <row r="631" spans="1:16" s="702" customFormat="1" x14ac:dyDescent="0.25">
      <c r="A631" s="855"/>
      <c r="B631" s="859" t="s">
        <v>132</v>
      </c>
      <c r="C631" s="857"/>
      <c r="D631" s="857"/>
      <c r="E631" s="857"/>
      <c r="F631" s="857"/>
      <c r="G631" s="860"/>
      <c r="H631" s="858"/>
      <c r="I631" s="857"/>
      <c r="J631" s="857"/>
      <c r="K631" s="861"/>
      <c r="L631" s="858"/>
      <c r="M631" s="858"/>
      <c r="N631" s="858"/>
      <c r="O631" s="858"/>
    </row>
    <row r="632" spans="1:16" s="702" customFormat="1" ht="31.5" x14ac:dyDescent="0.25">
      <c r="A632" s="855"/>
      <c r="B632" s="856" t="s">
        <v>1325</v>
      </c>
      <c r="C632" s="857">
        <f t="shared" ref="C632:O632" si="288">C539</f>
        <v>88</v>
      </c>
      <c r="D632" s="857">
        <f t="shared" si="288"/>
        <v>15</v>
      </c>
      <c r="E632" s="857">
        <f t="shared" si="288"/>
        <v>0</v>
      </c>
      <c r="F632" s="857">
        <f t="shared" si="288"/>
        <v>0</v>
      </c>
      <c r="G632" s="857">
        <f t="shared" si="288"/>
        <v>0</v>
      </c>
      <c r="H632" s="858">
        <f t="shared" si="288"/>
        <v>103</v>
      </c>
      <c r="I632" s="858">
        <f t="shared" si="288"/>
        <v>0</v>
      </c>
      <c r="J632" s="858">
        <f t="shared" si="288"/>
        <v>0</v>
      </c>
      <c r="K632" s="858">
        <f t="shared" si="288"/>
        <v>0</v>
      </c>
      <c r="L632" s="858">
        <f t="shared" si="288"/>
        <v>0</v>
      </c>
      <c r="M632" s="858">
        <f t="shared" si="288"/>
        <v>103</v>
      </c>
      <c r="N632" s="858">
        <f t="shared" si="288"/>
        <v>0</v>
      </c>
      <c r="O632" s="858">
        <f t="shared" si="288"/>
        <v>103</v>
      </c>
    </row>
    <row r="633" spans="1:16" s="702" customFormat="1" ht="47.25" x14ac:dyDescent="0.25">
      <c r="A633" s="855"/>
      <c r="B633" s="856" t="s">
        <v>1518</v>
      </c>
      <c r="C633" s="857">
        <f t="shared" ref="C633:O633" si="289">C467+C514+C524+C540+C552</f>
        <v>24374</v>
      </c>
      <c r="D633" s="857">
        <f t="shared" si="289"/>
        <v>3901</v>
      </c>
      <c r="E633" s="857">
        <f t="shared" si="289"/>
        <v>0</v>
      </c>
      <c r="F633" s="857">
        <f t="shared" si="289"/>
        <v>0</v>
      </c>
      <c r="G633" s="857">
        <f t="shared" si="289"/>
        <v>0</v>
      </c>
      <c r="H633" s="858">
        <f t="shared" si="289"/>
        <v>28275</v>
      </c>
      <c r="I633" s="858">
        <f t="shared" si="289"/>
        <v>0</v>
      </c>
      <c r="J633" s="858">
        <f t="shared" si="289"/>
        <v>0</v>
      </c>
      <c r="K633" s="858">
        <f t="shared" si="289"/>
        <v>0</v>
      </c>
      <c r="L633" s="858">
        <f t="shared" si="289"/>
        <v>0</v>
      </c>
      <c r="M633" s="858">
        <f t="shared" si="289"/>
        <v>28275</v>
      </c>
      <c r="N633" s="858">
        <f t="shared" si="289"/>
        <v>0</v>
      </c>
      <c r="O633" s="858">
        <f t="shared" si="289"/>
        <v>28275</v>
      </c>
    </row>
    <row r="634" spans="1:16" s="702" customFormat="1" ht="63" x14ac:dyDescent="0.25">
      <c r="A634" s="855"/>
      <c r="B634" s="856" t="s">
        <v>1329</v>
      </c>
      <c r="C634" s="857">
        <f t="shared" ref="C634:O634" si="290">C18+C33+C408+C424+C441</f>
        <v>28673</v>
      </c>
      <c r="D634" s="857">
        <f t="shared" si="290"/>
        <v>4300</v>
      </c>
      <c r="E634" s="857">
        <f t="shared" si="290"/>
        <v>0</v>
      </c>
      <c r="F634" s="857">
        <f t="shared" si="290"/>
        <v>0</v>
      </c>
      <c r="G634" s="857">
        <f t="shared" si="290"/>
        <v>0</v>
      </c>
      <c r="H634" s="858">
        <f t="shared" si="290"/>
        <v>32973</v>
      </c>
      <c r="I634" s="858">
        <f t="shared" si="290"/>
        <v>0</v>
      </c>
      <c r="J634" s="858">
        <f t="shared" si="290"/>
        <v>0</v>
      </c>
      <c r="K634" s="858">
        <f t="shared" si="290"/>
        <v>0</v>
      </c>
      <c r="L634" s="858">
        <f t="shared" si="290"/>
        <v>0</v>
      </c>
      <c r="M634" s="858">
        <f t="shared" si="290"/>
        <v>32973</v>
      </c>
      <c r="N634" s="858">
        <f t="shared" si="290"/>
        <v>0</v>
      </c>
      <c r="O634" s="858">
        <f t="shared" si="290"/>
        <v>32973</v>
      </c>
    </row>
    <row r="635" spans="1:16" s="702" customFormat="1" x14ac:dyDescent="0.25">
      <c r="A635" s="855"/>
      <c r="B635" s="856" t="s">
        <v>1330</v>
      </c>
      <c r="C635" s="857">
        <f t="shared" ref="C635:O635" si="291">C52+C73+C92+C110+C131+C149+C169+C189+C208+C231+C253+C274+C294+C315+C347+C366+C387+C459+C468+C486+C505+C515+C525+C553+C570+C19+C34+C409+C425+C442</f>
        <v>29916</v>
      </c>
      <c r="D635" s="857">
        <f t="shared" si="291"/>
        <v>4488</v>
      </c>
      <c r="E635" s="857">
        <f t="shared" si="291"/>
        <v>0</v>
      </c>
      <c r="F635" s="857">
        <f t="shared" si="291"/>
        <v>0</v>
      </c>
      <c r="G635" s="857">
        <f t="shared" si="291"/>
        <v>0</v>
      </c>
      <c r="H635" s="858">
        <f t="shared" si="291"/>
        <v>34404</v>
      </c>
      <c r="I635" s="858">
        <f t="shared" si="291"/>
        <v>0</v>
      </c>
      <c r="J635" s="858">
        <f t="shared" si="291"/>
        <v>0</v>
      </c>
      <c r="K635" s="858">
        <f t="shared" si="291"/>
        <v>0</v>
      </c>
      <c r="L635" s="858">
        <f t="shared" si="291"/>
        <v>0</v>
      </c>
      <c r="M635" s="858">
        <f t="shared" si="291"/>
        <v>34404</v>
      </c>
      <c r="N635" s="858">
        <f t="shared" si="291"/>
        <v>0</v>
      </c>
      <c r="O635" s="858">
        <f t="shared" si="291"/>
        <v>34404</v>
      </c>
    </row>
    <row r="636" spans="1:16" s="702" customFormat="1" x14ac:dyDescent="0.25">
      <c r="A636" s="855"/>
      <c r="B636" s="856" t="s">
        <v>1408</v>
      </c>
      <c r="C636" s="857">
        <f t="shared" ref="C636:O636" si="292">C232</f>
        <v>285</v>
      </c>
      <c r="D636" s="857">
        <f t="shared" si="292"/>
        <v>43</v>
      </c>
      <c r="E636" s="857">
        <f t="shared" si="292"/>
        <v>0</v>
      </c>
      <c r="F636" s="857">
        <f t="shared" si="292"/>
        <v>0</v>
      </c>
      <c r="G636" s="857">
        <f t="shared" si="292"/>
        <v>0</v>
      </c>
      <c r="H636" s="858">
        <f t="shared" si="292"/>
        <v>328</v>
      </c>
      <c r="I636" s="858">
        <f t="shared" si="292"/>
        <v>0</v>
      </c>
      <c r="J636" s="858">
        <f t="shared" si="292"/>
        <v>0</v>
      </c>
      <c r="K636" s="858">
        <f t="shared" si="292"/>
        <v>0</v>
      </c>
      <c r="L636" s="858">
        <f t="shared" si="292"/>
        <v>0</v>
      </c>
      <c r="M636" s="858">
        <f t="shared" si="292"/>
        <v>328</v>
      </c>
      <c r="N636" s="858">
        <f t="shared" si="292"/>
        <v>0</v>
      </c>
      <c r="O636" s="858">
        <f t="shared" si="292"/>
        <v>328</v>
      </c>
    </row>
    <row r="637" spans="1:16" s="702" customFormat="1" ht="31.5" x14ac:dyDescent="0.25">
      <c r="A637" s="855"/>
      <c r="B637" s="856" t="s">
        <v>565</v>
      </c>
      <c r="C637" s="857">
        <f t="shared" ref="C637:O637" si="293">C469+C526+C554+C567+C545</f>
        <v>-16988</v>
      </c>
      <c r="D637" s="857">
        <f t="shared" si="293"/>
        <v>-2935</v>
      </c>
      <c r="E637" s="857">
        <f t="shared" si="293"/>
        <v>18552</v>
      </c>
      <c r="F637" s="857">
        <f t="shared" si="293"/>
        <v>0</v>
      </c>
      <c r="G637" s="857">
        <f t="shared" si="293"/>
        <v>0</v>
      </c>
      <c r="H637" s="858">
        <f t="shared" si="293"/>
        <v>-1371</v>
      </c>
      <c r="I637" s="858">
        <f t="shared" si="293"/>
        <v>4141</v>
      </c>
      <c r="J637" s="858">
        <f t="shared" si="293"/>
        <v>0</v>
      </c>
      <c r="K637" s="858">
        <f t="shared" si="293"/>
        <v>-2770</v>
      </c>
      <c r="L637" s="858">
        <f t="shared" si="293"/>
        <v>1371</v>
      </c>
      <c r="M637" s="858">
        <f t="shared" si="293"/>
        <v>0</v>
      </c>
      <c r="N637" s="858">
        <f t="shared" si="293"/>
        <v>0</v>
      </c>
      <c r="O637" s="858">
        <f t="shared" si="293"/>
        <v>0</v>
      </c>
    </row>
    <row r="638" spans="1:16" s="702" customFormat="1" x14ac:dyDescent="0.25">
      <c r="A638" s="855"/>
      <c r="B638" s="856" t="s">
        <v>964</v>
      </c>
      <c r="C638" s="857">
        <f t="shared" ref="C638:O638" si="294">C35+C53+C74+C93+C111+C132+C150+C170+C295+C316+C487+C426+C317+C443+C571+C572+C233+C254+C255+C318+C388+C489+C410+C573+C574+C575+C576+C577+C578+C579+C580+C54+C112+C171+C190+C209+C234+C256+C275+C296+C319+C348+C367+C368+C369+C389+C444</f>
        <v>0</v>
      </c>
      <c r="D638" s="857">
        <f t="shared" si="294"/>
        <v>0</v>
      </c>
      <c r="E638" s="857">
        <f t="shared" si="294"/>
        <v>3750</v>
      </c>
      <c r="F638" s="857">
        <f t="shared" si="294"/>
        <v>0</v>
      </c>
      <c r="G638" s="857">
        <f t="shared" si="294"/>
        <v>0</v>
      </c>
      <c r="H638" s="858">
        <f t="shared" si="294"/>
        <v>3750</v>
      </c>
      <c r="I638" s="858">
        <f t="shared" si="294"/>
        <v>0</v>
      </c>
      <c r="J638" s="858">
        <f t="shared" si="294"/>
        <v>0</v>
      </c>
      <c r="K638" s="858">
        <f t="shared" si="294"/>
        <v>0</v>
      </c>
      <c r="L638" s="858">
        <f t="shared" si="294"/>
        <v>0</v>
      </c>
      <c r="M638" s="858">
        <f t="shared" si="294"/>
        <v>3750</v>
      </c>
      <c r="N638" s="858">
        <f t="shared" si="294"/>
        <v>0</v>
      </c>
      <c r="O638" s="858">
        <f t="shared" si="294"/>
        <v>3750</v>
      </c>
    </row>
    <row r="639" spans="1:16" s="702" customFormat="1" ht="31.5" x14ac:dyDescent="0.25">
      <c r="A639" s="855"/>
      <c r="B639" s="968" t="s">
        <v>1327</v>
      </c>
      <c r="C639" s="857">
        <f t="shared" ref="C639:O639" si="295">C470+C516+C527+C555</f>
        <v>-5441</v>
      </c>
      <c r="D639" s="857">
        <f t="shared" si="295"/>
        <v>-1184</v>
      </c>
      <c r="E639" s="857">
        <f t="shared" si="295"/>
        <v>0</v>
      </c>
      <c r="F639" s="857">
        <f t="shared" si="295"/>
        <v>0</v>
      </c>
      <c r="G639" s="857">
        <f t="shared" si="295"/>
        <v>0</v>
      </c>
      <c r="H639" s="858">
        <f t="shared" si="295"/>
        <v>-6625</v>
      </c>
      <c r="I639" s="858">
        <f t="shared" si="295"/>
        <v>0</v>
      </c>
      <c r="J639" s="858">
        <f t="shared" si="295"/>
        <v>0</v>
      </c>
      <c r="K639" s="858">
        <f t="shared" si="295"/>
        <v>0</v>
      </c>
      <c r="L639" s="858">
        <f t="shared" si="295"/>
        <v>0</v>
      </c>
      <c r="M639" s="858">
        <f t="shared" si="295"/>
        <v>-6625</v>
      </c>
      <c r="N639" s="858">
        <f t="shared" si="295"/>
        <v>0</v>
      </c>
      <c r="O639" s="858">
        <f t="shared" si="295"/>
        <v>-6625</v>
      </c>
      <c r="P639" s="702" t="s">
        <v>1409</v>
      </c>
    </row>
    <row r="640" spans="1:16" s="702" customFormat="1" ht="63" x14ac:dyDescent="0.25">
      <c r="A640" s="855"/>
      <c r="B640" s="968" t="s">
        <v>1410</v>
      </c>
      <c r="C640" s="857">
        <f t="shared" ref="C640:O640" si="296">C528</f>
        <v>-126</v>
      </c>
      <c r="D640" s="857">
        <f t="shared" si="296"/>
        <v>-20</v>
      </c>
      <c r="E640" s="857">
        <f t="shared" si="296"/>
        <v>-1794</v>
      </c>
      <c r="F640" s="857">
        <f t="shared" si="296"/>
        <v>0</v>
      </c>
      <c r="G640" s="857">
        <f t="shared" si="296"/>
        <v>0</v>
      </c>
      <c r="H640" s="858">
        <f t="shared" si="296"/>
        <v>-1940</v>
      </c>
      <c r="I640" s="858">
        <f t="shared" si="296"/>
        <v>0</v>
      </c>
      <c r="J640" s="858">
        <f t="shared" si="296"/>
        <v>0</v>
      </c>
      <c r="K640" s="858">
        <f t="shared" si="296"/>
        <v>0</v>
      </c>
      <c r="L640" s="858">
        <f t="shared" si="296"/>
        <v>0</v>
      </c>
      <c r="M640" s="858">
        <f t="shared" si="296"/>
        <v>-1940</v>
      </c>
      <c r="N640" s="858">
        <f t="shared" si="296"/>
        <v>0</v>
      </c>
      <c r="O640" s="858">
        <f t="shared" si="296"/>
        <v>-1940</v>
      </c>
      <c r="P640" s="702" t="s">
        <v>1409</v>
      </c>
    </row>
    <row r="641" spans="1:16" s="702" customFormat="1" ht="63" x14ac:dyDescent="0.25">
      <c r="A641" s="855"/>
      <c r="B641" s="856" t="s">
        <v>1411</v>
      </c>
      <c r="C641" s="857">
        <f t="shared" ref="C641:O641" si="297">C488+C506+C532</f>
        <v>0</v>
      </c>
      <c r="D641" s="857">
        <f t="shared" si="297"/>
        <v>0</v>
      </c>
      <c r="E641" s="857">
        <f t="shared" si="297"/>
        <v>2700</v>
      </c>
      <c r="F641" s="857">
        <f t="shared" si="297"/>
        <v>0</v>
      </c>
      <c r="G641" s="857">
        <f t="shared" si="297"/>
        <v>0</v>
      </c>
      <c r="H641" s="858">
        <f t="shared" si="297"/>
        <v>2700</v>
      </c>
      <c r="I641" s="858">
        <f t="shared" si="297"/>
        <v>2866</v>
      </c>
      <c r="J641" s="858">
        <f t="shared" si="297"/>
        <v>0</v>
      </c>
      <c r="K641" s="858">
        <f t="shared" si="297"/>
        <v>0</v>
      </c>
      <c r="L641" s="858">
        <f t="shared" si="297"/>
        <v>2866</v>
      </c>
      <c r="M641" s="858">
        <f t="shared" si="297"/>
        <v>5566</v>
      </c>
      <c r="N641" s="858">
        <f t="shared" si="297"/>
        <v>0</v>
      </c>
      <c r="O641" s="858">
        <f t="shared" si="297"/>
        <v>5566</v>
      </c>
    </row>
    <row r="642" spans="1:16" s="702" customFormat="1" ht="63" x14ac:dyDescent="0.25">
      <c r="A642" s="855"/>
      <c r="B642" s="856" t="s">
        <v>1335</v>
      </c>
      <c r="C642" s="857">
        <f t="shared" ref="C642:O642" si="298">C55+C75+C94+C113+C133+C151</f>
        <v>1233</v>
      </c>
      <c r="D642" s="857">
        <f t="shared" si="298"/>
        <v>191</v>
      </c>
      <c r="E642" s="857">
        <f t="shared" si="298"/>
        <v>0</v>
      </c>
      <c r="F642" s="857">
        <f t="shared" si="298"/>
        <v>0</v>
      </c>
      <c r="G642" s="857">
        <f t="shared" si="298"/>
        <v>0</v>
      </c>
      <c r="H642" s="858">
        <f t="shared" si="298"/>
        <v>1424</v>
      </c>
      <c r="I642" s="858">
        <f t="shared" si="298"/>
        <v>0</v>
      </c>
      <c r="J642" s="858">
        <f t="shared" si="298"/>
        <v>0</v>
      </c>
      <c r="K642" s="858">
        <f t="shared" si="298"/>
        <v>0</v>
      </c>
      <c r="L642" s="858">
        <f t="shared" si="298"/>
        <v>0</v>
      </c>
      <c r="M642" s="858">
        <f t="shared" si="298"/>
        <v>1424</v>
      </c>
      <c r="N642" s="858">
        <f t="shared" si="298"/>
        <v>0</v>
      </c>
      <c r="O642" s="858">
        <f t="shared" si="298"/>
        <v>1424</v>
      </c>
      <c r="P642" s="702" t="s">
        <v>1412</v>
      </c>
    </row>
    <row r="643" spans="1:16" s="702" customFormat="1" ht="78.75" x14ac:dyDescent="0.25">
      <c r="A643" s="855"/>
      <c r="B643" s="856" t="s">
        <v>1397</v>
      </c>
      <c r="C643" s="857">
        <f t="shared" ref="C643:O643" si="299">C541</f>
        <v>3855</v>
      </c>
      <c r="D643" s="857">
        <f t="shared" si="299"/>
        <v>597</v>
      </c>
      <c r="E643" s="857">
        <f t="shared" si="299"/>
        <v>0</v>
      </c>
      <c r="F643" s="857">
        <f t="shared" si="299"/>
        <v>0</v>
      </c>
      <c r="G643" s="857">
        <f t="shared" si="299"/>
        <v>0</v>
      </c>
      <c r="H643" s="858">
        <f t="shared" si="299"/>
        <v>4452</v>
      </c>
      <c r="I643" s="858">
        <f t="shared" si="299"/>
        <v>0</v>
      </c>
      <c r="J643" s="858">
        <f t="shared" si="299"/>
        <v>0</v>
      </c>
      <c r="K643" s="858">
        <f t="shared" si="299"/>
        <v>0</v>
      </c>
      <c r="L643" s="858">
        <f t="shared" si="299"/>
        <v>0</v>
      </c>
      <c r="M643" s="858">
        <f t="shared" si="299"/>
        <v>4452</v>
      </c>
      <c r="N643" s="858">
        <f t="shared" si="299"/>
        <v>0</v>
      </c>
      <c r="O643" s="858">
        <f t="shared" si="299"/>
        <v>4452</v>
      </c>
      <c r="P643" s="702" t="s">
        <v>1412</v>
      </c>
    </row>
    <row r="644" spans="1:16" s="702" customFormat="1" ht="94.5" x14ac:dyDescent="0.25">
      <c r="A644" s="855"/>
      <c r="B644" s="856" t="s">
        <v>1336</v>
      </c>
      <c r="C644" s="857">
        <f t="shared" ref="C644:O644" si="300">C56+C76+C95+C114+C134+C152+C172+C191+C210+C235+C257+C276+C297+C320+C349+C370+C390</f>
        <v>19746</v>
      </c>
      <c r="D644" s="857">
        <f t="shared" si="300"/>
        <v>2963</v>
      </c>
      <c r="E644" s="857">
        <f t="shared" si="300"/>
        <v>0</v>
      </c>
      <c r="F644" s="857">
        <f t="shared" si="300"/>
        <v>0</v>
      </c>
      <c r="G644" s="857">
        <f t="shared" si="300"/>
        <v>0</v>
      </c>
      <c r="H644" s="858">
        <f t="shared" si="300"/>
        <v>22709</v>
      </c>
      <c r="I644" s="858">
        <f t="shared" si="300"/>
        <v>0</v>
      </c>
      <c r="J644" s="858">
        <f t="shared" si="300"/>
        <v>0</v>
      </c>
      <c r="K644" s="858">
        <f t="shared" si="300"/>
        <v>0</v>
      </c>
      <c r="L644" s="858">
        <f t="shared" si="300"/>
        <v>0</v>
      </c>
      <c r="M644" s="858">
        <f t="shared" si="300"/>
        <v>22709</v>
      </c>
      <c r="N644" s="858">
        <f t="shared" si="300"/>
        <v>0</v>
      </c>
      <c r="O644" s="858">
        <f t="shared" si="300"/>
        <v>22709</v>
      </c>
      <c r="P644" s="702" t="s">
        <v>1413</v>
      </c>
    </row>
    <row r="645" spans="1:16" s="702" customFormat="1" ht="47.25" x14ac:dyDescent="0.25">
      <c r="A645" s="855"/>
      <c r="B645" s="856" t="s">
        <v>1414</v>
      </c>
      <c r="C645" s="857">
        <f t="shared" ref="C645:O645" si="301">C517</f>
        <v>0</v>
      </c>
      <c r="D645" s="857">
        <f t="shared" si="301"/>
        <v>0</v>
      </c>
      <c r="E645" s="857">
        <f t="shared" si="301"/>
        <v>-8000</v>
      </c>
      <c r="F645" s="857">
        <f t="shared" si="301"/>
        <v>0</v>
      </c>
      <c r="G645" s="857">
        <f t="shared" si="301"/>
        <v>0</v>
      </c>
      <c r="H645" s="858">
        <f t="shared" si="301"/>
        <v>-8000</v>
      </c>
      <c r="I645" s="858">
        <f t="shared" si="301"/>
        <v>0</v>
      </c>
      <c r="J645" s="858">
        <f t="shared" si="301"/>
        <v>0</v>
      </c>
      <c r="K645" s="858">
        <f t="shared" si="301"/>
        <v>0</v>
      </c>
      <c r="L645" s="858">
        <f t="shared" si="301"/>
        <v>0</v>
      </c>
      <c r="M645" s="858">
        <f t="shared" si="301"/>
        <v>-8000</v>
      </c>
      <c r="N645" s="858">
        <f t="shared" si="301"/>
        <v>0</v>
      </c>
      <c r="O645" s="858">
        <f t="shared" si="301"/>
        <v>-8000</v>
      </c>
      <c r="P645" s="702" t="s">
        <v>1409</v>
      </c>
    </row>
    <row r="646" spans="1:16" s="702" customFormat="1" ht="47.25" x14ac:dyDescent="0.25">
      <c r="A646" s="855"/>
      <c r="B646" s="856" t="s">
        <v>1415</v>
      </c>
      <c r="C646" s="857">
        <f t="shared" ref="C646:O647" si="302">C556</f>
        <v>0</v>
      </c>
      <c r="D646" s="857">
        <f t="shared" si="302"/>
        <v>0</v>
      </c>
      <c r="E646" s="857">
        <f t="shared" si="302"/>
        <v>7432</v>
      </c>
      <c r="F646" s="857">
        <f t="shared" si="302"/>
        <v>0</v>
      </c>
      <c r="G646" s="857">
        <f t="shared" si="302"/>
        <v>0</v>
      </c>
      <c r="H646" s="858">
        <f t="shared" si="302"/>
        <v>7432</v>
      </c>
      <c r="I646" s="858">
        <f t="shared" si="302"/>
        <v>0</v>
      </c>
      <c r="J646" s="858">
        <f t="shared" si="302"/>
        <v>0</v>
      </c>
      <c r="K646" s="858">
        <f t="shared" si="302"/>
        <v>0</v>
      </c>
      <c r="L646" s="858">
        <f t="shared" si="302"/>
        <v>0</v>
      </c>
      <c r="M646" s="858">
        <f t="shared" si="302"/>
        <v>7432</v>
      </c>
      <c r="N646" s="858">
        <f t="shared" si="302"/>
        <v>0</v>
      </c>
      <c r="O646" s="858">
        <f t="shared" si="302"/>
        <v>7432</v>
      </c>
    </row>
    <row r="647" spans="1:16" s="702" customFormat="1" ht="47.25" x14ac:dyDescent="0.25">
      <c r="A647" s="855"/>
      <c r="B647" s="856" t="s">
        <v>1416</v>
      </c>
      <c r="C647" s="857">
        <f t="shared" si="302"/>
        <v>0</v>
      </c>
      <c r="D647" s="857">
        <f t="shared" si="302"/>
        <v>0</v>
      </c>
      <c r="E647" s="857">
        <f t="shared" si="302"/>
        <v>-3716</v>
      </c>
      <c r="F647" s="857">
        <f t="shared" si="302"/>
        <v>0</v>
      </c>
      <c r="G647" s="857">
        <f t="shared" si="302"/>
        <v>0</v>
      </c>
      <c r="H647" s="858">
        <f t="shared" si="302"/>
        <v>-3716</v>
      </c>
      <c r="I647" s="858">
        <f t="shared" si="302"/>
        <v>0</v>
      </c>
      <c r="J647" s="858">
        <f t="shared" si="302"/>
        <v>0</v>
      </c>
      <c r="K647" s="858">
        <f t="shared" si="302"/>
        <v>0</v>
      </c>
      <c r="L647" s="858">
        <f t="shared" si="302"/>
        <v>0</v>
      </c>
      <c r="M647" s="858">
        <f t="shared" si="302"/>
        <v>-3716</v>
      </c>
      <c r="N647" s="858">
        <f t="shared" si="302"/>
        <v>0</v>
      </c>
      <c r="O647" s="858">
        <f t="shared" si="302"/>
        <v>-3716</v>
      </c>
    </row>
    <row r="648" spans="1:16" s="702" customFormat="1" ht="47.25" x14ac:dyDescent="0.25">
      <c r="A648" s="855"/>
      <c r="B648" s="856" t="s">
        <v>1417</v>
      </c>
      <c r="C648" s="857">
        <f t="shared" ref="C648:O649" si="303">C529</f>
        <v>38095</v>
      </c>
      <c r="D648" s="857">
        <f t="shared" si="303"/>
        <v>5905</v>
      </c>
      <c r="E648" s="857">
        <f t="shared" si="303"/>
        <v>26000</v>
      </c>
      <c r="F648" s="857">
        <f t="shared" si="303"/>
        <v>0</v>
      </c>
      <c r="G648" s="857">
        <f t="shared" si="303"/>
        <v>0</v>
      </c>
      <c r="H648" s="858">
        <f t="shared" si="303"/>
        <v>70000</v>
      </c>
      <c r="I648" s="858">
        <f t="shared" si="303"/>
        <v>0</v>
      </c>
      <c r="J648" s="858">
        <f t="shared" si="303"/>
        <v>0</v>
      </c>
      <c r="K648" s="858">
        <f t="shared" si="303"/>
        <v>0</v>
      </c>
      <c r="L648" s="858">
        <f t="shared" si="303"/>
        <v>0</v>
      </c>
      <c r="M648" s="858">
        <f t="shared" si="303"/>
        <v>70000</v>
      </c>
      <c r="N648" s="858">
        <f t="shared" si="303"/>
        <v>0</v>
      </c>
      <c r="O648" s="858">
        <f t="shared" si="303"/>
        <v>70000</v>
      </c>
    </row>
    <row r="649" spans="1:16" s="702" customFormat="1" ht="47.25" x14ac:dyDescent="0.25">
      <c r="A649" s="855"/>
      <c r="B649" s="856" t="s">
        <v>1418</v>
      </c>
      <c r="C649" s="857">
        <f t="shared" si="303"/>
        <v>-38095</v>
      </c>
      <c r="D649" s="857">
        <f t="shared" si="303"/>
        <v>-5905</v>
      </c>
      <c r="E649" s="857">
        <f t="shared" si="303"/>
        <v>-3570</v>
      </c>
      <c r="F649" s="857">
        <f t="shared" si="303"/>
        <v>0</v>
      </c>
      <c r="G649" s="857">
        <f t="shared" si="303"/>
        <v>0</v>
      </c>
      <c r="H649" s="858">
        <f t="shared" si="303"/>
        <v>-47570</v>
      </c>
      <c r="I649" s="858">
        <f t="shared" si="303"/>
        <v>0</v>
      </c>
      <c r="J649" s="858">
        <f t="shared" si="303"/>
        <v>0</v>
      </c>
      <c r="K649" s="858">
        <f t="shared" si="303"/>
        <v>0</v>
      </c>
      <c r="L649" s="858">
        <f t="shared" si="303"/>
        <v>0</v>
      </c>
      <c r="M649" s="858">
        <f t="shared" si="303"/>
        <v>-47570</v>
      </c>
      <c r="N649" s="858">
        <f t="shared" si="303"/>
        <v>0</v>
      </c>
      <c r="O649" s="858">
        <f t="shared" si="303"/>
        <v>-47570</v>
      </c>
      <c r="P649" s="702" t="s">
        <v>1419</v>
      </c>
    </row>
    <row r="650" spans="1:16" s="702" customFormat="1" ht="31.5" x14ac:dyDescent="0.25">
      <c r="A650" s="855"/>
      <c r="B650" s="856" t="s">
        <v>1420</v>
      </c>
      <c r="C650" s="857">
        <f t="shared" ref="C650:O650" si="304">C542</f>
        <v>0</v>
      </c>
      <c r="D650" s="857">
        <f t="shared" si="304"/>
        <v>0</v>
      </c>
      <c r="E650" s="857">
        <f t="shared" si="304"/>
        <v>3437</v>
      </c>
      <c r="F650" s="857">
        <f t="shared" si="304"/>
        <v>0</v>
      </c>
      <c r="G650" s="857">
        <f t="shared" si="304"/>
        <v>0</v>
      </c>
      <c r="H650" s="858">
        <f t="shared" si="304"/>
        <v>3437</v>
      </c>
      <c r="I650" s="858">
        <f t="shared" si="304"/>
        <v>0</v>
      </c>
      <c r="J650" s="858">
        <f t="shared" si="304"/>
        <v>0</v>
      </c>
      <c r="K650" s="858">
        <f t="shared" si="304"/>
        <v>0</v>
      </c>
      <c r="L650" s="858">
        <f t="shared" si="304"/>
        <v>0</v>
      </c>
      <c r="M650" s="858">
        <f t="shared" si="304"/>
        <v>3437</v>
      </c>
      <c r="N650" s="858">
        <f t="shared" si="304"/>
        <v>0</v>
      </c>
      <c r="O650" s="858">
        <f t="shared" si="304"/>
        <v>3437</v>
      </c>
      <c r="P650" s="702" t="s">
        <v>1412</v>
      </c>
    </row>
    <row r="651" spans="1:16" s="702" customFormat="1" ht="47.25" x14ac:dyDescent="0.25">
      <c r="A651" s="855"/>
      <c r="B651" s="856" t="s">
        <v>1421</v>
      </c>
      <c r="C651" s="857">
        <f t="shared" ref="C651:O651" si="305">C558+C543</f>
        <v>4329</v>
      </c>
      <c r="D651" s="857">
        <f t="shared" si="305"/>
        <v>671</v>
      </c>
      <c r="E651" s="857">
        <f t="shared" si="305"/>
        <v>52000</v>
      </c>
      <c r="F651" s="857">
        <f t="shared" si="305"/>
        <v>0</v>
      </c>
      <c r="G651" s="857">
        <f t="shared" si="305"/>
        <v>0</v>
      </c>
      <c r="H651" s="858">
        <f t="shared" si="305"/>
        <v>57000</v>
      </c>
      <c r="I651" s="858">
        <f t="shared" si="305"/>
        <v>0</v>
      </c>
      <c r="J651" s="858">
        <f t="shared" si="305"/>
        <v>0</v>
      </c>
      <c r="K651" s="858">
        <f t="shared" si="305"/>
        <v>0</v>
      </c>
      <c r="L651" s="858">
        <f t="shared" si="305"/>
        <v>0</v>
      </c>
      <c r="M651" s="858">
        <f t="shared" si="305"/>
        <v>57000</v>
      </c>
      <c r="N651" s="858">
        <f t="shared" si="305"/>
        <v>0</v>
      </c>
      <c r="O651" s="858">
        <f t="shared" si="305"/>
        <v>57000</v>
      </c>
    </row>
    <row r="652" spans="1:16" s="702" customFormat="1" ht="63" x14ac:dyDescent="0.25">
      <c r="A652" s="855"/>
      <c r="B652" s="856" t="s">
        <v>1422</v>
      </c>
      <c r="C652" s="857">
        <f t="shared" ref="C652:O652" si="306">C531+C544</f>
        <v>0</v>
      </c>
      <c r="D652" s="857">
        <f t="shared" si="306"/>
        <v>0</v>
      </c>
      <c r="E652" s="857">
        <f t="shared" si="306"/>
        <v>-110000</v>
      </c>
      <c r="F652" s="857">
        <f t="shared" si="306"/>
        <v>0</v>
      </c>
      <c r="G652" s="857">
        <f t="shared" si="306"/>
        <v>0</v>
      </c>
      <c r="H652" s="858">
        <f t="shared" si="306"/>
        <v>-110000</v>
      </c>
      <c r="I652" s="858">
        <f t="shared" si="306"/>
        <v>0</v>
      </c>
      <c r="J652" s="858">
        <f t="shared" si="306"/>
        <v>0</v>
      </c>
      <c r="K652" s="858">
        <f t="shared" si="306"/>
        <v>0</v>
      </c>
      <c r="L652" s="858">
        <f t="shared" si="306"/>
        <v>0</v>
      </c>
      <c r="M652" s="858">
        <f t="shared" si="306"/>
        <v>-110000</v>
      </c>
      <c r="N652" s="858">
        <f t="shared" si="306"/>
        <v>0</v>
      </c>
      <c r="O652" s="858">
        <f t="shared" si="306"/>
        <v>-110000</v>
      </c>
    </row>
    <row r="653" spans="1:16" s="702" customFormat="1" ht="47.25" x14ac:dyDescent="0.25">
      <c r="A653" s="855"/>
      <c r="B653" s="968" t="s">
        <v>1394</v>
      </c>
      <c r="C653" s="857">
        <f t="shared" ref="C653:O653" si="307">C331</f>
        <v>285</v>
      </c>
      <c r="D653" s="857">
        <f t="shared" si="307"/>
        <v>43</v>
      </c>
      <c r="E653" s="857">
        <f t="shared" si="307"/>
        <v>0</v>
      </c>
      <c r="F653" s="857">
        <f t="shared" si="307"/>
        <v>0</v>
      </c>
      <c r="G653" s="857">
        <f t="shared" si="307"/>
        <v>0</v>
      </c>
      <c r="H653" s="858">
        <f t="shared" si="307"/>
        <v>328</v>
      </c>
      <c r="I653" s="858">
        <f t="shared" si="307"/>
        <v>0</v>
      </c>
      <c r="J653" s="858">
        <f t="shared" si="307"/>
        <v>0</v>
      </c>
      <c r="K653" s="858">
        <f t="shared" si="307"/>
        <v>0</v>
      </c>
      <c r="L653" s="858">
        <f t="shared" si="307"/>
        <v>0</v>
      </c>
      <c r="M653" s="858">
        <f t="shared" si="307"/>
        <v>328</v>
      </c>
      <c r="N653" s="858">
        <f t="shared" si="307"/>
        <v>0</v>
      </c>
      <c r="O653" s="858">
        <f t="shared" si="307"/>
        <v>328</v>
      </c>
    </row>
    <row r="654" spans="1:16" s="702" customFormat="1" ht="47.25" x14ac:dyDescent="0.25">
      <c r="A654" s="855"/>
      <c r="B654" s="968" t="s">
        <v>1395</v>
      </c>
      <c r="C654" s="857">
        <f t="shared" ref="C654:O654" si="308">C236</f>
        <v>-285</v>
      </c>
      <c r="D654" s="857">
        <f t="shared" si="308"/>
        <v>-43</v>
      </c>
      <c r="E654" s="857">
        <f t="shared" si="308"/>
        <v>0</v>
      </c>
      <c r="F654" s="857">
        <f t="shared" si="308"/>
        <v>0</v>
      </c>
      <c r="G654" s="857">
        <f t="shared" si="308"/>
        <v>0</v>
      </c>
      <c r="H654" s="858">
        <f t="shared" si="308"/>
        <v>-328</v>
      </c>
      <c r="I654" s="858">
        <f t="shared" si="308"/>
        <v>0</v>
      </c>
      <c r="J654" s="858">
        <f t="shared" si="308"/>
        <v>0</v>
      </c>
      <c r="K654" s="858">
        <f t="shared" si="308"/>
        <v>0</v>
      </c>
      <c r="L654" s="858">
        <f t="shared" si="308"/>
        <v>0</v>
      </c>
      <c r="M654" s="858">
        <f t="shared" si="308"/>
        <v>-328</v>
      </c>
      <c r="N654" s="858">
        <f t="shared" si="308"/>
        <v>0</v>
      </c>
      <c r="O654" s="858">
        <f t="shared" si="308"/>
        <v>-328</v>
      </c>
    </row>
    <row r="655" spans="1:16" s="702" customFormat="1" ht="63" x14ac:dyDescent="0.25">
      <c r="A655" s="855"/>
      <c r="B655" s="856" t="s">
        <v>1423</v>
      </c>
      <c r="C655" s="857">
        <f t="shared" ref="C655:O655" si="309">C411</f>
        <v>7000</v>
      </c>
      <c r="D655" s="857">
        <f t="shared" si="309"/>
        <v>1085</v>
      </c>
      <c r="E655" s="857">
        <f t="shared" si="309"/>
        <v>0</v>
      </c>
      <c r="F655" s="857">
        <f t="shared" si="309"/>
        <v>0</v>
      </c>
      <c r="G655" s="857">
        <f t="shared" si="309"/>
        <v>0</v>
      </c>
      <c r="H655" s="858">
        <f t="shared" si="309"/>
        <v>8085</v>
      </c>
      <c r="I655" s="858">
        <f t="shared" si="309"/>
        <v>0</v>
      </c>
      <c r="J655" s="858">
        <f t="shared" si="309"/>
        <v>0</v>
      </c>
      <c r="K655" s="858">
        <f t="shared" si="309"/>
        <v>0</v>
      </c>
      <c r="L655" s="858">
        <f t="shared" si="309"/>
        <v>0</v>
      </c>
      <c r="M655" s="858">
        <f t="shared" si="309"/>
        <v>8085</v>
      </c>
      <c r="N655" s="858">
        <f t="shared" si="309"/>
        <v>0</v>
      </c>
      <c r="O655" s="858">
        <f t="shared" si="309"/>
        <v>8085</v>
      </c>
      <c r="P655" s="702" t="s">
        <v>1413</v>
      </c>
    </row>
    <row r="656" spans="1:16" s="702" customFormat="1" ht="31.5" x14ac:dyDescent="0.25">
      <c r="A656" s="855"/>
      <c r="B656" s="856" t="s">
        <v>963</v>
      </c>
      <c r="C656" s="857">
        <f t="shared" ref="C656:O657" si="310">C596</f>
        <v>-135664</v>
      </c>
      <c r="D656" s="857">
        <f t="shared" si="310"/>
        <v>-21028</v>
      </c>
      <c r="E656" s="857">
        <f t="shared" si="310"/>
        <v>0</v>
      </c>
      <c r="F656" s="857">
        <f t="shared" si="310"/>
        <v>0</v>
      </c>
      <c r="G656" s="857">
        <f t="shared" si="310"/>
        <v>0</v>
      </c>
      <c r="H656" s="858">
        <f t="shared" si="310"/>
        <v>-156692</v>
      </c>
      <c r="I656" s="858">
        <f t="shared" si="310"/>
        <v>0</v>
      </c>
      <c r="J656" s="858">
        <f t="shared" si="310"/>
        <v>0</v>
      </c>
      <c r="K656" s="858">
        <f t="shared" si="310"/>
        <v>0</v>
      </c>
      <c r="L656" s="858">
        <f t="shared" si="310"/>
        <v>0</v>
      </c>
      <c r="M656" s="858">
        <f t="shared" si="310"/>
        <v>-156692</v>
      </c>
      <c r="N656" s="858">
        <f t="shared" si="310"/>
        <v>0</v>
      </c>
      <c r="O656" s="858">
        <f t="shared" si="310"/>
        <v>-156692</v>
      </c>
    </row>
    <row r="657" spans="1:16" s="702" customFormat="1" ht="31.5" x14ac:dyDescent="0.25">
      <c r="A657" s="855"/>
      <c r="B657" s="856" t="s">
        <v>1407</v>
      </c>
      <c r="C657" s="857">
        <f t="shared" si="310"/>
        <v>276</v>
      </c>
      <c r="D657" s="857">
        <f t="shared" si="310"/>
        <v>496</v>
      </c>
      <c r="E657" s="857">
        <f t="shared" si="310"/>
        <v>-772</v>
      </c>
      <c r="F657" s="857">
        <f t="shared" si="310"/>
        <v>0</v>
      </c>
      <c r="G657" s="857">
        <f t="shared" si="310"/>
        <v>0</v>
      </c>
      <c r="H657" s="858">
        <f t="shared" si="310"/>
        <v>0</v>
      </c>
      <c r="I657" s="858">
        <f t="shared" si="310"/>
        <v>0</v>
      </c>
      <c r="J657" s="858">
        <f t="shared" si="310"/>
        <v>0</v>
      </c>
      <c r="K657" s="858">
        <f t="shared" si="310"/>
        <v>0</v>
      </c>
      <c r="L657" s="858">
        <f t="shared" si="310"/>
        <v>0</v>
      </c>
      <c r="M657" s="858">
        <f t="shared" si="310"/>
        <v>0</v>
      </c>
      <c r="N657" s="858">
        <f t="shared" si="310"/>
        <v>0</v>
      </c>
      <c r="O657" s="858">
        <f t="shared" si="310"/>
        <v>0</v>
      </c>
    </row>
    <row r="658" spans="1:16" s="702" customFormat="1" x14ac:dyDescent="0.25">
      <c r="A658" s="855"/>
      <c r="B658" s="862" t="s">
        <v>333</v>
      </c>
      <c r="C658" s="857"/>
      <c r="D658" s="857"/>
      <c r="E658" s="857"/>
      <c r="F658" s="857"/>
      <c r="G658" s="857"/>
      <c r="H658" s="858"/>
      <c r="I658" s="858"/>
      <c r="J658" s="858"/>
      <c r="K658" s="858"/>
      <c r="L658" s="858"/>
      <c r="M658" s="858"/>
      <c r="N658" s="858"/>
      <c r="O658" s="858"/>
    </row>
    <row r="659" spans="1:16" s="702" customFormat="1" ht="47.25" x14ac:dyDescent="0.25">
      <c r="A659" s="855"/>
      <c r="B659" s="856" t="s">
        <v>1406</v>
      </c>
      <c r="C659" s="857">
        <f t="shared" ref="C659:O660" si="311">C599</f>
        <v>475</v>
      </c>
      <c r="D659" s="857">
        <f t="shared" si="311"/>
        <v>41</v>
      </c>
      <c r="E659" s="857">
        <f t="shared" si="311"/>
        <v>1113</v>
      </c>
      <c r="F659" s="857">
        <f t="shared" si="311"/>
        <v>0</v>
      </c>
      <c r="G659" s="857">
        <f t="shared" si="311"/>
        <v>0</v>
      </c>
      <c r="H659" s="858">
        <f t="shared" si="311"/>
        <v>1629</v>
      </c>
      <c r="I659" s="858">
        <f t="shared" si="311"/>
        <v>1975</v>
      </c>
      <c r="J659" s="858">
        <f t="shared" si="311"/>
        <v>0</v>
      </c>
      <c r="K659" s="858">
        <f t="shared" si="311"/>
        <v>0</v>
      </c>
      <c r="L659" s="858">
        <f t="shared" si="311"/>
        <v>1975</v>
      </c>
      <c r="M659" s="858">
        <f t="shared" si="311"/>
        <v>3604</v>
      </c>
      <c r="N659" s="858">
        <f t="shared" si="311"/>
        <v>0</v>
      </c>
      <c r="O659" s="858">
        <f t="shared" si="311"/>
        <v>3604</v>
      </c>
    </row>
    <row r="660" spans="1:16" s="702" customFormat="1" ht="32.25" thickBot="1" x14ac:dyDescent="0.3">
      <c r="A660" s="855"/>
      <c r="B660" s="856" t="s">
        <v>1424</v>
      </c>
      <c r="C660" s="857">
        <f t="shared" si="311"/>
        <v>-8</v>
      </c>
      <c r="D660" s="857">
        <f t="shared" si="311"/>
        <v>150</v>
      </c>
      <c r="E660" s="857">
        <f t="shared" si="311"/>
        <v>2477</v>
      </c>
      <c r="F660" s="857">
        <f t="shared" si="311"/>
        <v>0</v>
      </c>
      <c r="G660" s="857">
        <f t="shared" si="311"/>
        <v>0</v>
      </c>
      <c r="H660" s="858">
        <f t="shared" si="311"/>
        <v>2619</v>
      </c>
      <c r="I660" s="858">
        <f t="shared" si="311"/>
        <v>-922</v>
      </c>
      <c r="J660" s="858">
        <f t="shared" si="311"/>
        <v>-1697</v>
      </c>
      <c r="K660" s="858">
        <f t="shared" si="311"/>
        <v>0</v>
      </c>
      <c r="L660" s="858">
        <f t="shared" si="311"/>
        <v>-2619</v>
      </c>
      <c r="M660" s="858">
        <f t="shared" si="311"/>
        <v>0</v>
      </c>
      <c r="N660" s="858">
        <f t="shared" si="311"/>
        <v>0</v>
      </c>
      <c r="O660" s="858">
        <f t="shared" si="311"/>
        <v>0</v>
      </c>
    </row>
    <row r="661" spans="1:16" ht="17.25" thickTop="1" thickBot="1" x14ac:dyDescent="0.3">
      <c r="A661" s="791"/>
      <c r="B661" s="792" t="s">
        <v>375</v>
      </c>
      <c r="C661" s="839">
        <f t="shared" ref="C661:O661" si="312">SUM(C606:C660)</f>
        <v>8555641</v>
      </c>
      <c r="D661" s="839">
        <f t="shared" si="312"/>
        <v>1546176</v>
      </c>
      <c r="E661" s="839">
        <f t="shared" si="312"/>
        <v>4668485</v>
      </c>
      <c r="F661" s="839">
        <f t="shared" si="312"/>
        <v>11588</v>
      </c>
      <c r="G661" s="839">
        <f t="shared" si="312"/>
        <v>285</v>
      </c>
      <c r="H661" s="839">
        <f t="shared" si="312"/>
        <v>14782175</v>
      </c>
      <c r="I661" s="839">
        <f t="shared" si="312"/>
        <v>265057</v>
      </c>
      <c r="J661" s="839">
        <f t="shared" si="312"/>
        <v>11380</v>
      </c>
      <c r="K661" s="839">
        <f t="shared" si="312"/>
        <v>0</v>
      </c>
      <c r="L661" s="839">
        <f t="shared" si="312"/>
        <v>276437</v>
      </c>
      <c r="M661" s="839">
        <f t="shared" si="312"/>
        <v>15058612</v>
      </c>
      <c r="N661" s="839">
        <f t="shared" si="312"/>
        <v>0</v>
      </c>
      <c r="O661" s="839">
        <f t="shared" si="312"/>
        <v>15058612</v>
      </c>
      <c r="P661" s="852">
        <f>O662+O663+O664</f>
        <v>15058612</v>
      </c>
    </row>
    <row r="662" spans="1:16" ht="17.25" thickTop="1" thickBot="1" x14ac:dyDescent="0.3">
      <c r="A662" s="791"/>
      <c r="B662" s="792" t="s">
        <v>378</v>
      </c>
      <c r="C662" s="793">
        <f t="shared" ref="C662:O662" si="313">SUM(C21+C37+C58+C78+C97+C116+C136+C154+C174+C193+C212+C238+C259+C278+C299+C322+C333+C351+C372+C392+C413+C428+C446+C461+C491+C508+C582+C602)</f>
        <v>6433988</v>
      </c>
      <c r="D662" s="793">
        <f t="shared" si="313"/>
        <v>1165255</v>
      </c>
      <c r="E662" s="793">
        <f t="shared" si="313"/>
        <v>3515180</v>
      </c>
      <c r="F662" s="793">
        <f t="shared" si="313"/>
        <v>11588</v>
      </c>
      <c r="G662" s="793">
        <f t="shared" si="313"/>
        <v>285</v>
      </c>
      <c r="H662" s="793">
        <f t="shared" si="313"/>
        <v>11126296</v>
      </c>
      <c r="I662" s="793">
        <f t="shared" si="313"/>
        <v>161736</v>
      </c>
      <c r="J662" s="793">
        <f t="shared" si="313"/>
        <v>9701</v>
      </c>
      <c r="K662" s="793">
        <f t="shared" si="313"/>
        <v>0</v>
      </c>
      <c r="L662" s="793">
        <f t="shared" si="313"/>
        <v>171437</v>
      </c>
      <c r="M662" s="793">
        <f t="shared" si="313"/>
        <v>11297733</v>
      </c>
      <c r="N662" s="793">
        <f t="shared" si="313"/>
        <v>0</v>
      </c>
      <c r="O662" s="793">
        <f t="shared" si="313"/>
        <v>11297733</v>
      </c>
    </row>
    <row r="663" spans="1:16" ht="17.25" thickTop="1" thickBot="1" x14ac:dyDescent="0.3">
      <c r="A663" s="791"/>
      <c r="B663" s="792" t="s">
        <v>377</v>
      </c>
      <c r="C663" s="793">
        <f t="shared" ref="C663:O663" si="314">SUM(C22+C38+C59+C79+C98+C117+C137+C155+C175+C194+C213+C239+C260+C279+C300+C323+C334+C352+C373+C393+C414+C429+C447+C462+C472+C492+C509+C534+C547+C583+C560+C603+C519)</f>
        <v>1438700</v>
      </c>
      <c r="D663" s="793">
        <f t="shared" si="314"/>
        <v>248934</v>
      </c>
      <c r="E663" s="793">
        <f t="shared" si="314"/>
        <v>1040704</v>
      </c>
      <c r="F663" s="793">
        <f t="shared" si="314"/>
        <v>0</v>
      </c>
      <c r="G663" s="793">
        <f t="shared" si="314"/>
        <v>0</v>
      </c>
      <c r="H663" s="793">
        <f t="shared" si="314"/>
        <v>2728338</v>
      </c>
      <c r="I663" s="793">
        <f t="shared" si="314"/>
        <v>43855</v>
      </c>
      <c r="J663" s="793">
        <f t="shared" si="314"/>
        <v>677</v>
      </c>
      <c r="K663" s="793">
        <f t="shared" si="314"/>
        <v>0</v>
      </c>
      <c r="L663" s="793">
        <f t="shared" si="314"/>
        <v>44532</v>
      </c>
      <c r="M663" s="793">
        <f t="shared" si="314"/>
        <v>2772870</v>
      </c>
      <c r="N663" s="793">
        <f t="shared" si="314"/>
        <v>0</v>
      </c>
      <c r="O663" s="793">
        <f t="shared" si="314"/>
        <v>2772870</v>
      </c>
    </row>
    <row r="664" spans="1:16" ht="33" thickTop="1" thickBot="1" x14ac:dyDescent="0.3">
      <c r="A664" s="791"/>
      <c r="B664" s="792" t="s">
        <v>446</v>
      </c>
      <c r="C664" s="793">
        <f t="shared" ref="C664:O664" si="315">SUM(C604)</f>
        <v>682953</v>
      </c>
      <c r="D664" s="793">
        <f t="shared" si="315"/>
        <v>131987</v>
      </c>
      <c r="E664" s="793">
        <f t="shared" si="315"/>
        <v>112601</v>
      </c>
      <c r="F664" s="793">
        <f t="shared" si="315"/>
        <v>0</v>
      </c>
      <c r="G664" s="793">
        <f t="shared" si="315"/>
        <v>0</v>
      </c>
      <c r="H664" s="793">
        <f t="shared" si="315"/>
        <v>927541</v>
      </c>
      <c r="I664" s="793">
        <f t="shared" si="315"/>
        <v>59466</v>
      </c>
      <c r="J664" s="793">
        <f t="shared" si="315"/>
        <v>1002</v>
      </c>
      <c r="K664" s="793">
        <f t="shared" si="315"/>
        <v>0</v>
      </c>
      <c r="L664" s="793">
        <f t="shared" si="315"/>
        <v>60468</v>
      </c>
      <c r="M664" s="793">
        <f t="shared" si="315"/>
        <v>988009</v>
      </c>
      <c r="N664" s="793">
        <f t="shared" si="315"/>
        <v>0</v>
      </c>
      <c r="O664" s="793">
        <f t="shared" si="315"/>
        <v>988009</v>
      </c>
    </row>
    <row r="665" spans="1:16" ht="24" customHeight="1" thickTop="1" x14ac:dyDescent="0.25"/>
    <row r="666" spans="1:16" hidden="1" x14ac:dyDescent="0.25">
      <c r="C666" s="698">
        <f t="shared" ref="C666:O666" si="316">SUM(C661-C606)</f>
        <v>193257</v>
      </c>
      <c r="D666" s="698">
        <f t="shared" si="316"/>
        <v>26814</v>
      </c>
      <c r="E666" s="698">
        <f t="shared" si="316"/>
        <v>-342808</v>
      </c>
      <c r="F666" s="698">
        <f t="shared" si="316"/>
        <v>11588</v>
      </c>
      <c r="G666" s="698">
        <f t="shared" si="316"/>
        <v>285</v>
      </c>
      <c r="H666" s="698">
        <f t="shared" si="316"/>
        <v>-110864</v>
      </c>
      <c r="I666" s="698">
        <f t="shared" si="316"/>
        <v>28560</v>
      </c>
      <c r="J666" s="698">
        <f t="shared" si="316"/>
        <v>-4059</v>
      </c>
      <c r="K666" s="698">
        <f t="shared" si="316"/>
        <v>-2770</v>
      </c>
      <c r="L666" s="698">
        <f t="shared" si="316"/>
        <v>21731</v>
      </c>
      <c r="M666" s="698">
        <f t="shared" si="316"/>
        <v>-89133</v>
      </c>
      <c r="N666" s="698">
        <f t="shared" si="316"/>
        <v>0</v>
      </c>
      <c r="O666" s="698">
        <f t="shared" si="316"/>
        <v>-89133</v>
      </c>
    </row>
    <row r="667" spans="1:16" hidden="1" x14ac:dyDescent="0.25"/>
    <row r="668" spans="1:16" hidden="1" x14ac:dyDescent="0.25">
      <c r="B668" s="675" t="s">
        <v>665</v>
      </c>
      <c r="C668" s="698">
        <f t="shared" ref="C668:O669" si="317">+C661</f>
        <v>8555641</v>
      </c>
      <c r="D668" s="698">
        <f t="shared" si="317"/>
        <v>1546176</v>
      </c>
      <c r="E668" s="698">
        <f t="shared" si="317"/>
        <v>4668485</v>
      </c>
      <c r="F668" s="698">
        <f t="shared" si="317"/>
        <v>11588</v>
      </c>
      <c r="G668" s="698">
        <f t="shared" si="317"/>
        <v>285</v>
      </c>
      <c r="H668" s="698">
        <f t="shared" si="317"/>
        <v>14782175</v>
      </c>
      <c r="I668" s="698">
        <f t="shared" si="317"/>
        <v>265057</v>
      </c>
      <c r="J668" s="698">
        <f t="shared" si="317"/>
        <v>11380</v>
      </c>
      <c r="K668" s="698">
        <f t="shared" si="317"/>
        <v>0</v>
      </c>
      <c r="L668" s="698">
        <f t="shared" si="317"/>
        <v>276437</v>
      </c>
      <c r="M668" s="698">
        <f t="shared" si="317"/>
        <v>15058612</v>
      </c>
      <c r="N668" s="698">
        <f t="shared" si="317"/>
        <v>0</v>
      </c>
      <c r="O668" s="698">
        <f t="shared" si="317"/>
        <v>15058612</v>
      </c>
    </row>
    <row r="669" spans="1:16" hidden="1" x14ac:dyDescent="0.25">
      <c r="B669" s="675" t="s">
        <v>666</v>
      </c>
      <c r="C669" s="698">
        <f>+C662</f>
        <v>6433988</v>
      </c>
      <c r="D669" s="698">
        <f t="shared" si="317"/>
        <v>1165255</v>
      </c>
      <c r="E669" s="698">
        <f t="shared" si="317"/>
        <v>3515180</v>
      </c>
      <c r="F669" s="698">
        <f t="shared" si="317"/>
        <v>11588</v>
      </c>
      <c r="G669" s="698">
        <f t="shared" si="317"/>
        <v>285</v>
      </c>
      <c r="H669" s="698">
        <f t="shared" si="317"/>
        <v>11126296</v>
      </c>
      <c r="I669" s="698">
        <f t="shared" si="317"/>
        <v>161736</v>
      </c>
      <c r="J669" s="698">
        <f t="shared" si="317"/>
        <v>9701</v>
      </c>
      <c r="K669" s="698">
        <f t="shared" si="317"/>
        <v>0</v>
      </c>
      <c r="L669" s="698">
        <f t="shared" si="317"/>
        <v>171437</v>
      </c>
      <c r="M669" s="698">
        <f t="shared" si="317"/>
        <v>11297733</v>
      </c>
      <c r="N669" s="698">
        <f t="shared" si="317"/>
        <v>0</v>
      </c>
      <c r="O669" s="698">
        <f t="shared" si="317"/>
        <v>11297733</v>
      </c>
    </row>
    <row r="670" spans="1:16" hidden="1" x14ac:dyDescent="0.25">
      <c r="B670" s="675" t="s">
        <v>377</v>
      </c>
      <c r="C670" s="698">
        <f t="shared" ref="C670:O671" si="318">+C663</f>
        <v>1438700</v>
      </c>
      <c r="D670" s="698">
        <f t="shared" si="318"/>
        <v>248934</v>
      </c>
      <c r="E670" s="698">
        <f t="shared" si="318"/>
        <v>1040704</v>
      </c>
      <c r="F670" s="698">
        <f t="shared" si="318"/>
        <v>0</v>
      </c>
      <c r="G670" s="698">
        <f t="shared" si="318"/>
        <v>0</v>
      </c>
      <c r="H670" s="698">
        <f t="shared" si="318"/>
        <v>2728338</v>
      </c>
      <c r="I670" s="698">
        <f t="shared" si="318"/>
        <v>43855</v>
      </c>
      <c r="J670" s="698">
        <f t="shared" si="318"/>
        <v>677</v>
      </c>
      <c r="K670" s="698">
        <f t="shared" si="318"/>
        <v>0</v>
      </c>
      <c r="L670" s="698">
        <f t="shared" si="318"/>
        <v>44532</v>
      </c>
      <c r="M670" s="698">
        <f t="shared" si="318"/>
        <v>2772870</v>
      </c>
      <c r="N670" s="698">
        <f t="shared" si="318"/>
        <v>0</v>
      </c>
      <c r="O670" s="698">
        <f t="shared" si="318"/>
        <v>2772870</v>
      </c>
    </row>
    <row r="671" spans="1:16" hidden="1" x14ac:dyDescent="0.25">
      <c r="B671" s="675" t="s">
        <v>667</v>
      </c>
      <c r="C671" s="698">
        <f t="shared" si="318"/>
        <v>682953</v>
      </c>
      <c r="D671" s="698">
        <f t="shared" si="318"/>
        <v>131987</v>
      </c>
      <c r="E671" s="698">
        <f t="shared" si="318"/>
        <v>112601</v>
      </c>
      <c r="F671" s="698">
        <f t="shared" si="318"/>
        <v>0</v>
      </c>
      <c r="G671" s="698">
        <f t="shared" si="318"/>
        <v>0</v>
      </c>
      <c r="H671" s="698">
        <f t="shared" si="318"/>
        <v>927541</v>
      </c>
      <c r="I671" s="698">
        <f t="shared" si="318"/>
        <v>59466</v>
      </c>
      <c r="J671" s="698">
        <f t="shared" si="318"/>
        <v>1002</v>
      </c>
      <c r="K671" s="698">
        <f t="shared" si="318"/>
        <v>0</v>
      </c>
      <c r="L671" s="698">
        <f t="shared" si="318"/>
        <v>60468</v>
      </c>
      <c r="M671" s="698">
        <f t="shared" si="318"/>
        <v>988009</v>
      </c>
      <c r="N671" s="698">
        <f t="shared" si="318"/>
        <v>0</v>
      </c>
      <c r="O671" s="698">
        <f t="shared" si="318"/>
        <v>988009</v>
      </c>
    </row>
    <row r="672" spans="1:16" hidden="1" x14ac:dyDescent="0.25">
      <c r="C672" s="698">
        <f t="shared" ref="C672:O672" si="319">SUM(C669:C671)-C666</f>
        <v>8362384</v>
      </c>
      <c r="D672" s="698">
        <f t="shared" si="319"/>
        <v>1519362</v>
      </c>
      <c r="E672" s="698">
        <f t="shared" si="319"/>
        <v>5011293</v>
      </c>
      <c r="F672" s="698">
        <f t="shared" si="319"/>
        <v>0</v>
      </c>
      <c r="G672" s="698">
        <f t="shared" si="319"/>
        <v>0</v>
      </c>
      <c r="H672" s="698">
        <f t="shared" si="319"/>
        <v>14893039</v>
      </c>
      <c r="I672" s="698">
        <f t="shared" si="319"/>
        <v>236497</v>
      </c>
      <c r="J672" s="698">
        <f t="shared" si="319"/>
        <v>15439</v>
      </c>
      <c r="K672" s="698">
        <f t="shared" si="319"/>
        <v>2770</v>
      </c>
      <c r="L672" s="698">
        <f t="shared" si="319"/>
        <v>254706</v>
      </c>
      <c r="M672" s="698">
        <f t="shared" si="319"/>
        <v>15147745</v>
      </c>
      <c r="N672" s="698">
        <f t="shared" si="319"/>
        <v>0</v>
      </c>
      <c r="O672" s="698">
        <f t="shared" si="319"/>
        <v>15147745</v>
      </c>
    </row>
    <row r="673" spans="2:15" hidden="1" x14ac:dyDescent="0.25">
      <c r="C673" s="698"/>
      <c r="D673" s="698"/>
      <c r="E673" s="698"/>
      <c r="F673" s="698"/>
      <c r="G673" s="698"/>
      <c r="H673" s="698"/>
      <c r="I673" s="698"/>
      <c r="J673" s="698"/>
      <c r="K673" s="698"/>
      <c r="L673" s="698"/>
      <c r="M673" s="698"/>
      <c r="N673" s="698"/>
      <c r="O673" s="698"/>
    </row>
    <row r="674" spans="2:15" hidden="1" x14ac:dyDescent="0.25">
      <c r="C674" s="698">
        <f t="shared" ref="C674:O674" si="320">SUM(C675:C677)</f>
        <v>193257</v>
      </c>
      <c r="D674" s="698">
        <f t="shared" si="320"/>
        <v>26814</v>
      </c>
      <c r="E674" s="698">
        <f t="shared" si="320"/>
        <v>-342808</v>
      </c>
      <c r="F674" s="698">
        <f t="shared" si="320"/>
        <v>11588</v>
      </c>
      <c r="G674" s="698">
        <f t="shared" si="320"/>
        <v>285</v>
      </c>
      <c r="H674" s="698">
        <f t="shared" si="320"/>
        <v>-110864</v>
      </c>
      <c r="I674" s="698">
        <f t="shared" si="320"/>
        <v>28560</v>
      </c>
      <c r="J674" s="698">
        <f t="shared" si="320"/>
        <v>-4059</v>
      </c>
      <c r="K674" s="698">
        <f t="shared" si="320"/>
        <v>-2770</v>
      </c>
      <c r="L674" s="698">
        <f t="shared" si="320"/>
        <v>21731</v>
      </c>
      <c r="M674" s="698">
        <f t="shared" si="320"/>
        <v>-89133</v>
      </c>
      <c r="N674" s="698">
        <f t="shared" si="320"/>
        <v>0</v>
      </c>
      <c r="O674" s="698">
        <f t="shared" si="320"/>
        <v>-89133</v>
      </c>
    </row>
    <row r="675" spans="2:15" hidden="1" x14ac:dyDescent="0.25">
      <c r="B675" s="675" t="s">
        <v>666</v>
      </c>
      <c r="C675" s="698">
        <f t="shared" ref="C675:O675" si="321">SUM(C608:C630)</f>
        <v>231234</v>
      </c>
      <c r="D675" s="698">
        <f t="shared" si="321"/>
        <v>33040</v>
      </c>
      <c r="E675" s="698">
        <f t="shared" si="321"/>
        <v>-332417</v>
      </c>
      <c r="F675" s="698">
        <f t="shared" si="321"/>
        <v>11588</v>
      </c>
      <c r="G675" s="698">
        <f t="shared" si="321"/>
        <v>285</v>
      </c>
      <c r="H675" s="698">
        <f t="shared" si="321"/>
        <v>-56270</v>
      </c>
      <c r="I675" s="698">
        <f t="shared" si="321"/>
        <v>20500</v>
      </c>
      <c r="J675" s="698">
        <f t="shared" si="321"/>
        <v>-2362</v>
      </c>
      <c r="K675" s="698">
        <f t="shared" si="321"/>
        <v>0</v>
      </c>
      <c r="L675" s="698">
        <f t="shared" si="321"/>
        <v>18138</v>
      </c>
      <c r="M675" s="698">
        <f t="shared" si="321"/>
        <v>-38132</v>
      </c>
      <c r="N675" s="698">
        <f t="shared" si="321"/>
        <v>0</v>
      </c>
      <c r="O675" s="698">
        <f t="shared" si="321"/>
        <v>-38132</v>
      </c>
    </row>
    <row r="676" spans="2:15" hidden="1" x14ac:dyDescent="0.25">
      <c r="B676" s="675" t="s">
        <v>377</v>
      </c>
      <c r="C676" s="698">
        <f>SUM(C632:C657)</f>
        <v>-38444</v>
      </c>
      <c r="D676" s="698">
        <f t="shared" ref="D676:O676" si="322">SUM(D632:D657)</f>
        <v>-6417</v>
      </c>
      <c r="E676" s="698">
        <f t="shared" si="322"/>
        <v>-13981</v>
      </c>
      <c r="F676" s="698">
        <f t="shared" si="322"/>
        <v>0</v>
      </c>
      <c r="G676" s="698">
        <f t="shared" si="322"/>
        <v>0</v>
      </c>
      <c r="H676" s="698">
        <f t="shared" si="322"/>
        <v>-58842</v>
      </c>
      <c r="I676" s="698">
        <f t="shared" si="322"/>
        <v>7007</v>
      </c>
      <c r="J676" s="698">
        <f t="shared" si="322"/>
        <v>0</v>
      </c>
      <c r="K676" s="698">
        <f t="shared" si="322"/>
        <v>-2770</v>
      </c>
      <c r="L676" s="698">
        <f t="shared" si="322"/>
        <v>4237</v>
      </c>
      <c r="M676" s="698">
        <f t="shared" si="322"/>
        <v>-54605</v>
      </c>
      <c r="N676" s="698">
        <f t="shared" si="322"/>
        <v>0</v>
      </c>
      <c r="O676" s="698">
        <f t="shared" si="322"/>
        <v>-54605</v>
      </c>
    </row>
    <row r="677" spans="2:15" hidden="1" x14ac:dyDescent="0.25">
      <c r="B677" s="675" t="s">
        <v>667</v>
      </c>
      <c r="C677" s="698">
        <f t="shared" ref="C677:O677" si="323">C659+C660</f>
        <v>467</v>
      </c>
      <c r="D677" s="698">
        <f t="shared" si="323"/>
        <v>191</v>
      </c>
      <c r="E677" s="698">
        <f t="shared" si="323"/>
        <v>3590</v>
      </c>
      <c r="F677" s="698">
        <f t="shared" si="323"/>
        <v>0</v>
      </c>
      <c r="G677" s="698">
        <f t="shared" si="323"/>
        <v>0</v>
      </c>
      <c r="H677" s="698">
        <f t="shared" si="323"/>
        <v>4248</v>
      </c>
      <c r="I677" s="698">
        <f t="shared" si="323"/>
        <v>1053</v>
      </c>
      <c r="J677" s="698">
        <f t="shared" si="323"/>
        <v>-1697</v>
      </c>
      <c r="K677" s="698">
        <f t="shared" si="323"/>
        <v>0</v>
      </c>
      <c r="L677" s="698">
        <f t="shared" si="323"/>
        <v>-644</v>
      </c>
      <c r="M677" s="698">
        <f t="shared" si="323"/>
        <v>3604</v>
      </c>
      <c r="N677" s="698">
        <f t="shared" si="323"/>
        <v>0</v>
      </c>
      <c r="O677" s="698">
        <f t="shared" si="323"/>
        <v>3604</v>
      </c>
    </row>
    <row r="678" spans="2:15" hidden="1" x14ac:dyDescent="0.25"/>
    <row r="679" spans="2:15" hidden="1" x14ac:dyDescent="0.25">
      <c r="C679" s="698">
        <f t="shared" ref="C679:O681" si="324">+C669-C675</f>
        <v>6202754</v>
      </c>
      <c r="D679" s="698">
        <f t="shared" si="324"/>
        <v>1132215</v>
      </c>
      <c r="E679" s="698">
        <f t="shared" si="324"/>
        <v>3847597</v>
      </c>
      <c r="F679" s="698">
        <f t="shared" si="324"/>
        <v>0</v>
      </c>
      <c r="G679" s="698">
        <f t="shared" si="324"/>
        <v>0</v>
      </c>
      <c r="H679" s="698">
        <f t="shared" si="324"/>
        <v>11182566</v>
      </c>
      <c r="I679" s="698">
        <f t="shared" si="324"/>
        <v>141236</v>
      </c>
      <c r="J679" s="698">
        <f t="shared" si="324"/>
        <v>12063</v>
      </c>
      <c r="K679" s="698">
        <f t="shared" si="324"/>
        <v>0</v>
      </c>
      <c r="L679" s="698">
        <f t="shared" si="324"/>
        <v>153299</v>
      </c>
      <c r="M679" s="698">
        <f t="shared" si="324"/>
        <v>11335865</v>
      </c>
      <c r="N679" s="698">
        <f t="shared" si="324"/>
        <v>0</v>
      </c>
      <c r="O679" s="698">
        <f t="shared" si="324"/>
        <v>11335865</v>
      </c>
    </row>
    <row r="680" spans="2:15" hidden="1" x14ac:dyDescent="0.25">
      <c r="C680" s="698">
        <f t="shared" si="324"/>
        <v>1477144</v>
      </c>
      <c r="D680" s="698">
        <f t="shared" si="324"/>
        <v>255351</v>
      </c>
      <c r="E680" s="698">
        <f t="shared" si="324"/>
        <v>1054685</v>
      </c>
      <c r="F680" s="698">
        <f t="shared" si="324"/>
        <v>0</v>
      </c>
      <c r="G680" s="698">
        <f t="shared" si="324"/>
        <v>0</v>
      </c>
      <c r="H680" s="698">
        <f t="shared" si="324"/>
        <v>2787180</v>
      </c>
      <c r="I680" s="698">
        <f t="shared" si="324"/>
        <v>36848</v>
      </c>
      <c r="J680" s="698">
        <f t="shared" si="324"/>
        <v>677</v>
      </c>
      <c r="K680" s="698">
        <f t="shared" si="324"/>
        <v>2770</v>
      </c>
      <c r="L680" s="698">
        <f t="shared" si="324"/>
        <v>40295</v>
      </c>
      <c r="M680" s="698">
        <f t="shared" si="324"/>
        <v>2827475</v>
      </c>
      <c r="N680" s="698">
        <f t="shared" si="324"/>
        <v>0</v>
      </c>
      <c r="O680" s="698">
        <f t="shared" si="324"/>
        <v>2827475</v>
      </c>
    </row>
    <row r="681" spans="2:15" hidden="1" x14ac:dyDescent="0.25">
      <c r="C681" s="698">
        <f t="shared" si="324"/>
        <v>682486</v>
      </c>
      <c r="D681" s="698">
        <f t="shared" si="324"/>
        <v>131796</v>
      </c>
      <c r="E681" s="698">
        <f t="shared" si="324"/>
        <v>109011</v>
      </c>
      <c r="F681" s="698">
        <f t="shared" si="324"/>
        <v>0</v>
      </c>
      <c r="G681" s="698">
        <f t="shared" si="324"/>
        <v>0</v>
      </c>
      <c r="H681" s="698">
        <f t="shared" si="324"/>
        <v>923293</v>
      </c>
      <c r="I681" s="698">
        <f t="shared" si="324"/>
        <v>58413</v>
      </c>
      <c r="J681" s="698">
        <f t="shared" si="324"/>
        <v>2699</v>
      </c>
      <c r="K681" s="698">
        <f t="shared" si="324"/>
        <v>0</v>
      </c>
      <c r="L681" s="698">
        <f t="shared" si="324"/>
        <v>61112</v>
      </c>
      <c r="M681" s="698">
        <f t="shared" si="324"/>
        <v>984405</v>
      </c>
      <c r="N681" s="698">
        <f t="shared" si="324"/>
        <v>0</v>
      </c>
      <c r="O681" s="698">
        <f t="shared" si="324"/>
        <v>984405</v>
      </c>
    </row>
    <row r="682" spans="2:15" hidden="1" x14ac:dyDescent="0.25"/>
    <row r="683" spans="2:15" ht="10.5" customHeight="1" x14ac:dyDescent="0.25"/>
  </sheetData>
  <mergeCells count="1">
    <mergeCell ref="A1:O1"/>
  </mergeCells>
  <pageMargins left="0.70866141732283472" right="0.70866141732283472" top="0.74803149606299213" bottom="0.39370078740157483" header="0.31496062992125984" footer="0.31496062992125984"/>
  <pageSetup paperSize="9" scale="55" orientation="landscape" r:id="rId1"/>
  <headerFooter>
    <oddHeader>&amp;R &amp;"Times New Roman CE,Félkövér"8.melléklet a 40/2020.(XI.30.) önkormányzati rendelethez&amp;"Times New Roman CE,Normál"
 8 . melléklet
 az 5/2020.(II.17.) önkormányzati rendelethez</oddHead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97CC-631A-4549-AAB8-B61067BC5A83}">
  <sheetPr>
    <pageSetUpPr fitToPage="1"/>
  </sheetPr>
  <dimension ref="A1:M2100"/>
  <sheetViews>
    <sheetView zoomScale="90" zoomScaleNormal="90" workbookViewId="0">
      <pane xSplit="1" ySplit="3" topLeftCell="D37" activePane="bottomRight" state="frozen"/>
      <selection pane="topRight" activeCell="B1" sqref="B1"/>
      <selection pane="bottomLeft" activeCell="A4" sqref="A4"/>
      <selection pane="bottomRight" activeCell="F45" sqref="F45"/>
    </sheetView>
  </sheetViews>
  <sheetFormatPr defaultColWidth="9" defaultRowHeight="15" x14ac:dyDescent="0.25"/>
  <cols>
    <col min="1" max="1" width="31.125" style="863" customWidth="1"/>
    <col min="2" max="13" width="14.625" style="863" customWidth="1"/>
    <col min="14" max="16384" width="9" style="863"/>
  </cols>
  <sheetData>
    <row r="1" spans="1:13" ht="36" customHeight="1" thickBot="1" x14ac:dyDescent="0.3">
      <c r="A1" s="1014" t="s">
        <v>1507</v>
      </c>
      <c r="B1" s="1014"/>
      <c r="C1" s="1014"/>
      <c r="D1" s="1014"/>
      <c r="E1" s="1014"/>
      <c r="F1" s="1014"/>
      <c r="G1" s="1014"/>
      <c r="H1" s="1014"/>
      <c r="I1" s="1014"/>
      <c r="J1" s="1014"/>
      <c r="K1" s="1014"/>
      <c r="L1" s="1014"/>
      <c r="M1" s="1014"/>
    </row>
    <row r="2" spans="1:13" ht="30" customHeight="1" thickTop="1" thickBot="1" x14ac:dyDescent="0.3">
      <c r="A2" s="864" t="s">
        <v>424</v>
      </c>
      <c r="B2" s="1015" t="s">
        <v>965</v>
      </c>
      <c r="C2" s="1016"/>
      <c r="D2" s="1015" t="s">
        <v>965</v>
      </c>
      <c r="E2" s="1016"/>
      <c r="F2" s="1015" t="s">
        <v>965</v>
      </c>
      <c r="G2" s="1016"/>
      <c r="H2" s="1015" t="s">
        <v>965</v>
      </c>
      <c r="I2" s="1016"/>
      <c r="J2" s="1015" t="s">
        <v>965</v>
      </c>
      <c r="K2" s="1016"/>
      <c r="L2" s="1015" t="s">
        <v>965</v>
      </c>
      <c r="M2" s="1016"/>
    </row>
    <row r="3" spans="1:13" ht="16.5" thickBot="1" x14ac:dyDescent="0.3">
      <c r="A3" s="865"/>
      <c r="B3" s="866" t="s">
        <v>966</v>
      </c>
      <c r="C3" s="866" t="s">
        <v>967</v>
      </c>
      <c r="D3" s="867" t="s">
        <v>968</v>
      </c>
      <c r="E3" s="867" t="s">
        <v>968</v>
      </c>
      <c r="F3" s="868" t="s">
        <v>969</v>
      </c>
      <c r="G3" s="868" t="s">
        <v>969</v>
      </c>
      <c r="H3" s="868" t="s">
        <v>1488</v>
      </c>
      <c r="I3" s="869" t="s">
        <v>1488</v>
      </c>
      <c r="J3" s="868" t="s">
        <v>1487</v>
      </c>
      <c r="K3" s="869" t="s">
        <v>1487</v>
      </c>
      <c r="L3" s="868" t="s">
        <v>1486</v>
      </c>
      <c r="M3" s="868" t="s">
        <v>1486</v>
      </c>
    </row>
    <row r="4" spans="1:13" ht="30.75" customHeight="1" thickBot="1" x14ac:dyDescent="0.3">
      <c r="A4" s="870"/>
      <c r="B4" s="871"/>
      <c r="C4" s="871"/>
      <c r="D4" s="872"/>
      <c r="E4" s="872"/>
      <c r="F4" s="971" t="s">
        <v>1513</v>
      </c>
      <c r="G4" s="873"/>
      <c r="H4" s="874" t="s">
        <v>1514</v>
      </c>
      <c r="I4" s="873"/>
      <c r="J4" s="874" t="s">
        <v>1515</v>
      </c>
      <c r="K4" s="873"/>
      <c r="L4" s="874"/>
      <c r="M4" s="873"/>
    </row>
    <row r="5" spans="1:13" ht="15.75" x14ac:dyDescent="0.25">
      <c r="A5" s="875" t="s">
        <v>410</v>
      </c>
      <c r="B5" s="876">
        <v>124.8</v>
      </c>
      <c r="C5" s="876">
        <v>124.8</v>
      </c>
      <c r="D5" s="877"/>
      <c r="E5" s="876">
        <f t="shared" ref="E5:E45" si="0">D5+C5</f>
        <v>124.8</v>
      </c>
      <c r="F5" s="877"/>
      <c r="G5" s="876">
        <f>F5+E5</f>
        <v>124.8</v>
      </c>
      <c r="H5" s="877"/>
      <c r="I5" s="876">
        <f>H5+G5</f>
        <v>124.8</v>
      </c>
      <c r="J5" s="877"/>
      <c r="K5" s="876">
        <f>J5+I5</f>
        <v>124.8</v>
      </c>
      <c r="L5" s="877">
        <v>2</v>
      </c>
      <c r="M5" s="876">
        <f>L5+K5</f>
        <v>126.8</v>
      </c>
    </row>
    <row r="6" spans="1:13" ht="32.25" thickBot="1" x14ac:dyDescent="0.3">
      <c r="A6" s="878" t="s">
        <v>409</v>
      </c>
      <c r="B6" s="879">
        <v>25.5</v>
      </c>
      <c r="C6" s="879">
        <v>25.5</v>
      </c>
      <c r="D6" s="880"/>
      <c r="E6" s="879">
        <f t="shared" si="0"/>
        <v>25.5</v>
      </c>
      <c r="F6" s="880"/>
      <c r="G6" s="879">
        <f>F6+E6</f>
        <v>25.5</v>
      </c>
      <c r="H6" s="880"/>
      <c r="I6" s="879">
        <f>H6+G6</f>
        <v>25.5</v>
      </c>
      <c r="J6" s="880"/>
      <c r="K6" s="879">
        <f>J6+I6</f>
        <v>25.5</v>
      </c>
      <c r="L6" s="880"/>
      <c r="M6" s="879">
        <f>L6+K6</f>
        <v>25.5</v>
      </c>
    </row>
    <row r="7" spans="1:13" ht="17.25" thickTop="1" thickBot="1" x14ac:dyDescent="0.3">
      <c r="A7" s="881" t="s">
        <v>970</v>
      </c>
      <c r="B7" s="882">
        <f>SUM(B5:B6)</f>
        <v>150.30000000000001</v>
      </c>
      <c r="C7" s="882">
        <f>SUM(C5:C6)</f>
        <v>150.30000000000001</v>
      </c>
      <c r="D7" s="882">
        <f>SUM(D5:D6)</f>
        <v>0</v>
      </c>
      <c r="E7" s="882">
        <f t="shared" si="0"/>
        <v>150.30000000000001</v>
      </c>
      <c r="F7" s="882">
        <f t="shared" ref="F7:M7" si="1">SUM(F5:F6)</f>
        <v>0</v>
      </c>
      <c r="G7" s="882">
        <f t="shared" si="1"/>
        <v>150.30000000000001</v>
      </c>
      <c r="H7" s="882">
        <f t="shared" si="1"/>
        <v>0</v>
      </c>
      <c r="I7" s="882">
        <f t="shared" si="1"/>
        <v>150.30000000000001</v>
      </c>
      <c r="J7" s="882">
        <f t="shared" si="1"/>
        <v>0</v>
      </c>
      <c r="K7" s="882">
        <f t="shared" si="1"/>
        <v>150.30000000000001</v>
      </c>
      <c r="L7" s="882">
        <f t="shared" si="1"/>
        <v>2</v>
      </c>
      <c r="M7" s="882">
        <f t="shared" si="1"/>
        <v>152.30000000000001</v>
      </c>
    </row>
    <row r="8" spans="1:13" ht="16.5" thickTop="1" x14ac:dyDescent="0.25">
      <c r="A8" s="883" t="s">
        <v>407</v>
      </c>
      <c r="B8" s="879">
        <v>22.75</v>
      </c>
      <c r="C8" s="879">
        <v>22.75</v>
      </c>
      <c r="D8" s="880"/>
      <c r="E8" s="879">
        <f t="shared" si="0"/>
        <v>22.75</v>
      </c>
      <c r="F8" s="880"/>
      <c r="G8" s="879">
        <f t="shared" ref="G8:G13" si="2">F8+E8</f>
        <v>22.75</v>
      </c>
      <c r="H8" s="880"/>
      <c r="I8" s="879">
        <f t="shared" ref="I8:I13" si="3">H8+G8</f>
        <v>22.75</v>
      </c>
      <c r="J8" s="880"/>
      <c r="K8" s="879">
        <f t="shared" ref="K8:K13" si="4">J8+I8</f>
        <v>22.75</v>
      </c>
      <c r="L8" s="880"/>
      <c r="M8" s="879">
        <f t="shared" ref="M8:M13" si="5">L8+K8</f>
        <v>22.75</v>
      </c>
    </row>
    <row r="9" spans="1:13" ht="15.75" x14ac:dyDescent="0.25">
      <c r="A9" s="878" t="s">
        <v>795</v>
      </c>
      <c r="B9" s="879">
        <v>22.75</v>
      </c>
      <c r="C9" s="879">
        <v>22.75</v>
      </c>
      <c r="D9" s="880"/>
      <c r="E9" s="879">
        <f t="shared" si="0"/>
        <v>22.75</v>
      </c>
      <c r="F9" s="880"/>
      <c r="G9" s="879">
        <f t="shared" si="2"/>
        <v>22.75</v>
      </c>
      <c r="H9" s="880"/>
      <c r="I9" s="879">
        <f t="shared" si="3"/>
        <v>22.75</v>
      </c>
      <c r="J9" s="880"/>
      <c r="K9" s="879">
        <f t="shared" si="4"/>
        <v>22.75</v>
      </c>
      <c r="L9" s="880"/>
      <c r="M9" s="879">
        <f t="shared" si="5"/>
        <v>22.75</v>
      </c>
    </row>
    <row r="10" spans="1:13" ht="15.75" x14ac:dyDescent="0.25">
      <c r="A10" s="883" t="s">
        <v>406</v>
      </c>
      <c r="B10" s="879">
        <v>22.75</v>
      </c>
      <c r="C10" s="879">
        <v>22.75</v>
      </c>
      <c r="D10" s="880"/>
      <c r="E10" s="879">
        <f t="shared" si="0"/>
        <v>22.75</v>
      </c>
      <c r="F10" s="880"/>
      <c r="G10" s="879">
        <f t="shared" si="2"/>
        <v>22.75</v>
      </c>
      <c r="H10" s="880"/>
      <c r="I10" s="879">
        <f t="shared" si="3"/>
        <v>22.75</v>
      </c>
      <c r="J10" s="880"/>
      <c r="K10" s="879">
        <f t="shared" si="4"/>
        <v>22.75</v>
      </c>
      <c r="L10" s="880"/>
      <c r="M10" s="879">
        <f t="shared" si="5"/>
        <v>22.75</v>
      </c>
    </row>
    <row r="11" spans="1:13" ht="15.75" x14ac:dyDescent="0.25">
      <c r="A11" s="883" t="s">
        <v>971</v>
      </c>
      <c r="B11" s="879">
        <v>13</v>
      </c>
      <c r="C11" s="879">
        <v>13</v>
      </c>
      <c r="D11" s="880"/>
      <c r="E11" s="879">
        <f t="shared" si="0"/>
        <v>13</v>
      </c>
      <c r="F11" s="880"/>
      <c r="G11" s="879">
        <f t="shared" si="2"/>
        <v>13</v>
      </c>
      <c r="H11" s="880"/>
      <c r="I11" s="879">
        <f t="shared" si="3"/>
        <v>13</v>
      </c>
      <c r="J11" s="880"/>
      <c r="K11" s="879">
        <f t="shared" si="4"/>
        <v>13</v>
      </c>
      <c r="L11" s="880"/>
      <c r="M11" s="879">
        <f t="shared" si="5"/>
        <v>13</v>
      </c>
    </row>
    <row r="12" spans="1:13" ht="15.75" x14ac:dyDescent="0.25">
      <c r="A12" s="878" t="s">
        <v>790</v>
      </c>
      <c r="B12" s="879">
        <v>27.75</v>
      </c>
      <c r="C12" s="879">
        <v>27.75</v>
      </c>
      <c r="D12" s="880"/>
      <c r="E12" s="879">
        <f t="shared" si="0"/>
        <v>27.75</v>
      </c>
      <c r="F12" s="880"/>
      <c r="G12" s="879">
        <f t="shared" si="2"/>
        <v>27.75</v>
      </c>
      <c r="H12" s="880"/>
      <c r="I12" s="879">
        <f t="shared" si="3"/>
        <v>27.75</v>
      </c>
      <c r="J12" s="880"/>
      <c r="K12" s="879">
        <f t="shared" si="4"/>
        <v>27.75</v>
      </c>
      <c r="L12" s="880"/>
      <c r="M12" s="879">
        <f t="shared" si="5"/>
        <v>27.75</v>
      </c>
    </row>
    <row r="13" spans="1:13" ht="16.5" thickBot="1" x14ac:dyDescent="0.3">
      <c r="A13" s="878" t="s">
        <v>791</v>
      </c>
      <c r="B13" s="879">
        <v>22.75</v>
      </c>
      <c r="C13" s="879">
        <v>22.75</v>
      </c>
      <c r="D13" s="880"/>
      <c r="E13" s="879">
        <f t="shared" si="0"/>
        <v>22.75</v>
      </c>
      <c r="F13" s="880"/>
      <c r="G13" s="879">
        <f t="shared" si="2"/>
        <v>22.75</v>
      </c>
      <c r="H13" s="880"/>
      <c r="I13" s="879">
        <f t="shared" si="3"/>
        <v>22.75</v>
      </c>
      <c r="J13" s="880"/>
      <c r="K13" s="879">
        <f t="shared" si="4"/>
        <v>22.75</v>
      </c>
      <c r="L13" s="880"/>
      <c r="M13" s="879">
        <f t="shared" si="5"/>
        <v>22.75</v>
      </c>
    </row>
    <row r="14" spans="1:13" ht="17.25" thickTop="1" thickBot="1" x14ac:dyDescent="0.3">
      <c r="A14" s="881" t="s">
        <v>404</v>
      </c>
      <c r="B14" s="882">
        <f>SUM(B8:B13)</f>
        <v>131.75</v>
      </c>
      <c r="C14" s="882">
        <f>SUM(C8:C13)</f>
        <v>131.75</v>
      </c>
      <c r="D14" s="882">
        <f>SUM(D8:D13)</f>
        <v>0</v>
      </c>
      <c r="E14" s="882">
        <f t="shared" si="0"/>
        <v>131.75</v>
      </c>
      <c r="F14" s="882">
        <f t="shared" ref="F14:M14" si="6">SUM(F8:F13)</f>
        <v>0</v>
      </c>
      <c r="G14" s="882">
        <f t="shared" si="6"/>
        <v>131.75</v>
      </c>
      <c r="H14" s="882">
        <f t="shared" si="6"/>
        <v>0</v>
      </c>
      <c r="I14" s="882">
        <f t="shared" si="6"/>
        <v>131.75</v>
      </c>
      <c r="J14" s="882">
        <f t="shared" si="6"/>
        <v>0</v>
      </c>
      <c r="K14" s="882">
        <f t="shared" si="6"/>
        <v>131.75</v>
      </c>
      <c r="L14" s="882">
        <f t="shared" si="6"/>
        <v>0</v>
      </c>
      <c r="M14" s="882">
        <f t="shared" si="6"/>
        <v>131.75</v>
      </c>
    </row>
    <row r="15" spans="1:13" ht="16.5" thickTop="1" x14ac:dyDescent="0.25">
      <c r="A15" s="883" t="s">
        <v>403</v>
      </c>
      <c r="B15" s="879">
        <v>47.75</v>
      </c>
      <c r="C15" s="879">
        <v>47.75</v>
      </c>
      <c r="D15" s="880"/>
      <c r="E15" s="879">
        <f t="shared" si="0"/>
        <v>47.75</v>
      </c>
      <c r="F15" s="880"/>
      <c r="G15" s="879">
        <f t="shared" ref="G15:G26" si="7">F15+E15</f>
        <v>47.75</v>
      </c>
      <c r="H15" s="880"/>
      <c r="I15" s="879">
        <f t="shared" ref="I15:I26" si="8">H15+G15</f>
        <v>47.75</v>
      </c>
      <c r="J15" s="880"/>
      <c r="K15" s="879">
        <f t="shared" ref="K15:K26" si="9">J15+I15</f>
        <v>47.75</v>
      </c>
      <c r="L15" s="880"/>
      <c r="M15" s="879">
        <f t="shared" ref="M15:M26" si="10">L15+K15</f>
        <v>47.75</v>
      </c>
    </row>
    <row r="16" spans="1:13" ht="15.75" x14ac:dyDescent="0.25">
      <c r="A16" s="883" t="s">
        <v>972</v>
      </c>
      <c r="B16" s="879">
        <v>51</v>
      </c>
      <c r="C16" s="879">
        <v>51</v>
      </c>
      <c r="D16" s="880"/>
      <c r="E16" s="879">
        <f t="shared" si="0"/>
        <v>51</v>
      </c>
      <c r="F16" s="880">
        <v>-13.25</v>
      </c>
      <c r="G16" s="879">
        <f t="shared" si="7"/>
        <v>37.75</v>
      </c>
      <c r="H16" s="880"/>
      <c r="I16" s="879">
        <f t="shared" si="8"/>
        <v>37.75</v>
      </c>
      <c r="J16" s="880"/>
      <c r="K16" s="879">
        <f t="shared" si="9"/>
        <v>37.75</v>
      </c>
      <c r="L16" s="880"/>
      <c r="M16" s="879">
        <f t="shared" si="10"/>
        <v>37.75</v>
      </c>
    </row>
    <row r="17" spans="1:13" ht="15.75" x14ac:dyDescent="0.25">
      <c r="A17" s="878" t="s">
        <v>973</v>
      </c>
      <c r="B17" s="879">
        <v>55</v>
      </c>
      <c r="C17" s="879">
        <v>55</v>
      </c>
      <c r="D17" s="880"/>
      <c r="E17" s="879">
        <f t="shared" si="0"/>
        <v>55</v>
      </c>
      <c r="F17" s="880"/>
      <c r="G17" s="879">
        <f t="shared" si="7"/>
        <v>55</v>
      </c>
      <c r="H17" s="880"/>
      <c r="I17" s="879">
        <f t="shared" si="8"/>
        <v>55</v>
      </c>
      <c r="J17" s="880"/>
      <c r="K17" s="879">
        <f t="shared" si="9"/>
        <v>55</v>
      </c>
      <c r="L17" s="880"/>
      <c r="M17" s="879">
        <f t="shared" si="10"/>
        <v>55</v>
      </c>
    </row>
    <row r="18" spans="1:13" ht="15.75" x14ac:dyDescent="0.25">
      <c r="A18" s="883" t="s">
        <v>402</v>
      </c>
      <c r="B18" s="879">
        <v>34</v>
      </c>
      <c r="C18" s="879">
        <v>34</v>
      </c>
      <c r="D18" s="880"/>
      <c r="E18" s="879">
        <f t="shared" si="0"/>
        <v>34</v>
      </c>
      <c r="F18" s="880">
        <v>-4</v>
      </c>
      <c r="G18" s="879">
        <f t="shared" si="7"/>
        <v>30</v>
      </c>
      <c r="H18" s="880"/>
      <c r="I18" s="879">
        <f t="shared" si="8"/>
        <v>30</v>
      </c>
      <c r="J18" s="880"/>
      <c r="K18" s="879">
        <f t="shared" si="9"/>
        <v>30</v>
      </c>
      <c r="L18" s="880"/>
      <c r="M18" s="879">
        <f t="shared" si="10"/>
        <v>30</v>
      </c>
    </row>
    <row r="19" spans="1:13" ht="15.75" x14ac:dyDescent="0.25">
      <c r="A19" s="883" t="s">
        <v>401</v>
      </c>
      <c r="B19" s="879">
        <v>44.5</v>
      </c>
      <c r="C19" s="879">
        <v>44.5</v>
      </c>
      <c r="D19" s="880"/>
      <c r="E19" s="879">
        <f t="shared" si="0"/>
        <v>44.5</v>
      </c>
      <c r="F19" s="880"/>
      <c r="G19" s="879">
        <f t="shared" si="7"/>
        <v>44.5</v>
      </c>
      <c r="H19" s="880"/>
      <c r="I19" s="879">
        <f t="shared" si="8"/>
        <v>44.5</v>
      </c>
      <c r="J19" s="880"/>
      <c r="K19" s="879">
        <f t="shared" si="9"/>
        <v>44.5</v>
      </c>
      <c r="L19" s="880"/>
      <c r="M19" s="879">
        <f t="shared" si="10"/>
        <v>44.5</v>
      </c>
    </row>
    <row r="20" spans="1:13" ht="15.75" x14ac:dyDescent="0.25">
      <c r="A20" s="883" t="s">
        <v>400</v>
      </c>
      <c r="B20" s="879">
        <v>37</v>
      </c>
      <c r="C20" s="879">
        <v>37</v>
      </c>
      <c r="D20" s="880"/>
      <c r="E20" s="879">
        <f t="shared" si="0"/>
        <v>37</v>
      </c>
      <c r="F20" s="880"/>
      <c r="G20" s="879">
        <f t="shared" si="7"/>
        <v>37</v>
      </c>
      <c r="H20" s="880"/>
      <c r="I20" s="879">
        <f t="shared" si="8"/>
        <v>37</v>
      </c>
      <c r="J20" s="880"/>
      <c r="K20" s="879">
        <f t="shared" si="9"/>
        <v>37</v>
      </c>
      <c r="L20" s="880"/>
      <c r="M20" s="879">
        <f t="shared" si="10"/>
        <v>37</v>
      </c>
    </row>
    <row r="21" spans="1:13" ht="15.75" x14ac:dyDescent="0.25">
      <c r="A21" s="883" t="s">
        <v>399</v>
      </c>
      <c r="B21" s="879">
        <v>44</v>
      </c>
      <c r="C21" s="879">
        <v>44</v>
      </c>
      <c r="D21" s="880"/>
      <c r="E21" s="879">
        <f t="shared" si="0"/>
        <v>44</v>
      </c>
      <c r="F21" s="880"/>
      <c r="G21" s="879">
        <f t="shared" si="7"/>
        <v>44</v>
      </c>
      <c r="H21" s="880"/>
      <c r="I21" s="879">
        <f t="shared" si="8"/>
        <v>44</v>
      </c>
      <c r="J21" s="880"/>
      <c r="K21" s="879">
        <f t="shared" si="9"/>
        <v>44</v>
      </c>
      <c r="L21" s="880"/>
      <c r="M21" s="879">
        <f t="shared" si="10"/>
        <v>44</v>
      </c>
    </row>
    <row r="22" spans="1:13" ht="15.75" x14ac:dyDescent="0.25">
      <c r="A22" s="883" t="s">
        <v>444</v>
      </c>
      <c r="B22" s="879">
        <v>46</v>
      </c>
      <c r="C22" s="879">
        <v>46</v>
      </c>
      <c r="D22" s="880"/>
      <c r="E22" s="879">
        <f t="shared" si="0"/>
        <v>46</v>
      </c>
      <c r="F22" s="880">
        <v>5</v>
      </c>
      <c r="G22" s="879">
        <f t="shared" si="7"/>
        <v>51</v>
      </c>
      <c r="H22" s="880"/>
      <c r="I22" s="879">
        <f t="shared" si="8"/>
        <v>51</v>
      </c>
      <c r="J22" s="880"/>
      <c r="K22" s="879">
        <f t="shared" si="9"/>
        <v>51</v>
      </c>
      <c r="L22" s="880"/>
      <c r="M22" s="879">
        <f t="shared" si="10"/>
        <v>51</v>
      </c>
    </row>
    <row r="23" spans="1:13" ht="15.75" x14ac:dyDescent="0.25">
      <c r="A23" s="883" t="s">
        <v>398</v>
      </c>
      <c r="B23" s="879">
        <v>15</v>
      </c>
      <c r="C23" s="879">
        <v>15</v>
      </c>
      <c r="D23" s="880"/>
      <c r="E23" s="879">
        <f t="shared" si="0"/>
        <v>15</v>
      </c>
      <c r="F23" s="880">
        <v>-15</v>
      </c>
      <c r="G23" s="879">
        <f t="shared" si="7"/>
        <v>0</v>
      </c>
      <c r="H23" s="880"/>
      <c r="I23" s="879">
        <f t="shared" si="8"/>
        <v>0</v>
      </c>
      <c r="J23" s="880"/>
      <c r="K23" s="879">
        <f t="shared" si="9"/>
        <v>0</v>
      </c>
      <c r="L23" s="880"/>
      <c r="M23" s="879">
        <f t="shared" si="10"/>
        <v>0</v>
      </c>
    </row>
    <row r="24" spans="1:13" ht="15.75" x14ac:dyDescent="0.25">
      <c r="A24" s="883" t="s">
        <v>445</v>
      </c>
      <c r="B24" s="879">
        <v>54.5</v>
      </c>
      <c r="C24" s="879">
        <v>54.5</v>
      </c>
      <c r="D24" s="880"/>
      <c r="E24" s="879">
        <f t="shared" si="0"/>
        <v>54.5</v>
      </c>
      <c r="F24" s="880">
        <v>-10</v>
      </c>
      <c r="G24" s="879">
        <f t="shared" si="7"/>
        <v>44.5</v>
      </c>
      <c r="H24" s="880"/>
      <c r="I24" s="879">
        <f t="shared" si="8"/>
        <v>44.5</v>
      </c>
      <c r="J24" s="880"/>
      <c r="K24" s="879">
        <f t="shared" si="9"/>
        <v>44.5</v>
      </c>
      <c r="L24" s="880"/>
      <c r="M24" s="879">
        <f t="shared" si="10"/>
        <v>44.5</v>
      </c>
    </row>
    <row r="25" spans="1:13" ht="15.75" x14ac:dyDescent="0.25">
      <c r="A25" s="883" t="s">
        <v>397</v>
      </c>
      <c r="B25" s="879">
        <v>36.5</v>
      </c>
      <c r="C25" s="879">
        <v>36.5</v>
      </c>
      <c r="D25" s="880"/>
      <c r="E25" s="879">
        <f t="shared" si="0"/>
        <v>36.5</v>
      </c>
      <c r="F25" s="880"/>
      <c r="G25" s="879">
        <f t="shared" si="7"/>
        <v>36.5</v>
      </c>
      <c r="H25" s="880"/>
      <c r="I25" s="879">
        <f t="shared" si="8"/>
        <v>36.5</v>
      </c>
      <c r="J25" s="880"/>
      <c r="K25" s="879">
        <f t="shared" si="9"/>
        <v>36.5</v>
      </c>
      <c r="L25" s="880"/>
      <c r="M25" s="879">
        <f t="shared" si="10"/>
        <v>36.5</v>
      </c>
    </row>
    <row r="26" spans="1:13" ht="16.5" thickBot="1" x14ac:dyDescent="0.3">
      <c r="A26" s="883" t="s">
        <v>396</v>
      </c>
      <c r="B26" s="884">
        <v>44.5</v>
      </c>
      <c r="C26" s="884">
        <v>44.5</v>
      </c>
      <c r="D26" s="880"/>
      <c r="E26" s="884">
        <f t="shared" si="0"/>
        <v>44.5</v>
      </c>
      <c r="F26" s="880"/>
      <c r="G26" s="884">
        <f t="shared" si="7"/>
        <v>44.5</v>
      </c>
      <c r="H26" s="880"/>
      <c r="I26" s="884">
        <f t="shared" si="8"/>
        <v>44.5</v>
      </c>
      <c r="J26" s="880"/>
      <c r="K26" s="884">
        <f t="shared" si="9"/>
        <v>44.5</v>
      </c>
      <c r="L26" s="880"/>
      <c r="M26" s="884">
        <f t="shared" si="10"/>
        <v>44.5</v>
      </c>
    </row>
    <row r="27" spans="1:13" ht="17.25" thickTop="1" thickBot="1" x14ac:dyDescent="0.3">
      <c r="A27" s="881" t="s">
        <v>395</v>
      </c>
      <c r="B27" s="882">
        <f>SUM(B15:B26)</f>
        <v>509.75</v>
      </c>
      <c r="C27" s="882">
        <f>SUM(C15:C26)</f>
        <v>509.75</v>
      </c>
      <c r="D27" s="882">
        <f>SUM(D15:D26)</f>
        <v>0</v>
      </c>
      <c r="E27" s="882">
        <f t="shared" si="0"/>
        <v>509.75</v>
      </c>
      <c r="F27" s="882">
        <f t="shared" ref="F27:M27" si="11">SUM(F15:F26)</f>
        <v>-37.25</v>
      </c>
      <c r="G27" s="882">
        <f t="shared" si="11"/>
        <v>472.5</v>
      </c>
      <c r="H27" s="882">
        <f t="shared" si="11"/>
        <v>0</v>
      </c>
      <c r="I27" s="882">
        <f t="shared" si="11"/>
        <v>472.5</v>
      </c>
      <c r="J27" s="882">
        <f t="shared" si="11"/>
        <v>0</v>
      </c>
      <c r="K27" s="882">
        <f t="shared" si="11"/>
        <v>472.5</v>
      </c>
      <c r="L27" s="882">
        <f t="shared" si="11"/>
        <v>0</v>
      </c>
      <c r="M27" s="882">
        <f t="shared" si="11"/>
        <v>472.5</v>
      </c>
    </row>
    <row r="28" spans="1:13" ht="17.25" thickTop="1" thickBot="1" x14ac:dyDescent="0.3">
      <c r="A28" s="881" t="s">
        <v>974</v>
      </c>
      <c r="B28" s="882">
        <f>B27+B14+B7</f>
        <v>791.8</v>
      </c>
      <c r="C28" s="882">
        <f>C27+C14+C7</f>
        <v>791.8</v>
      </c>
      <c r="D28" s="882">
        <f>D27+D14+D7</f>
        <v>0</v>
      </c>
      <c r="E28" s="882">
        <f t="shared" si="0"/>
        <v>791.8</v>
      </c>
      <c r="F28" s="882">
        <f t="shared" ref="F28:M28" si="12">F27+F14+F7</f>
        <v>-37.25</v>
      </c>
      <c r="G28" s="882">
        <f t="shared" si="12"/>
        <v>754.55</v>
      </c>
      <c r="H28" s="882">
        <f t="shared" si="12"/>
        <v>0</v>
      </c>
      <c r="I28" s="882">
        <f t="shared" si="12"/>
        <v>754.55</v>
      </c>
      <c r="J28" s="882">
        <f t="shared" si="12"/>
        <v>0</v>
      </c>
      <c r="K28" s="882">
        <f t="shared" si="12"/>
        <v>754.55</v>
      </c>
      <c r="L28" s="882">
        <f t="shared" si="12"/>
        <v>2</v>
      </c>
      <c r="M28" s="882">
        <f t="shared" si="12"/>
        <v>756.55</v>
      </c>
    </row>
    <row r="29" spans="1:13" ht="16.5" thickTop="1" x14ac:dyDescent="0.25">
      <c r="A29" s="883" t="s">
        <v>748</v>
      </c>
      <c r="B29" s="885">
        <v>215.5</v>
      </c>
      <c r="C29" s="885">
        <v>215.5</v>
      </c>
      <c r="D29" s="880">
        <v>2.5</v>
      </c>
      <c r="E29" s="885">
        <f t="shared" si="0"/>
        <v>218</v>
      </c>
      <c r="F29" s="880"/>
      <c r="G29" s="885">
        <f>F29+E29</f>
        <v>218</v>
      </c>
      <c r="H29" s="880"/>
      <c r="I29" s="885">
        <f>H29+G29</f>
        <v>218</v>
      </c>
      <c r="J29" s="880"/>
      <c r="K29" s="885">
        <f>J29+I29</f>
        <v>218</v>
      </c>
      <c r="L29" s="880"/>
      <c r="M29" s="885">
        <f>L29+K29</f>
        <v>218</v>
      </c>
    </row>
    <row r="30" spans="1:13" ht="31.5" x14ac:dyDescent="0.25">
      <c r="A30" s="878" t="s">
        <v>796</v>
      </c>
      <c r="B30" s="879">
        <v>74</v>
      </c>
      <c r="C30" s="879">
        <v>74</v>
      </c>
      <c r="D30" s="880"/>
      <c r="E30" s="879">
        <f t="shared" si="0"/>
        <v>74</v>
      </c>
      <c r="F30" s="880"/>
      <c r="G30" s="879">
        <v>80</v>
      </c>
      <c r="H30" s="880"/>
      <c r="I30" s="879">
        <v>80</v>
      </c>
      <c r="J30" s="880"/>
      <c r="K30" s="879">
        <v>80</v>
      </c>
      <c r="L30" s="880"/>
      <c r="M30" s="879">
        <v>80</v>
      </c>
    </row>
    <row r="31" spans="1:13" ht="16.5" thickBot="1" x14ac:dyDescent="0.3">
      <c r="A31" s="886" t="s">
        <v>376</v>
      </c>
      <c r="B31" s="884">
        <v>49</v>
      </c>
      <c r="C31" s="884">
        <v>49</v>
      </c>
      <c r="D31" s="880"/>
      <c r="E31" s="884">
        <f t="shared" si="0"/>
        <v>49</v>
      </c>
      <c r="F31" s="880"/>
      <c r="G31" s="884">
        <f>F31+E31</f>
        <v>49</v>
      </c>
      <c r="H31" s="880"/>
      <c r="I31" s="884">
        <f>H31+G31</f>
        <v>49</v>
      </c>
      <c r="J31" s="880"/>
      <c r="K31" s="884">
        <f>J31+I31</f>
        <v>49</v>
      </c>
      <c r="L31" s="880"/>
      <c r="M31" s="884">
        <f>L31+K31</f>
        <v>49</v>
      </c>
    </row>
    <row r="32" spans="1:13" ht="17.25" thickTop="1" thickBot="1" x14ac:dyDescent="0.3">
      <c r="A32" s="881" t="s">
        <v>393</v>
      </c>
      <c r="B32" s="882">
        <f>SUM(B29:B31)</f>
        <v>338.5</v>
      </c>
      <c r="C32" s="882">
        <f>SUM(C29:C31)</f>
        <v>338.5</v>
      </c>
      <c r="D32" s="882">
        <f>SUM(D29:D31)</f>
        <v>2.5</v>
      </c>
      <c r="E32" s="882">
        <f t="shared" si="0"/>
        <v>341</v>
      </c>
      <c r="F32" s="882">
        <f t="shared" ref="F32:M32" si="13">SUM(F29:F31)</f>
        <v>0</v>
      </c>
      <c r="G32" s="882">
        <f t="shared" si="13"/>
        <v>347</v>
      </c>
      <c r="H32" s="882">
        <f t="shared" si="13"/>
        <v>0</v>
      </c>
      <c r="I32" s="882">
        <f t="shared" si="13"/>
        <v>347</v>
      </c>
      <c r="J32" s="882">
        <f t="shared" si="13"/>
        <v>0</v>
      </c>
      <c r="K32" s="882">
        <f t="shared" si="13"/>
        <v>347</v>
      </c>
      <c r="L32" s="882">
        <f t="shared" si="13"/>
        <v>0</v>
      </c>
      <c r="M32" s="882">
        <f t="shared" si="13"/>
        <v>347</v>
      </c>
    </row>
    <row r="33" spans="1:13" ht="17.25" thickTop="1" thickBot="1" x14ac:dyDescent="0.3">
      <c r="A33" s="881" t="s">
        <v>975</v>
      </c>
      <c r="B33" s="882">
        <v>61.5</v>
      </c>
      <c r="C33" s="882">
        <v>61.5</v>
      </c>
      <c r="D33" s="882"/>
      <c r="E33" s="882">
        <f t="shared" si="0"/>
        <v>61.5</v>
      </c>
      <c r="F33" s="882"/>
      <c r="G33" s="882">
        <f t="shared" ref="G33:G41" si="14">F33+E33</f>
        <v>61.5</v>
      </c>
      <c r="H33" s="882"/>
      <c r="I33" s="882">
        <f t="shared" ref="I33:I41" si="15">H33+G33</f>
        <v>61.5</v>
      </c>
      <c r="J33" s="882"/>
      <c r="K33" s="882">
        <f t="shared" ref="K33:K41" si="16">J33+I33</f>
        <v>61.5</v>
      </c>
      <c r="L33" s="882"/>
      <c r="M33" s="882">
        <f t="shared" ref="M33:M41" si="17">L33+K33</f>
        <v>61.5</v>
      </c>
    </row>
    <row r="34" spans="1:13" ht="16.5" thickTop="1" x14ac:dyDescent="0.25">
      <c r="A34" s="883" t="s">
        <v>391</v>
      </c>
      <c r="B34" s="885">
        <v>11</v>
      </c>
      <c r="C34" s="885">
        <v>11</v>
      </c>
      <c r="D34" s="880"/>
      <c r="E34" s="885">
        <f t="shared" si="0"/>
        <v>11</v>
      </c>
      <c r="F34" s="880"/>
      <c r="G34" s="885">
        <f t="shared" si="14"/>
        <v>11</v>
      </c>
      <c r="H34" s="880"/>
      <c r="I34" s="885">
        <f t="shared" si="15"/>
        <v>11</v>
      </c>
      <c r="J34" s="880"/>
      <c r="K34" s="885">
        <f t="shared" si="16"/>
        <v>11</v>
      </c>
      <c r="L34" s="880"/>
      <c r="M34" s="885">
        <f t="shared" si="17"/>
        <v>11</v>
      </c>
    </row>
    <row r="35" spans="1:13" ht="15.75" x14ac:dyDescent="0.25">
      <c r="A35" s="883" t="s">
        <v>390</v>
      </c>
      <c r="B35" s="879">
        <v>82</v>
      </c>
      <c r="C35" s="879">
        <v>82</v>
      </c>
      <c r="D35" s="880"/>
      <c r="E35" s="879">
        <f t="shared" si="0"/>
        <v>82</v>
      </c>
      <c r="F35" s="880"/>
      <c r="G35" s="879">
        <f t="shared" si="14"/>
        <v>82</v>
      </c>
      <c r="H35" s="880"/>
      <c r="I35" s="879">
        <f t="shared" si="15"/>
        <v>82</v>
      </c>
      <c r="J35" s="880"/>
      <c r="K35" s="879">
        <f t="shared" si="16"/>
        <v>82</v>
      </c>
      <c r="L35" s="880"/>
      <c r="M35" s="879">
        <f t="shared" si="17"/>
        <v>82</v>
      </c>
    </row>
    <row r="36" spans="1:13" ht="15.75" x14ac:dyDescent="0.25">
      <c r="A36" s="883" t="s">
        <v>389</v>
      </c>
      <c r="B36" s="879">
        <f>118.13+20</f>
        <v>138.13</v>
      </c>
      <c r="C36" s="879">
        <f>119.13+20</f>
        <v>139.13</v>
      </c>
      <c r="D36" s="880"/>
      <c r="E36" s="879">
        <f t="shared" si="0"/>
        <v>139.13</v>
      </c>
      <c r="F36" s="880"/>
      <c r="G36" s="879">
        <f t="shared" si="14"/>
        <v>139.13</v>
      </c>
      <c r="H36" s="880"/>
      <c r="I36" s="879">
        <f t="shared" si="15"/>
        <v>139.13</v>
      </c>
      <c r="J36" s="880"/>
      <c r="K36" s="879">
        <f t="shared" si="16"/>
        <v>139.13</v>
      </c>
      <c r="L36" s="880"/>
      <c r="M36" s="879">
        <f t="shared" si="17"/>
        <v>139.13</v>
      </c>
    </row>
    <row r="37" spans="1:13" ht="31.5" x14ac:dyDescent="0.25">
      <c r="A37" s="878" t="s">
        <v>569</v>
      </c>
      <c r="B37" s="879">
        <v>5</v>
      </c>
      <c r="C37" s="879">
        <v>5</v>
      </c>
      <c r="D37" s="880"/>
      <c r="E37" s="879">
        <f t="shared" si="0"/>
        <v>5</v>
      </c>
      <c r="F37" s="880"/>
      <c r="G37" s="879">
        <f t="shared" si="14"/>
        <v>5</v>
      </c>
      <c r="H37" s="880"/>
      <c r="I37" s="879">
        <f t="shared" si="15"/>
        <v>5</v>
      </c>
      <c r="J37" s="880"/>
      <c r="K37" s="879">
        <f t="shared" si="16"/>
        <v>5</v>
      </c>
      <c r="L37" s="880"/>
      <c r="M37" s="879">
        <f t="shared" si="17"/>
        <v>5</v>
      </c>
    </row>
    <row r="38" spans="1:13" ht="15.75" x14ac:dyDescent="0.25">
      <c r="A38" s="883" t="s">
        <v>388</v>
      </c>
      <c r="B38" s="879">
        <v>43.5</v>
      </c>
      <c r="C38" s="879">
        <v>43.5</v>
      </c>
      <c r="D38" s="880"/>
      <c r="E38" s="879">
        <f t="shared" si="0"/>
        <v>43.5</v>
      </c>
      <c r="F38" s="880"/>
      <c r="G38" s="879">
        <f t="shared" si="14"/>
        <v>43.5</v>
      </c>
      <c r="H38" s="880"/>
      <c r="I38" s="879">
        <f t="shared" si="15"/>
        <v>43.5</v>
      </c>
      <c r="J38" s="880"/>
      <c r="K38" s="879">
        <f t="shared" si="16"/>
        <v>43.5</v>
      </c>
      <c r="L38" s="880"/>
      <c r="M38" s="879">
        <f t="shared" si="17"/>
        <v>43.5</v>
      </c>
    </row>
    <row r="39" spans="1:13" ht="15.75" x14ac:dyDescent="0.25">
      <c r="A39" s="883" t="s">
        <v>387</v>
      </c>
      <c r="B39" s="879">
        <v>107.25</v>
      </c>
      <c r="C39" s="879">
        <v>107.25</v>
      </c>
      <c r="D39" s="880"/>
      <c r="E39" s="879">
        <f t="shared" si="0"/>
        <v>107.25</v>
      </c>
      <c r="F39" s="880"/>
      <c r="G39" s="879">
        <f t="shared" si="14"/>
        <v>107.25</v>
      </c>
      <c r="H39" s="880"/>
      <c r="I39" s="879">
        <f t="shared" si="15"/>
        <v>107.25</v>
      </c>
      <c r="J39" s="880"/>
      <c r="K39" s="879">
        <f t="shared" si="16"/>
        <v>107.25</v>
      </c>
      <c r="L39" s="880"/>
      <c r="M39" s="879">
        <f t="shared" si="17"/>
        <v>107.25</v>
      </c>
    </row>
    <row r="40" spans="1:13" ht="15.75" x14ac:dyDescent="0.25">
      <c r="A40" s="883" t="s">
        <v>564</v>
      </c>
      <c r="B40" s="879">
        <v>22</v>
      </c>
      <c r="C40" s="879">
        <v>22</v>
      </c>
      <c r="D40" s="880"/>
      <c r="E40" s="879">
        <f t="shared" si="0"/>
        <v>22</v>
      </c>
      <c r="F40" s="880"/>
      <c r="G40" s="879">
        <f t="shared" si="14"/>
        <v>22</v>
      </c>
      <c r="H40" s="880"/>
      <c r="I40" s="879">
        <f t="shared" si="15"/>
        <v>22</v>
      </c>
      <c r="J40" s="880"/>
      <c r="K40" s="879">
        <f t="shared" si="16"/>
        <v>22</v>
      </c>
      <c r="L40" s="880">
        <v>1</v>
      </c>
      <c r="M40" s="879">
        <f t="shared" si="17"/>
        <v>23</v>
      </c>
    </row>
    <row r="41" spans="1:13" ht="35.25" customHeight="1" thickBot="1" x14ac:dyDescent="0.3">
      <c r="A41" s="878" t="s">
        <v>793</v>
      </c>
      <c r="B41" s="884">
        <v>34.25</v>
      </c>
      <c r="C41" s="884">
        <v>34.25</v>
      </c>
      <c r="D41" s="880"/>
      <c r="E41" s="884">
        <f t="shared" si="0"/>
        <v>34.25</v>
      </c>
      <c r="F41" s="880"/>
      <c r="G41" s="884">
        <f t="shared" si="14"/>
        <v>34.25</v>
      </c>
      <c r="H41" s="880">
        <v>1</v>
      </c>
      <c r="I41" s="884">
        <f t="shared" si="15"/>
        <v>35.25</v>
      </c>
      <c r="J41" s="880">
        <v>-2.5</v>
      </c>
      <c r="K41" s="884">
        <f t="shared" si="16"/>
        <v>32.75</v>
      </c>
      <c r="L41" s="880"/>
      <c r="M41" s="884">
        <f t="shared" si="17"/>
        <v>32.75</v>
      </c>
    </row>
    <row r="42" spans="1:13" ht="17.25" thickTop="1" thickBot="1" x14ac:dyDescent="0.3">
      <c r="A42" s="881" t="s">
        <v>976</v>
      </c>
      <c r="B42" s="882">
        <f>SUM(B34:B41)</f>
        <v>443.13</v>
      </c>
      <c r="C42" s="882">
        <f>SUM(C34:C41)</f>
        <v>444.13</v>
      </c>
      <c r="D42" s="882">
        <f>SUM(D34:D41)</f>
        <v>0</v>
      </c>
      <c r="E42" s="882">
        <f t="shared" si="0"/>
        <v>444.13</v>
      </c>
      <c r="F42" s="882">
        <f t="shared" ref="F42:M42" si="18">SUM(F34:F41)</f>
        <v>0</v>
      </c>
      <c r="G42" s="882">
        <f t="shared" si="18"/>
        <v>444.13</v>
      </c>
      <c r="H42" s="882">
        <f t="shared" si="18"/>
        <v>1</v>
      </c>
      <c r="I42" s="882">
        <f t="shared" si="18"/>
        <v>445.13</v>
      </c>
      <c r="J42" s="882">
        <f t="shared" si="18"/>
        <v>-2.5</v>
      </c>
      <c r="K42" s="882">
        <f t="shared" si="18"/>
        <v>442.63</v>
      </c>
      <c r="L42" s="882">
        <f t="shared" si="18"/>
        <v>1</v>
      </c>
      <c r="M42" s="882">
        <f t="shared" si="18"/>
        <v>443.63</v>
      </c>
    </row>
    <row r="43" spans="1:13" ht="17.25" thickTop="1" thickBot="1" x14ac:dyDescent="0.3">
      <c r="A43" s="887" t="s">
        <v>383</v>
      </c>
      <c r="B43" s="882">
        <f>B42+B33+B32+B28</f>
        <v>1634.9299999999998</v>
      </c>
      <c r="C43" s="882">
        <f>C42+C33+C32+C28</f>
        <v>1635.9299999999998</v>
      </c>
      <c r="D43" s="882">
        <f>D42+D33+D32+D28</f>
        <v>2.5</v>
      </c>
      <c r="E43" s="882">
        <f t="shared" si="0"/>
        <v>1638.4299999999998</v>
      </c>
      <c r="F43" s="882">
        <f t="shared" ref="F43:M43" si="19">F42+F33+F32+F28</f>
        <v>-37.25</v>
      </c>
      <c r="G43" s="882">
        <f t="shared" si="19"/>
        <v>1607.1799999999998</v>
      </c>
      <c r="H43" s="882">
        <f t="shared" si="19"/>
        <v>1</v>
      </c>
      <c r="I43" s="882">
        <f t="shared" si="19"/>
        <v>1608.1799999999998</v>
      </c>
      <c r="J43" s="882">
        <f t="shared" si="19"/>
        <v>-2.5</v>
      </c>
      <c r="K43" s="882">
        <f t="shared" si="19"/>
        <v>1605.6799999999998</v>
      </c>
      <c r="L43" s="882">
        <f t="shared" si="19"/>
        <v>3</v>
      </c>
      <c r="M43" s="882">
        <f t="shared" si="19"/>
        <v>1608.6799999999998</v>
      </c>
    </row>
    <row r="44" spans="1:13" ht="17.25" thickTop="1" thickBot="1" x14ac:dyDescent="0.3">
      <c r="A44" s="888" t="s">
        <v>382</v>
      </c>
      <c r="B44" s="889">
        <v>360</v>
      </c>
      <c r="C44" s="889">
        <v>360</v>
      </c>
      <c r="D44" s="889"/>
      <c r="E44" s="889">
        <f t="shared" si="0"/>
        <v>360</v>
      </c>
      <c r="F44" s="889">
        <v>-40</v>
      </c>
      <c r="G44" s="889">
        <f>F44+E44</f>
        <v>320</v>
      </c>
      <c r="H44" s="889"/>
      <c r="I44" s="889">
        <f>H44+G44</f>
        <v>320</v>
      </c>
      <c r="J44" s="889"/>
      <c r="K44" s="889">
        <f>J44+I44</f>
        <v>320</v>
      </c>
      <c r="L44" s="889"/>
      <c r="M44" s="889">
        <f>L44+K44</f>
        <v>320</v>
      </c>
    </row>
    <row r="45" spans="1:13" ht="17.25" thickTop="1" thickBot="1" x14ac:dyDescent="0.3">
      <c r="A45" s="881" t="s">
        <v>977</v>
      </c>
      <c r="B45" s="882">
        <f>B44+B43</f>
        <v>1994.9299999999998</v>
      </c>
      <c r="C45" s="882">
        <f>C44+C43</f>
        <v>1995.9299999999998</v>
      </c>
      <c r="D45" s="882">
        <f>D44+D43</f>
        <v>2.5</v>
      </c>
      <c r="E45" s="882">
        <f t="shared" si="0"/>
        <v>1998.4299999999998</v>
      </c>
      <c r="F45" s="882">
        <f t="shared" ref="F45:M45" si="20">F44+F43</f>
        <v>-77.25</v>
      </c>
      <c r="G45" s="882">
        <f t="shared" si="20"/>
        <v>1927.1799999999998</v>
      </c>
      <c r="H45" s="882">
        <f t="shared" si="20"/>
        <v>1</v>
      </c>
      <c r="I45" s="882">
        <f t="shared" si="20"/>
        <v>1928.1799999999998</v>
      </c>
      <c r="J45" s="882">
        <f t="shared" si="20"/>
        <v>-2.5</v>
      </c>
      <c r="K45" s="882">
        <f t="shared" si="20"/>
        <v>1925.6799999999998</v>
      </c>
      <c r="L45" s="882">
        <f t="shared" si="20"/>
        <v>3</v>
      </c>
      <c r="M45" s="882">
        <f t="shared" si="20"/>
        <v>1928.6799999999998</v>
      </c>
    </row>
    <row r="46" spans="1:13" ht="16.5" thickTop="1" x14ac:dyDescent="0.25">
      <c r="A46" s="890"/>
      <c r="B46" s="891"/>
      <c r="C46" s="891"/>
      <c r="D46" s="891"/>
      <c r="E46" s="891"/>
      <c r="F46" s="891"/>
      <c r="G46" s="891"/>
      <c r="H46" s="891"/>
      <c r="I46" s="891"/>
      <c r="J46" s="891"/>
      <c r="K46" s="891"/>
      <c r="L46" s="891"/>
      <c r="M46" s="891"/>
    </row>
    <row r="47" spans="1:13" ht="15.75" x14ac:dyDescent="0.25">
      <c r="A47" s="890"/>
      <c r="B47" s="891"/>
      <c r="C47" s="891"/>
      <c r="D47" s="891"/>
      <c r="E47" s="891"/>
      <c r="F47" s="891"/>
      <c r="G47" s="891"/>
      <c r="H47" s="891"/>
      <c r="I47" s="891"/>
      <c r="J47" s="891"/>
      <c r="K47" s="891"/>
      <c r="L47" s="891"/>
      <c r="M47" s="891"/>
    </row>
    <row r="48" spans="1:13" ht="15.75" x14ac:dyDescent="0.25">
      <c r="A48" s="890"/>
      <c r="B48" s="891"/>
      <c r="C48" s="891"/>
      <c r="D48" s="891"/>
      <c r="E48" s="891"/>
      <c r="F48" s="891"/>
      <c r="G48" s="891"/>
      <c r="H48" s="891"/>
      <c r="I48" s="891"/>
      <c r="J48" s="891"/>
      <c r="K48" s="891"/>
      <c r="L48" s="891"/>
      <c r="M48" s="891"/>
    </row>
    <row r="49" spans="1:13" ht="15.75" x14ac:dyDescent="0.25">
      <c r="A49" s="890"/>
      <c r="B49" s="891"/>
      <c r="C49" s="891"/>
      <c r="D49" s="891"/>
      <c r="E49" s="891"/>
      <c r="F49" s="891"/>
      <c r="G49" s="891"/>
      <c r="H49" s="891"/>
      <c r="I49" s="891"/>
      <c r="J49" s="891"/>
      <c r="K49" s="891"/>
      <c r="L49" s="891"/>
      <c r="M49" s="891"/>
    </row>
    <row r="50" spans="1:13" ht="15.75" x14ac:dyDescent="0.25">
      <c r="A50" s="890"/>
      <c r="B50" s="891"/>
      <c r="C50" s="891"/>
      <c r="D50" s="891"/>
      <c r="E50" s="891"/>
      <c r="F50" s="891"/>
      <c r="G50" s="891"/>
      <c r="H50" s="891"/>
      <c r="I50" s="891"/>
      <c r="J50" s="891"/>
      <c r="K50" s="891"/>
      <c r="L50" s="891"/>
      <c r="M50" s="891"/>
    </row>
    <row r="51" spans="1:13" ht="15.75" x14ac:dyDescent="0.25">
      <c r="A51" s="890"/>
    </row>
    <row r="52" spans="1:13" ht="15.75" x14ac:dyDescent="0.25">
      <c r="A52" s="890"/>
    </row>
    <row r="53" spans="1:13" ht="15.75" x14ac:dyDescent="0.25">
      <c r="A53" s="890"/>
    </row>
    <row r="54" spans="1:13" ht="15.75" x14ac:dyDescent="0.25">
      <c r="A54" s="890"/>
    </row>
    <row r="55" spans="1:13" ht="15.75" x14ac:dyDescent="0.25">
      <c r="A55" s="890"/>
    </row>
    <row r="56" spans="1:13" ht="15.75" x14ac:dyDescent="0.25">
      <c r="A56" s="890"/>
    </row>
    <row r="57" spans="1:13" ht="15.75" x14ac:dyDescent="0.25">
      <c r="A57" s="890"/>
    </row>
    <row r="58" spans="1:13" ht="15.75" x14ac:dyDescent="0.25">
      <c r="A58" s="890"/>
    </row>
    <row r="59" spans="1:13" ht="15.75" x14ac:dyDescent="0.25">
      <c r="A59" s="890"/>
    </row>
    <row r="60" spans="1:13" ht="15.75" x14ac:dyDescent="0.25">
      <c r="A60" s="890"/>
    </row>
    <row r="61" spans="1:13" ht="15.75" x14ac:dyDescent="0.25">
      <c r="A61" s="890"/>
    </row>
    <row r="62" spans="1:13" ht="15.75" x14ac:dyDescent="0.25">
      <c r="A62" s="890"/>
    </row>
    <row r="63" spans="1:13" ht="15.75" x14ac:dyDescent="0.25">
      <c r="A63" s="890"/>
    </row>
    <row r="64" spans="1:13" ht="15.75" x14ac:dyDescent="0.25">
      <c r="A64" s="890"/>
    </row>
    <row r="65" spans="1:1" ht="15.75" x14ac:dyDescent="0.25">
      <c r="A65" s="890"/>
    </row>
    <row r="66" spans="1:1" ht="15.75" x14ac:dyDescent="0.25">
      <c r="A66" s="890"/>
    </row>
    <row r="67" spans="1:1" ht="15.75" x14ac:dyDescent="0.25">
      <c r="A67" s="890"/>
    </row>
    <row r="68" spans="1:1" ht="15.75" x14ac:dyDescent="0.25">
      <c r="A68" s="890"/>
    </row>
    <row r="69" spans="1:1" ht="15.75" x14ac:dyDescent="0.25">
      <c r="A69" s="890"/>
    </row>
    <row r="70" spans="1:1" ht="15.75" x14ac:dyDescent="0.25">
      <c r="A70" s="890"/>
    </row>
    <row r="71" spans="1:1" ht="15.75" x14ac:dyDescent="0.25">
      <c r="A71" s="890"/>
    </row>
    <row r="72" spans="1:1" ht="15.75" x14ac:dyDescent="0.25">
      <c r="A72" s="890"/>
    </row>
    <row r="73" spans="1:1" ht="15.75" x14ac:dyDescent="0.25">
      <c r="A73" s="890"/>
    </row>
    <row r="74" spans="1:1" ht="15.75" x14ac:dyDescent="0.25">
      <c r="A74" s="890"/>
    </row>
    <row r="75" spans="1:1" ht="15.75" x14ac:dyDescent="0.25">
      <c r="A75" s="890"/>
    </row>
    <row r="76" spans="1:1" ht="15.75" x14ac:dyDescent="0.25">
      <c r="A76" s="890"/>
    </row>
    <row r="77" spans="1:1" ht="15.75" x14ac:dyDescent="0.25">
      <c r="A77" s="890"/>
    </row>
    <row r="78" spans="1:1" ht="15.75" x14ac:dyDescent="0.25">
      <c r="A78" s="890"/>
    </row>
    <row r="79" spans="1:1" ht="15.75" x14ac:dyDescent="0.25">
      <c r="A79" s="890"/>
    </row>
    <row r="80" spans="1:1" ht="15.75" x14ac:dyDescent="0.25">
      <c r="A80" s="890"/>
    </row>
    <row r="81" spans="1:1" ht="15.75" x14ac:dyDescent="0.25">
      <c r="A81" s="890"/>
    </row>
    <row r="82" spans="1:1" ht="15.75" x14ac:dyDescent="0.25">
      <c r="A82" s="890"/>
    </row>
    <row r="83" spans="1:1" ht="15.75" x14ac:dyDescent="0.25">
      <c r="A83" s="890"/>
    </row>
    <row r="84" spans="1:1" ht="15.75" x14ac:dyDescent="0.25">
      <c r="A84" s="890"/>
    </row>
    <row r="85" spans="1:1" ht="15.75" x14ac:dyDescent="0.25">
      <c r="A85" s="890"/>
    </row>
    <row r="86" spans="1:1" ht="15.75" x14ac:dyDescent="0.25">
      <c r="A86" s="890"/>
    </row>
    <row r="87" spans="1:1" ht="15.75" x14ac:dyDescent="0.25">
      <c r="A87" s="890"/>
    </row>
    <row r="88" spans="1:1" ht="15.75" x14ac:dyDescent="0.25">
      <c r="A88" s="890"/>
    </row>
    <row r="89" spans="1:1" ht="15.75" x14ac:dyDescent="0.25">
      <c r="A89" s="890"/>
    </row>
    <row r="90" spans="1:1" ht="15.75" x14ac:dyDescent="0.25">
      <c r="A90" s="890"/>
    </row>
    <row r="91" spans="1:1" ht="15.75" x14ac:dyDescent="0.25">
      <c r="A91" s="890"/>
    </row>
    <row r="92" spans="1:1" ht="15.75" x14ac:dyDescent="0.25">
      <c r="A92" s="890"/>
    </row>
    <row r="93" spans="1:1" ht="15.75" x14ac:dyDescent="0.25">
      <c r="A93" s="890"/>
    </row>
    <row r="94" spans="1:1" ht="15.75" x14ac:dyDescent="0.25">
      <c r="A94" s="890"/>
    </row>
    <row r="95" spans="1:1" ht="15.75" x14ac:dyDescent="0.25">
      <c r="A95" s="890"/>
    </row>
    <row r="96" spans="1:1" ht="15.75" x14ac:dyDescent="0.25">
      <c r="A96" s="890"/>
    </row>
    <row r="97" spans="1:1" ht="15.75" x14ac:dyDescent="0.25">
      <c r="A97" s="890"/>
    </row>
    <row r="98" spans="1:1" ht="15.75" x14ac:dyDescent="0.25">
      <c r="A98" s="890"/>
    </row>
    <row r="99" spans="1:1" ht="15.75" x14ac:dyDescent="0.25">
      <c r="A99" s="890"/>
    </row>
    <row r="100" spans="1:1" ht="15.75" x14ac:dyDescent="0.25">
      <c r="A100" s="890"/>
    </row>
    <row r="101" spans="1:1" ht="15.75" x14ac:dyDescent="0.25">
      <c r="A101" s="890"/>
    </row>
    <row r="102" spans="1:1" ht="15.75" x14ac:dyDescent="0.25">
      <c r="A102" s="890"/>
    </row>
    <row r="103" spans="1:1" ht="15.75" x14ac:dyDescent="0.25">
      <c r="A103" s="890"/>
    </row>
    <row r="104" spans="1:1" ht="15.75" x14ac:dyDescent="0.25">
      <c r="A104" s="890"/>
    </row>
    <row r="105" spans="1:1" ht="15.75" x14ac:dyDescent="0.25">
      <c r="A105" s="890"/>
    </row>
    <row r="106" spans="1:1" ht="15.75" x14ac:dyDescent="0.25">
      <c r="A106" s="890"/>
    </row>
    <row r="107" spans="1:1" ht="15.75" x14ac:dyDescent="0.25">
      <c r="A107" s="890"/>
    </row>
    <row r="108" spans="1:1" ht="15.75" x14ac:dyDescent="0.25">
      <c r="A108" s="890"/>
    </row>
    <row r="109" spans="1:1" ht="15.75" x14ac:dyDescent="0.25">
      <c r="A109" s="890"/>
    </row>
    <row r="110" spans="1:1" ht="15.75" x14ac:dyDescent="0.25">
      <c r="A110" s="890"/>
    </row>
    <row r="111" spans="1:1" ht="15.75" x14ac:dyDescent="0.25">
      <c r="A111" s="890"/>
    </row>
    <row r="112" spans="1:1" ht="15.75" x14ac:dyDescent="0.25">
      <c r="A112" s="890"/>
    </row>
    <row r="113" spans="1:1" ht="15.75" x14ac:dyDescent="0.25">
      <c r="A113" s="890"/>
    </row>
    <row r="114" spans="1:1" ht="15.75" x14ac:dyDescent="0.25">
      <c r="A114" s="890"/>
    </row>
    <row r="115" spans="1:1" ht="15.75" x14ac:dyDescent="0.25">
      <c r="A115" s="890"/>
    </row>
    <row r="116" spans="1:1" ht="15.75" x14ac:dyDescent="0.25">
      <c r="A116" s="890"/>
    </row>
    <row r="117" spans="1:1" ht="15.75" x14ac:dyDescent="0.25">
      <c r="A117" s="890"/>
    </row>
    <row r="118" spans="1:1" ht="15.75" x14ac:dyDescent="0.25">
      <c r="A118" s="890"/>
    </row>
    <row r="119" spans="1:1" ht="15.75" x14ac:dyDescent="0.25">
      <c r="A119" s="890"/>
    </row>
    <row r="120" spans="1:1" ht="15.75" x14ac:dyDescent="0.25">
      <c r="A120" s="890"/>
    </row>
    <row r="121" spans="1:1" ht="15.75" x14ac:dyDescent="0.25">
      <c r="A121" s="890"/>
    </row>
    <row r="122" spans="1:1" ht="15.75" x14ac:dyDescent="0.25">
      <c r="A122" s="890"/>
    </row>
    <row r="123" spans="1:1" ht="15.75" x14ac:dyDescent="0.25">
      <c r="A123" s="890"/>
    </row>
    <row r="124" spans="1:1" ht="15.75" x14ac:dyDescent="0.25">
      <c r="A124" s="890"/>
    </row>
    <row r="125" spans="1:1" ht="15.75" x14ac:dyDescent="0.25">
      <c r="A125" s="890"/>
    </row>
    <row r="126" spans="1:1" ht="15.75" x14ac:dyDescent="0.25">
      <c r="A126" s="890"/>
    </row>
    <row r="127" spans="1:1" ht="15.75" x14ac:dyDescent="0.25">
      <c r="A127" s="890"/>
    </row>
    <row r="128" spans="1:1" ht="15.75" x14ac:dyDescent="0.25">
      <c r="A128" s="890"/>
    </row>
    <row r="129" spans="1:1" ht="15.75" x14ac:dyDescent="0.25">
      <c r="A129" s="890"/>
    </row>
    <row r="130" spans="1:1" ht="15.75" x14ac:dyDescent="0.25">
      <c r="A130" s="890"/>
    </row>
    <row r="131" spans="1:1" ht="15.75" x14ac:dyDescent="0.25">
      <c r="A131" s="890"/>
    </row>
    <row r="132" spans="1:1" ht="15.75" x14ac:dyDescent="0.25">
      <c r="A132" s="890"/>
    </row>
    <row r="133" spans="1:1" ht="15.75" x14ac:dyDescent="0.25">
      <c r="A133" s="890"/>
    </row>
    <row r="134" spans="1:1" ht="15.75" x14ac:dyDescent="0.25">
      <c r="A134" s="890"/>
    </row>
    <row r="135" spans="1:1" ht="15.75" x14ac:dyDescent="0.25">
      <c r="A135" s="890"/>
    </row>
    <row r="136" spans="1:1" ht="15.75" x14ac:dyDescent="0.25">
      <c r="A136" s="890"/>
    </row>
    <row r="137" spans="1:1" ht="15.75" x14ac:dyDescent="0.25">
      <c r="A137" s="890"/>
    </row>
    <row r="138" spans="1:1" ht="15.75" x14ac:dyDescent="0.25">
      <c r="A138" s="890"/>
    </row>
    <row r="139" spans="1:1" ht="15.75" x14ac:dyDescent="0.25">
      <c r="A139" s="890"/>
    </row>
    <row r="140" spans="1:1" ht="15.75" x14ac:dyDescent="0.25">
      <c r="A140" s="890"/>
    </row>
    <row r="141" spans="1:1" ht="15.75" x14ac:dyDescent="0.25">
      <c r="A141" s="890"/>
    </row>
    <row r="142" spans="1:1" ht="15.75" x14ac:dyDescent="0.25">
      <c r="A142" s="890"/>
    </row>
    <row r="143" spans="1:1" ht="15.75" x14ac:dyDescent="0.25">
      <c r="A143" s="890"/>
    </row>
    <row r="144" spans="1:1" ht="15.75" x14ac:dyDescent="0.25">
      <c r="A144" s="890"/>
    </row>
    <row r="145" spans="1:1" ht="15.75" x14ac:dyDescent="0.25">
      <c r="A145" s="890"/>
    </row>
    <row r="146" spans="1:1" ht="15.75" x14ac:dyDescent="0.25">
      <c r="A146" s="890"/>
    </row>
    <row r="147" spans="1:1" ht="15.75" x14ac:dyDescent="0.25">
      <c r="A147" s="890"/>
    </row>
    <row r="148" spans="1:1" ht="15.75" x14ac:dyDescent="0.25">
      <c r="A148" s="890"/>
    </row>
    <row r="149" spans="1:1" ht="15.75" x14ac:dyDescent="0.25">
      <c r="A149" s="890"/>
    </row>
    <row r="150" spans="1:1" ht="15.75" x14ac:dyDescent="0.25">
      <c r="A150" s="890"/>
    </row>
    <row r="151" spans="1:1" ht="15.75" x14ac:dyDescent="0.25">
      <c r="A151" s="890"/>
    </row>
    <row r="152" spans="1:1" ht="15.75" x14ac:dyDescent="0.25">
      <c r="A152" s="890"/>
    </row>
    <row r="153" spans="1:1" ht="15.75" x14ac:dyDescent="0.25">
      <c r="A153" s="890"/>
    </row>
    <row r="154" spans="1:1" ht="15.75" x14ac:dyDescent="0.25">
      <c r="A154" s="890"/>
    </row>
    <row r="155" spans="1:1" ht="15.75" x14ac:dyDescent="0.25">
      <c r="A155" s="890"/>
    </row>
    <row r="156" spans="1:1" ht="15.75" x14ac:dyDescent="0.25">
      <c r="A156" s="890"/>
    </row>
    <row r="157" spans="1:1" ht="15.75" x14ac:dyDescent="0.25">
      <c r="A157" s="890"/>
    </row>
    <row r="158" spans="1:1" ht="15.75" x14ac:dyDescent="0.25">
      <c r="A158" s="890"/>
    </row>
    <row r="159" spans="1:1" ht="15.75" x14ac:dyDescent="0.25">
      <c r="A159" s="890"/>
    </row>
    <row r="160" spans="1:1" ht="15.75" x14ac:dyDescent="0.25">
      <c r="A160" s="890"/>
    </row>
    <row r="161" spans="1:1" ht="15.75" x14ac:dyDescent="0.25">
      <c r="A161" s="890"/>
    </row>
    <row r="162" spans="1:1" ht="15.75" x14ac:dyDescent="0.25">
      <c r="A162" s="890"/>
    </row>
    <row r="163" spans="1:1" ht="15.75" x14ac:dyDescent="0.25">
      <c r="A163" s="890"/>
    </row>
    <row r="164" spans="1:1" ht="15.75" x14ac:dyDescent="0.25">
      <c r="A164" s="890"/>
    </row>
    <row r="165" spans="1:1" ht="15.75" x14ac:dyDescent="0.25">
      <c r="A165" s="890"/>
    </row>
    <row r="166" spans="1:1" ht="15.75" x14ac:dyDescent="0.25">
      <c r="A166" s="890"/>
    </row>
    <row r="167" spans="1:1" ht="15.75" x14ac:dyDescent="0.25">
      <c r="A167" s="890"/>
    </row>
    <row r="168" spans="1:1" ht="15.75" x14ac:dyDescent="0.25">
      <c r="A168" s="890"/>
    </row>
    <row r="169" spans="1:1" ht="15.75" x14ac:dyDescent="0.25">
      <c r="A169" s="890"/>
    </row>
    <row r="170" spans="1:1" ht="15.75" x14ac:dyDescent="0.25">
      <c r="A170" s="890"/>
    </row>
    <row r="171" spans="1:1" ht="15.75" x14ac:dyDescent="0.25">
      <c r="A171" s="890"/>
    </row>
    <row r="172" spans="1:1" ht="15.75" x14ac:dyDescent="0.25">
      <c r="A172" s="890"/>
    </row>
    <row r="173" spans="1:1" ht="15.75" x14ac:dyDescent="0.25">
      <c r="A173" s="890"/>
    </row>
    <row r="174" spans="1:1" ht="15.75" x14ac:dyDescent="0.25">
      <c r="A174" s="890"/>
    </row>
    <row r="175" spans="1:1" ht="15.75" x14ac:dyDescent="0.25">
      <c r="A175" s="890"/>
    </row>
    <row r="176" spans="1:1" ht="15.75" x14ac:dyDescent="0.25">
      <c r="A176" s="890"/>
    </row>
    <row r="177" spans="1:1" ht="15.75" x14ac:dyDescent="0.25">
      <c r="A177" s="890"/>
    </row>
    <row r="178" spans="1:1" ht="15.75" x14ac:dyDescent="0.25">
      <c r="A178" s="890"/>
    </row>
    <row r="179" spans="1:1" ht="15.75" x14ac:dyDescent="0.25">
      <c r="A179" s="890"/>
    </row>
    <row r="180" spans="1:1" ht="15.75" x14ac:dyDescent="0.25">
      <c r="A180" s="890"/>
    </row>
    <row r="181" spans="1:1" ht="15.75" x14ac:dyDescent="0.25">
      <c r="A181" s="890"/>
    </row>
    <row r="182" spans="1:1" ht="15.75" x14ac:dyDescent="0.25">
      <c r="A182" s="890"/>
    </row>
    <row r="183" spans="1:1" ht="15.75" x14ac:dyDescent="0.25">
      <c r="A183" s="890"/>
    </row>
    <row r="184" spans="1:1" ht="15.75" x14ac:dyDescent="0.25">
      <c r="A184" s="890"/>
    </row>
    <row r="185" spans="1:1" ht="15.75" x14ac:dyDescent="0.25">
      <c r="A185" s="890"/>
    </row>
    <row r="186" spans="1:1" ht="15.75" x14ac:dyDescent="0.25">
      <c r="A186" s="890"/>
    </row>
    <row r="187" spans="1:1" ht="15.75" x14ac:dyDescent="0.25">
      <c r="A187" s="890"/>
    </row>
    <row r="188" spans="1:1" ht="15.75" x14ac:dyDescent="0.25">
      <c r="A188" s="890"/>
    </row>
    <row r="189" spans="1:1" ht="15.75" x14ac:dyDescent="0.25">
      <c r="A189" s="890"/>
    </row>
    <row r="190" spans="1:1" ht="15.75" x14ac:dyDescent="0.25">
      <c r="A190" s="890"/>
    </row>
    <row r="191" spans="1:1" ht="15.75" x14ac:dyDescent="0.25">
      <c r="A191" s="890"/>
    </row>
    <row r="192" spans="1:1" ht="15.75" x14ac:dyDescent="0.25">
      <c r="A192" s="890"/>
    </row>
    <row r="193" spans="1:1" ht="15.75" x14ac:dyDescent="0.25">
      <c r="A193" s="890"/>
    </row>
    <row r="194" spans="1:1" ht="15.75" x14ac:dyDescent="0.25">
      <c r="A194" s="890"/>
    </row>
    <row r="195" spans="1:1" ht="15.75" x14ac:dyDescent="0.25">
      <c r="A195" s="890"/>
    </row>
    <row r="196" spans="1:1" ht="15.75" x14ac:dyDescent="0.25">
      <c r="A196" s="890"/>
    </row>
    <row r="197" spans="1:1" ht="15.75" x14ac:dyDescent="0.25">
      <c r="A197" s="890"/>
    </row>
    <row r="198" spans="1:1" ht="15.75" x14ac:dyDescent="0.25">
      <c r="A198" s="890"/>
    </row>
    <row r="199" spans="1:1" ht="15.75" x14ac:dyDescent="0.25">
      <c r="A199" s="890"/>
    </row>
    <row r="200" spans="1:1" ht="15.75" x14ac:dyDescent="0.25">
      <c r="A200" s="890"/>
    </row>
    <row r="201" spans="1:1" ht="15.75" x14ac:dyDescent="0.25">
      <c r="A201" s="890"/>
    </row>
    <row r="202" spans="1:1" ht="15.75" x14ac:dyDescent="0.25">
      <c r="A202" s="890"/>
    </row>
    <row r="203" spans="1:1" ht="15.75" x14ac:dyDescent="0.25">
      <c r="A203" s="890"/>
    </row>
    <row r="204" spans="1:1" ht="15.75" x14ac:dyDescent="0.25">
      <c r="A204" s="890"/>
    </row>
    <row r="205" spans="1:1" ht="15.75" x14ac:dyDescent="0.25">
      <c r="A205" s="890"/>
    </row>
    <row r="206" spans="1:1" ht="15.75" x14ac:dyDescent="0.25">
      <c r="A206" s="890"/>
    </row>
    <row r="207" spans="1:1" ht="15.75" x14ac:dyDescent="0.25">
      <c r="A207" s="890"/>
    </row>
    <row r="208" spans="1:1" ht="15.75" x14ac:dyDescent="0.25">
      <c r="A208" s="890"/>
    </row>
    <row r="209" spans="1:1" ht="15.75" x14ac:dyDescent="0.25">
      <c r="A209" s="890"/>
    </row>
    <row r="210" spans="1:1" ht="15.75" x14ac:dyDescent="0.25">
      <c r="A210" s="890"/>
    </row>
    <row r="211" spans="1:1" ht="15.75" x14ac:dyDescent="0.25">
      <c r="A211" s="890"/>
    </row>
    <row r="212" spans="1:1" ht="15.75" x14ac:dyDescent="0.25">
      <c r="A212" s="890"/>
    </row>
    <row r="213" spans="1:1" ht="15.75" x14ac:dyDescent="0.25">
      <c r="A213" s="890"/>
    </row>
    <row r="214" spans="1:1" ht="15.75" x14ac:dyDescent="0.25">
      <c r="A214" s="890"/>
    </row>
    <row r="215" spans="1:1" ht="15.75" x14ac:dyDescent="0.25">
      <c r="A215" s="890"/>
    </row>
    <row r="216" spans="1:1" ht="15.75" x14ac:dyDescent="0.25">
      <c r="A216" s="890"/>
    </row>
    <row r="217" spans="1:1" ht="15.75" x14ac:dyDescent="0.25">
      <c r="A217" s="890"/>
    </row>
    <row r="218" spans="1:1" ht="15.75" x14ac:dyDescent="0.25">
      <c r="A218" s="890"/>
    </row>
    <row r="219" spans="1:1" ht="15.75" x14ac:dyDescent="0.25">
      <c r="A219" s="890"/>
    </row>
    <row r="220" spans="1:1" ht="15.75" x14ac:dyDescent="0.25">
      <c r="A220" s="890"/>
    </row>
    <row r="221" spans="1:1" ht="15.75" x14ac:dyDescent="0.25">
      <c r="A221" s="890"/>
    </row>
    <row r="222" spans="1:1" ht="15.75" x14ac:dyDescent="0.25">
      <c r="A222" s="890"/>
    </row>
    <row r="223" spans="1:1" ht="15.75" x14ac:dyDescent="0.25">
      <c r="A223" s="890"/>
    </row>
    <row r="224" spans="1:1" ht="15.75" x14ac:dyDescent="0.25">
      <c r="A224" s="890"/>
    </row>
    <row r="225" spans="1:1" ht="15.75" x14ac:dyDescent="0.25">
      <c r="A225" s="890"/>
    </row>
    <row r="226" spans="1:1" ht="15.75" x14ac:dyDescent="0.25">
      <c r="A226" s="890"/>
    </row>
    <row r="227" spans="1:1" ht="15.75" x14ac:dyDescent="0.25">
      <c r="A227" s="890"/>
    </row>
    <row r="228" spans="1:1" ht="15.75" x14ac:dyDescent="0.25">
      <c r="A228" s="890"/>
    </row>
    <row r="229" spans="1:1" ht="15.75" x14ac:dyDescent="0.25">
      <c r="A229" s="890"/>
    </row>
    <row r="230" spans="1:1" ht="15.75" x14ac:dyDescent="0.25">
      <c r="A230" s="890"/>
    </row>
    <row r="231" spans="1:1" ht="15.75" x14ac:dyDescent="0.25">
      <c r="A231" s="890"/>
    </row>
    <row r="232" spans="1:1" ht="15.75" x14ac:dyDescent="0.25">
      <c r="A232" s="890"/>
    </row>
    <row r="233" spans="1:1" ht="15.75" x14ac:dyDescent="0.25">
      <c r="A233" s="890"/>
    </row>
    <row r="234" spans="1:1" ht="15.75" x14ac:dyDescent="0.25">
      <c r="A234" s="890"/>
    </row>
    <row r="235" spans="1:1" ht="15.75" x14ac:dyDescent="0.25">
      <c r="A235" s="890"/>
    </row>
    <row r="236" spans="1:1" ht="15.75" x14ac:dyDescent="0.25">
      <c r="A236" s="890"/>
    </row>
    <row r="237" spans="1:1" ht="15.75" x14ac:dyDescent="0.25">
      <c r="A237" s="890"/>
    </row>
    <row r="238" spans="1:1" ht="15.75" x14ac:dyDescent="0.25">
      <c r="A238" s="890"/>
    </row>
    <row r="239" spans="1:1" ht="15.75" x14ac:dyDescent="0.25">
      <c r="A239" s="890"/>
    </row>
    <row r="240" spans="1:1" ht="15.75" x14ac:dyDescent="0.25">
      <c r="A240" s="890"/>
    </row>
    <row r="241" spans="1:1" ht="15.75" x14ac:dyDescent="0.25">
      <c r="A241" s="890"/>
    </row>
    <row r="242" spans="1:1" ht="15.75" x14ac:dyDescent="0.25">
      <c r="A242" s="890"/>
    </row>
    <row r="243" spans="1:1" ht="15.75" x14ac:dyDescent="0.25">
      <c r="A243" s="890"/>
    </row>
    <row r="244" spans="1:1" ht="15.75" x14ac:dyDescent="0.25">
      <c r="A244" s="890"/>
    </row>
    <row r="245" spans="1:1" ht="15.75" x14ac:dyDescent="0.25">
      <c r="A245" s="890"/>
    </row>
    <row r="246" spans="1:1" ht="15.75" x14ac:dyDescent="0.25">
      <c r="A246" s="890"/>
    </row>
    <row r="247" spans="1:1" ht="15.75" x14ac:dyDescent="0.25">
      <c r="A247" s="890"/>
    </row>
    <row r="248" spans="1:1" ht="15.75" x14ac:dyDescent="0.25">
      <c r="A248" s="890"/>
    </row>
    <row r="249" spans="1:1" ht="15.75" x14ac:dyDescent="0.25">
      <c r="A249" s="890"/>
    </row>
    <row r="250" spans="1:1" ht="15.75" x14ac:dyDescent="0.25">
      <c r="A250" s="890"/>
    </row>
    <row r="251" spans="1:1" ht="15.75" x14ac:dyDescent="0.25">
      <c r="A251" s="890"/>
    </row>
    <row r="252" spans="1:1" ht="15.75" x14ac:dyDescent="0.25">
      <c r="A252" s="890"/>
    </row>
    <row r="253" spans="1:1" ht="15.75" x14ac:dyDescent="0.25">
      <c r="A253" s="890"/>
    </row>
    <row r="254" spans="1:1" ht="15.75" x14ac:dyDescent="0.25">
      <c r="A254" s="890"/>
    </row>
    <row r="255" spans="1:1" ht="15.75" x14ac:dyDescent="0.25">
      <c r="A255" s="890"/>
    </row>
    <row r="256" spans="1:1" ht="15.75" x14ac:dyDescent="0.25">
      <c r="A256" s="890"/>
    </row>
    <row r="257" spans="1:1" ht="15.75" x14ac:dyDescent="0.25">
      <c r="A257" s="890"/>
    </row>
    <row r="258" spans="1:1" ht="15.75" x14ac:dyDescent="0.25">
      <c r="A258" s="890"/>
    </row>
    <row r="259" spans="1:1" ht="15.75" x14ac:dyDescent="0.25">
      <c r="A259" s="890"/>
    </row>
    <row r="260" spans="1:1" ht="15.75" x14ac:dyDescent="0.25">
      <c r="A260" s="890"/>
    </row>
    <row r="261" spans="1:1" ht="15.75" x14ac:dyDescent="0.25">
      <c r="A261" s="890"/>
    </row>
    <row r="262" spans="1:1" ht="15.75" x14ac:dyDescent="0.25">
      <c r="A262" s="890"/>
    </row>
    <row r="263" spans="1:1" ht="15.75" x14ac:dyDescent="0.25">
      <c r="A263" s="890"/>
    </row>
    <row r="264" spans="1:1" ht="15.75" x14ac:dyDescent="0.25">
      <c r="A264" s="890"/>
    </row>
    <row r="265" spans="1:1" ht="15.75" x14ac:dyDescent="0.25">
      <c r="A265" s="890"/>
    </row>
    <row r="266" spans="1:1" ht="15.75" x14ac:dyDescent="0.25">
      <c r="A266" s="890"/>
    </row>
    <row r="267" spans="1:1" ht="15.75" x14ac:dyDescent="0.25">
      <c r="A267" s="890"/>
    </row>
    <row r="268" spans="1:1" ht="15.75" x14ac:dyDescent="0.25">
      <c r="A268" s="890"/>
    </row>
    <row r="269" spans="1:1" ht="15.75" x14ac:dyDescent="0.25">
      <c r="A269" s="890"/>
    </row>
    <row r="270" spans="1:1" ht="15.75" x14ac:dyDescent="0.25">
      <c r="A270" s="890"/>
    </row>
    <row r="271" spans="1:1" ht="15.75" x14ac:dyDescent="0.25">
      <c r="A271" s="890"/>
    </row>
    <row r="272" spans="1:1" ht="15.75" x14ac:dyDescent="0.25">
      <c r="A272" s="890"/>
    </row>
    <row r="273" spans="1:1" ht="15.75" x14ac:dyDescent="0.25">
      <c r="A273" s="890"/>
    </row>
    <row r="274" spans="1:1" ht="15.75" x14ac:dyDescent="0.25">
      <c r="A274" s="890"/>
    </row>
    <row r="275" spans="1:1" ht="15.75" x14ac:dyDescent="0.25">
      <c r="A275" s="890"/>
    </row>
    <row r="276" spans="1:1" ht="15.75" x14ac:dyDescent="0.25">
      <c r="A276" s="890"/>
    </row>
    <row r="277" spans="1:1" ht="15.75" x14ac:dyDescent="0.25">
      <c r="A277" s="890"/>
    </row>
    <row r="278" spans="1:1" ht="15.75" x14ac:dyDescent="0.25">
      <c r="A278" s="890"/>
    </row>
    <row r="279" spans="1:1" ht="15.75" x14ac:dyDescent="0.25">
      <c r="A279" s="890"/>
    </row>
    <row r="280" spans="1:1" ht="15.75" x14ac:dyDescent="0.25">
      <c r="A280" s="890"/>
    </row>
    <row r="281" spans="1:1" ht="15.75" x14ac:dyDescent="0.25">
      <c r="A281" s="890"/>
    </row>
    <row r="282" spans="1:1" ht="15.75" x14ac:dyDescent="0.25">
      <c r="A282" s="890"/>
    </row>
    <row r="283" spans="1:1" ht="15.75" x14ac:dyDescent="0.25">
      <c r="A283" s="890"/>
    </row>
    <row r="284" spans="1:1" ht="15.75" x14ac:dyDescent="0.25">
      <c r="A284" s="890"/>
    </row>
    <row r="285" spans="1:1" ht="15.75" x14ac:dyDescent="0.25">
      <c r="A285" s="890"/>
    </row>
    <row r="286" spans="1:1" ht="15.75" x14ac:dyDescent="0.25">
      <c r="A286" s="890"/>
    </row>
    <row r="287" spans="1:1" ht="15.75" x14ac:dyDescent="0.25">
      <c r="A287" s="890"/>
    </row>
    <row r="288" spans="1:1" ht="15.75" x14ac:dyDescent="0.25">
      <c r="A288" s="890"/>
    </row>
    <row r="289" spans="1:1" ht="15.75" x14ac:dyDescent="0.25">
      <c r="A289" s="890"/>
    </row>
    <row r="290" spans="1:1" ht="15.75" x14ac:dyDescent="0.25">
      <c r="A290" s="890"/>
    </row>
    <row r="291" spans="1:1" ht="15.75" x14ac:dyDescent="0.25">
      <c r="A291" s="890"/>
    </row>
    <row r="292" spans="1:1" ht="15.75" x14ac:dyDescent="0.25">
      <c r="A292" s="890"/>
    </row>
    <row r="293" spans="1:1" ht="15.75" x14ac:dyDescent="0.25">
      <c r="A293" s="890"/>
    </row>
    <row r="294" spans="1:1" ht="15.75" x14ac:dyDescent="0.25">
      <c r="A294" s="890"/>
    </row>
    <row r="295" spans="1:1" ht="15.75" x14ac:dyDescent="0.25">
      <c r="A295" s="890"/>
    </row>
    <row r="296" spans="1:1" ht="15.75" x14ac:dyDescent="0.25">
      <c r="A296" s="890"/>
    </row>
    <row r="297" spans="1:1" ht="15.75" x14ac:dyDescent="0.25">
      <c r="A297" s="890"/>
    </row>
    <row r="298" spans="1:1" ht="15.75" x14ac:dyDescent="0.25">
      <c r="A298" s="890"/>
    </row>
    <row r="299" spans="1:1" ht="15.75" x14ac:dyDescent="0.25">
      <c r="A299" s="890"/>
    </row>
    <row r="300" spans="1:1" ht="15.75" x14ac:dyDescent="0.25">
      <c r="A300" s="890"/>
    </row>
    <row r="301" spans="1:1" ht="15.75" x14ac:dyDescent="0.25">
      <c r="A301" s="890"/>
    </row>
    <row r="302" spans="1:1" ht="15.75" x14ac:dyDescent="0.25">
      <c r="A302" s="890"/>
    </row>
    <row r="303" spans="1:1" ht="15.75" x14ac:dyDescent="0.25">
      <c r="A303" s="890"/>
    </row>
    <row r="304" spans="1:1" ht="15.75" x14ac:dyDescent="0.25">
      <c r="A304" s="890"/>
    </row>
    <row r="305" spans="1:1" ht="15.75" x14ac:dyDescent="0.25">
      <c r="A305" s="890"/>
    </row>
    <row r="306" spans="1:1" ht="15.75" x14ac:dyDescent="0.25">
      <c r="A306" s="890"/>
    </row>
    <row r="307" spans="1:1" ht="15.75" x14ac:dyDescent="0.25">
      <c r="A307" s="890"/>
    </row>
    <row r="308" spans="1:1" ht="15.75" x14ac:dyDescent="0.25">
      <c r="A308" s="890"/>
    </row>
    <row r="309" spans="1:1" ht="15.75" x14ac:dyDescent="0.25">
      <c r="A309" s="890"/>
    </row>
    <row r="310" spans="1:1" ht="15.75" x14ac:dyDescent="0.25">
      <c r="A310" s="890"/>
    </row>
    <row r="311" spans="1:1" ht="15.75" x14ac:dyDescent="0.25">
      <c r="A311" s="890"/>
    </row>
    <row r="312" spans="1:1" ht="15.75" x14ac:dyDescent="0.25">
      <c r="A312" s="890"/>
    </row>
    <row r="313" spans="1:1" ht="15.75" x14ac:dyDescent="0.25">
      <c r="A313" s="890"/>
    </row>
    <row r="314" spans="1:1" ht="15.75" x14ac:dyDescent="0.25">
      <c r="A314" s="890"/>
    </row>
    <row r="315" spans="1:1" ht="15.75" x14ac:dyDescent="0.25">
      <c r="A315" s="890"/>
    </row>
    <row r="316" spans="1:1" ht="15.75" x14ac:dyDescent="0.25">
      <c r="A316" s="890"/>
    </row>
    <row r="317" spans="1:1" ht="15.75" x14ac:dyDescent="0.25">
      <c r="A317" s="890"/>
    </row>
    <row r="318" spans="1:1" ht="15.75" x14ac:dyDescent="0.25">
      <c r="A318" s="890"/>
    </row>
    <row r="319" spans="1:1" ht="15.75" x14ac:dyDescent="0.25">
      <c r="A319" s="890"/>
    </row>
    <row r="320" spans="1:1" ht="15.75" x14ac:dyDescent="0.25">
      <c r="A320" s="890"/>
    </row>
    <row r="321" spans="1:1" ht="15.75" x14ac:dyDescent="0.25">
      <c r="A321" s="890"/>
    </row>
    <row r="322" spans="1:1" ht="15.75" x14ac:dyDescent="0.25">
      <c r="A322" s="890"/>
    </row>
    <row r="323" spans="1:1" ht="15.75" x14ac:dyDescent="0.25">
      <c r="A323" s="890"/>
    </row>
    <row r="324" spans="1:1" ht="15.75" x14ac:dyDescent="0.25">
      <c r="A324" s="890"/>
    </row>
    <row r="325" spans="1:1" ht="15.75" x14ac:dyDescent="0.25">
      <c r="A325" s="890"/>
    </row>
    <row r="326" spans="1:1" ht="15.75" x14ac:dyDescent="0.25">
      <c r="A326" s="890"/>
    </row>
    <row r="327" spans="1:1" ht="15.75" x14ac:dyDescent="0.25">
      <c r="A327" s="890"/>
    </row>
    <row r="328" spans="1:1" ht="15.75" x14ac:dyDescent="0.25">
      <c r="A328" s="890"/>
    </row>
    <row r="329" spans="1:1" ht="15.75" x14ac:dyDescent="0.25">
      <c r="A329" s="890"/>
    </row>
    <row r="330" spans="1:1" ht="15.75" x14ac:dyDescent="0.25">
      <c r="A330" s="890"/>
    </row>
    <row r="331" spans="1:1" ht="15.75" x14ac:dyDescent="0.25">
      <c r="A331" s="890"/>
    </row>
    <row r="332" spans="1:1" ht="15.75" x14ac:dyDescent="0.25">
      <c r="A332" s="890"/>
    </row>
    <row r="333" spans="1:1" ht="15.75" x14ac:dyDescent="0.25">
      <c r="A333" s="890"/>
    </row>
    <row r="334" spans="1:1" ht="15.75" x14ac:dyDescent="0.25">
      <c r="A334" s="890"/>
    </row>
    <row r="335" spans="1:1" ht="15.75" x14ac:dyDescent="0.25">
      <c r="A335" s="890"/>
    </row>
    <row r="336" spans="1:1" ht="15.75" x14ac:dyDescent="0.25">
      <c r="A336" s="890"/>
    </row>
    <row r="337" spans="1:1" ht="15.75" x14ac:dyDescent="0.25">
      <c r="A337" s="890"/>
    </row>
    <row r="338" spans="1:1" ht="15.75" x14ac:dyDescent="0.25">
      <c r="A338" s="890"/>
    </row>
    <row r="339" spans="1:1" ht="15.75" x14ac:dyDescent="0.25">
      <c r="A339" s="890"/>
    </row>
    <row r="340" spans="1:1" ht="15.75" x14ac:dyDescent="0.25">
      <c r="A340" s="890"/>
    </row>
    <row r="341" spans="1:1" ht="15.75" x14ac:dyDescent="0.25">
      <c r="A341" s="890"/>
    </row>
    <row r="342" spans="1:1" ht="15.75" x14ac:dyDescent="0.25">
      <c r="A342" s="890"/>
    </row>
    <row r="343" spans="1:1" ht="15.75" x14ac:dyDescent="0.25">
      <c r="A343" s="890"/>
    </row>
    <row r="344" spans="1:1" ht="15.75" x14ac:dyDescent="0.25">
      <c r="A344" s="890"/>
    </row>
    <row r="345" spans="1:1" ht="15.75" x14ac:dyDescent="0.25">
      <c r="A345" s="890"/>
    </row>
    <row r="346" spans="1:1" ht="15.75" x14ac:dyDescent="0.25">
      <c r="A346" s="890"/>
    </row>
    <row r="347" spans="1:1" ht="15.75" x14ac:dyDescent="0.25">
      <c r="A347" s="890"/>
    </row>
    <row r="348" spans="1:1" ht="15.75" x14ac:dyDescent="0.25">
      <c r="A348" s="890"/>
    </row>
    <row r="349" spans="1:1" ht="15.75" x14ac:dyDescent="0.25">
      <c r="A349" s="890"/>
    </row>
    <row r="350" spans="1:1" ht="15.75" x14ac:dyDescent="0.25">
      <c r="A350" s="890"/>
    </row>
    <row r="351" spans="1:1" ht="15.75" x14ac:dyDescent="0.25">
      <c r="A351" s="890"/>
    </row>
    <row r="352" spans="1:1" ht="15.75" x14ac:dyDescent="0.25">
      <c r="A352" s="890"/>
    </row>
    <row r="353" spans="1:1" ht="15.75" x14ac:dyDescent="0.25">
      <c r="A353" s="890"/>
    </row>
    <row r="354" spans="1:1" ht="15.75" x14ac:dyDescent="0.25">
      <c r="A354" s="890"/>
    </row>
    <row r="355" spans="1:1" ht="15.75" x14ac:dyDescent="0.25">
      <c r="A355" s="890"/>
    </row>
    <row r="356" spans="1:1" ht="15.75" x14ac:dyDescent="0.25">
      <c r="A356" s="890"/>
    </row>
    <row r="357" spans="1:1" ht="15.75" x14ac:dyDescent="0.25">
      <c r="A357" s="890"/>
    </row>
    <row r="358" spans="1:1" ht="15.75" x14ac:dyDescent="0.25">
      <c r="A358" s="890"/>
    </row>
    <row r="359" spans="1:1" ht="15.75" x14ac:dyDescent="0.25">
      <c r="A359" s="890"/>
    </row>
    <row r="360" spans="1:1" ht="15.75" x14ac:dyDescent="0.25">
      <c r="A360" s="890"/>
    </row>
    <row r="361" spans="1:1" ht="15.75" x14ac:dyDescent="0.25">
      <c r="A361" s="890"/>
    </row>
    <row r="362" spans="1:1" ht="15.75" x14ac:dyDescent="0.25">
      <c r="A362" s="890"/>
    </row>
    <row r="363" spans="1:1" ht="15.75" x14ac:dyDescent="0.25">
      <c r="A363" s="890"/>
    </row>
    <row r="364" spans="1:1" ht="15.75" x14ac:dyDescent="0.25">
      <c r="A364" s="890"/>
    </row>
    <row r="365" spans="1:1" ht="15.75" x14ac:dyDescent="0.25">
      <c r="A365" s="890"/>
    </row>
    <row r="366" spans="1:1" ht="15.75" x14ac:dyDescent="0.25">
      <c r="A366" s="890"/>
    </row>
    <row r="367" spans="1:1" ht="15.75" x14ac:dyDescent="0.25">
      <c r="A367" s="890"/>
    </row>
    <row r="368" spans="1:1" ht="15.75" x14ac:dyDescent="0.25">
      <c r="A368" s="890"/>
    </row>
    <row r="369" spans="1:1" ht="15.75" x14ac:dyDescent="0.25">
      <c r="A369" s="890"/>
    </row>
    <row r="370" spans="1:1" ht="15.75" x14ac:dyDescent="0.25">
      <c r="A370" s="890"/>
    </row>
    <row r="371" spans="1:1" ht="15.75" x14ac:dyDescent="0.25">
      <c r="A371" s="890"/>
    </row>
    <row r="372" spans="1:1" ht="15.75" x14ac:dyDescent="0.25">
      <c r="A372" s="890"/>
    </row>
    <row r="373" spans="1:1" ht="15.75" x14ac:dyDescent="0.25">
      <c r="A373" s="890"/>
    </row>
    <row r="374" spans="1:1" ht="15.75" x14ac:dyDescent="0.25">
      <c r="A374" s="890"/>
    </row>
    <row r="375" spans="1:1" ht="15.75" x14ac:dyDescent="0.25">
      <c r="A375" s="890"/>
    </row>
    <row r="376" spans="1:1" ht="15.75" x14ac:dyDescent="0.25">
      <c r="A376" s="890"/>
    </row>
    <row r="377" spans="1:1" ht="15.75" x14ac:dyDescent="0.25">
      <c r="A377" s="890"/>
    </row>
    <row r="378" spans="1:1" ht="15.75" x14ac:dyDescent="0.25">
      <c r="A378" s="890"/>
    </row>
    <row r="379" spans="1:1" ht="15.75" x14ac:dyDescent="0.25">
      <c r="A379" s="890"/>
    </row>
    <row r="380" spans="1:1" ht="15.75" x14ac:dyDescent="0.25">
      <c r="A380" s="890"/>
    </row>
    <row r="381" spans="1:1" ht="15.75" x14ac:dyDescent="0.25">
      <c r="A381" s="890"/>
    </row>
    <row r="382" spans="1:1" ht="15.75" x14ac:dyDescent="0.25">
      <c r="A382" s="890"/>
    </row>
    <row r="383" spans="1:1" ht="15.75" x14ac:dyDescent="0.25">
      <c r="A383" s="890"/>
    </row>
    <row r="384" spans="1:1" ht="15.75" x14ac:dyDescent="0.25">
      <c r="A384" s="890"/>
    </row>
    <row r="385" spans="1:1" ht="15.75" x14ac:dyDescent="0.25">
      <c r="A385" s="890"/>
    </row>
    <row r="386" spans="1:1" ht="15.75" x14ac:dyDescent="0.25">
      <c r="A386" s="890"/>
    </row>
    <row r="387" spans="1:1" ht="15.75" x14ac:dyDescent="0.25">
      <c r="A387" s="890"/>
    </row>
    <row r="388" spans="1:1" ht="15.75" x14ac:dyDescent="0.25">
      <c r="A388" s="890"/>
    </row>
    <row r="389" spans="1:1" ht="15.75" x14ac:dyDescent="0.25">
      <c r="A389" s="890"/>
    </row>
    <row r="390" spans="1:1" ht="15.75" x14ac:dyDescent="0.25">
      <c r="A390" s="890"/>
    </row>
    <row r="391" spans="1:1" ht="15.75" x14ac:dyDescent="0.25">
      <c r="A391" s="890"/>
    </row>
    <row r="392" spans="1:1" ht="15.75" x14ac:dyDescent="0.25">
      <c r="A392" s="890"/>
    </row>
    <row r="393" spans="1:1" ht="15.75" x14ac:dyDescent="0.25">
      <c r="A393" s="890"/>
    </row>
    <row r="394" spans="1:1" ht="15.75" x14ac:dyDescent="0.25">
      <c r="A394" s="890"/>
    </row>
    <row r="395" spans="1:1" ht="15.75" x14ac:dyDescent="0.25">
      <c r="A395" s="890"/>
    </row>
    <row r="396" spans="1:1" ht="15.75" x14ac:dyDescent="0.25">
      <c r="A396" s="890"/>
    </row>
    <row r="397" spans="1:1" ht="15.75" x14ac:dyDescent="0.25">
      <c r="A397" s="890"/>
    </row>
    <row r="398" spans="1:1" ht="15.75" x14ac:dyDescent="0.25">
      <c r="A398" s="890"/>
    </row>
    <row r="399" spans="1:1" ht="15.75" x14ac:dyDescent="0.25">
      <c r="A399" s="890"/>
    </row>
    <row r="400" spans="1:1" ht="15.75" x14ac:dyDescent="0.25">
      <c r="A400" s="890"/>
    </row>
    <row r="401" spans="1:1" ht="15.75" x14ac:dyDescent="0.25">
      <c r="A401" s="890"/>
    </row>
    <row r="402" spans="1:1" ht="15.75" x14ac:dyDescent="0.25">
      <c r="A402" s="890"/>
    </row>
    <row r="403" spans="1:1" ht="15.75" x14ac:dyDescent="0.25">
      <c r="A403" s="890"/>
    </row>
    <row r="404" spans="1:1" ht="15.75" x14ac:dyDescent="0.25">
      <c r="A404" s="890"/>
    </row>
    <row r="405" spans="1:1" ht="15.75" x14ac:dyDescent="0.25">
      <c r="A405" s="890"/>
    </row>
    <row r="406" spans="1:1" ht="15.75" x14ac:dyDescent="0.25">
      <c r="A406" s="890"/>
    </row>
    <row r="407" spans="1:1" ht="15.75" x14ac:dyDescent="0.25">
      <c r="A407" s="890"/>
    </row>
    <row r="408" spans="1:1" ht="15.75" x14ac:dyDescent="0.25">
      <c r="A408" s="890"/>
    </row>
    <row r="409" spans="1:1" ht="15.75" x14ac:dyDescent="0.25">
      <c r="A409" s="890"/>
    </row>
    <row r="410" spans="1:1" ht="15.75" x14ac:dyDescent="0.25">
      <c r="A410" s="890"/>
    </row>
    <row r="411" spans="1:1" ht="15.75" x14ac:dyDescent="0.25">
      <c r="A411" s="890"/>
    </row>
    <row r="412" spans="1:1" ht="15.75" x14ac:dyDescent="0.25">
      <c r="A412" s="890"/>
    </row>
    <row r="413" spans="1:1" ht="15.75" x14ac:dyDescent="0.25">
      <c r="A413" s="890"/>
    </row>
    <row r="414" spans="1:1" ht="15.75" x14ac:dyDescent="0.25">
      <c r="A414" s="890"/>
    </row>
    <row r="415" spans="1:1" ht="15.75" x14ac:dyDescent="0.25">
      <c r="A415" s="890"/>
    </row>
    <row r="416" spans="1:1" ht="15.75" x14ac:dyDescent="0.25">
      <c r="A416" s="890"/>
    </row>
    <row r="417" spans="1:1" ht="15.75" x14ac:dyDescent="0.25">
      <c r="A417" s="890"/>
    </row>
    <row r="418" spans="1:1" ht="15.75" x14ac:dyDescent="0.25">
      <c r="A418" s="890"/>
    </row>
    <row r="419" spans="1:1" ht="15.75" x14ac:dyDescent="0.25">
      <c r="A419" s="890"/>
    </row>
    <row r="420" spans="1:1" ht="15.75" x14ac:dyDescent="0.25">
      <c r="A420" s="890"/>
    </row>
    <row r="421" spans="1:1" ht="15.75" x14ac:dyDescent="0.25">
      <c r="A421" s="890"/>
    </row>
    <row r="422" spans="1:1" ht="15.75" x14ac:dyDescent="0.25">
      <c r="A422" s="890"/>
    </row>
    <row r="423" spans="1:1" ht="15.75" x14ac:dyDescent="0.25">
      <c r="A423" s="890"/>
    </row>
    <row r="424" spans="1:1" ht="15.75" x14ac:dyDescent="0.25">
      <c r="A424" s="890"/>
    </row>
    <row r="425" spans="1:1" ht="15.75" x14ac:dyDescent="0.25">
      <c r="A425" s="890"/>
    </row>
    <row r="426" spans="1:1" ht="15.75" x14ac:dyDescent="0.25">
      <c r="A426" s="890"/>
    </row>
    <row r="427" spans="1:1" ht="15.75" x14ac:dyDescent="0.25">
      <c r="A427" s="890"/>
    </row>
    <row r="428" spans="1:1" ht="15.75" x14ac:dyDescent="0.25">
      <c r="A428" s="890"/>
    </row>
    <row r="429" spans="1:1" ht="15.75" x14ac:dyDescent="0.25">
      <c r="A429" s="890"/>
    </row>
    <row r="430" spans="1:1" ht="15.75" x14ac:dyDescent="0.25">
      <c r="A430" s="890"/>
    </row>
    <row r="431" spans="1:1" ht="15.75" x14ac:dyDescent="0.25">
      <c r="A431" s="890"/>
    </row>
    <row r="432" spans="1:1" ht="15.75" x14ac:dyDescent="0.25">
      <c r="A432" s="890"/>
    </row>
    <row r="433" spans="1:1" ht="15.75" x14ac:dyDescent="0.25">
      <c r="A433" s="890"/>
    </row>
    <row r="434" spans="1:1" ht="15.75" x14ac:dyDescent="0.25">
      <c r="A434" s="890"/>
    </row>
    <row r="435" spans="1:1" ht="15.75" x14ac:dyDescent="0.25">
      <c r="A435" s="890"/>
    </row>
    <row r="436" spans="1:1" ht="15.75" x14ac:dyDescent="0.25">
      <c r="A436" s="890"/>
    </row>
    <row r="437" spans="1:1" ht="15.75" x14ac:dyDescent="0.25">
      <c r="A437" s="890"/>
    </row>
    <row r="438" spans="1:1" ht="15.75" x14ac:dyDescent="0.25">
      <c r="A438" s="890"/>
    </row>
    <row r="439" spans="1:1" ht="15.75" x14ac:dyDescent="0.25">
      <c r="A439" s="890"/>
    </row>
    <row r="440" spans="1:1" ht="15.75" x14ac:dyDescent="0.25">
      <c r="A440" s="890"/>
    </row>
    <row r="441" spans="1:1" ht="15.75" x14ac:dyDescent="0.25">
      <c r="A441" s="890"/>
    </row>
    <row r="442" spans="1:1" ht="15.75" x14ac:dyDescent="0.25">
      <c r="A442" s="890"/>
    </row>
    <row r="443" spans="1:1" ht="15.75" x14ac:dyDescent="0.25">
      <c r="A443" s="890"/>
    </row>
    <row r="444" spans="1:1" ht="15.75" x14ac:dyDescent="0.25">
      <c r="A444" s="890"/>
    </row>
    <row r="445" spans="1:1" ht="15.75" x14ac:dyDescent="0.25">
      <c r="A445" s="890"/>
    </row>
    <row r="446" spans="1:1" ht="15.75" x14ac:dyDescent="0.25">
      <c r="A446" s="890"/>
    </row>
    <row r="447" spans="1:1" ht="15.75" x14ac:dyDescent="0.25">
      <c r="A447" s="890"/>
    </row>
    <row r="448" spans="1:1" ht="15.75" x14ac:dyDescent="0.25">
      <c r="A448" s="890"/>
    </row>
    <row r="449" spans="1:1" ht="15.75" x14ac:dyDescent="0.25">
      <c r="A449" s="890"/>
    </row>
    <row r="450" spans="1:1" ht="15.75" x14ac:dyDescent="0.25">
      <c r="A450" s="890"/>
    </row>
    <row r="451" spans="1:1" ht="15.75" x14ac:dyDescent="0.25">
      <c r="A451" s="890"/>
    </row>
    <row r="452" spans="1:1" ht="15.75" x14ac:dyDescent="0.25">
      <c r="A452" s="890"/>
    </row>
    <row r="453" spans="1:1" ht="15.75" x14ac:dyDescent="0.25">
      <c r="A453" s="890"/>
    </row>
    <row r="454" spans="1:1" ht="15.75" x14ac:dyDescent="0.25">
      <c r="A454" s="890"/>
    </row>
    <row r="455" spans="1:1" ht="15.75" x14ac:dyDescent="0.25">
      <c r="A455" s="890"/>
    </row>
    <row r="456" spans="1:1" ht="15.75" x14ac:dyDescent="0.25">
      <c r="A456" s="890"/>
    </row>
    <row r="457" spans="1:1" ht="15.75" x14ac:dyDescent="0.25">
      <c r="A457" s="890"/>
    </row>
    <row r="458" spans="1:1" ht="15.75" x14ac:dyDescent="0.25">
      <c r="A458" s="890"/>
    </row>
    <row r="459" spans="1:1" ht="15.75" x14ac:dyDescent="0.25">
      <c r="A459" s="890"/>
    </row>
    <row r="460" spans="1:1" ht="15.75" x14ac:dyDescent="0.25">
      <c r="A460" s="890"/>
    </row>
    <row r="461" spans="1:1" ht="15.75" x14ac:dyDescent="0.25">
      <c r="A461" s="890"/>
    </row>
    <row r="462" spans="1:1" ht="15.75" x14ac:dyDescent="0.25">
      <c r="A462" s="890"/>
    </row>
    <row r="463" spans="1:1" ht="15.75" x14ac:dyDescent="0.25">
      <c r="A463" s="890"/>
    </row>
    <row r="464" spans="1:1" ht="15.75" x14ac:dyDescent="0.25">
      <c r="A464" s="890"/>
    </row>
    <row r="465" spans="1:1" ht="15.75" x14ac:dyDescent="0.25">
      <c r="A465" s="890"/>
    </row>
    <row r="466" spans="1:1" ht="15.75" x14ac:dyDescent="0.25">
      <c r="A466" s="890"/>
    </row>
    <row r="467" spans="1:1" ht="15.75" x14ac:dyDescent="0.25">
      <c r="A467" s="890"/>
    </row>
    <row r="468" spans="1:1" ht="15.75" x14ac:dyDescent="0.25">
      <c r="A468" s="890"/>
    </row>
    <row r="469" spans="1:1" ht="15.75" x14ac:dyDescent="0.25">
      <c r="A469" s="890"/>
    </row>
    <row r="470" spans="1:1" ht="15.75" x14ac:dyDescent="0.25">
      <c r="A470" s="890"/>
    </row>
    <row r="471" spans="1:1" ht="15.75" x14ac:dyDescent="0.25">
      <c r="A471" s="890"/>
    </row>
    <row r="472" spans="1:1" ht="15.75" x14ac:dyDescent="0.25">
      <c r="A472" s="890"/>
    </row>
    <row r="473" spans="1:1" ht="15.75" x14ac:dyDescent="0.25">
      <c r="A473" s="890"/>
    </row>
    <row r="474" spans="1:1" ht="15.75" x14ac:dyDescent="0.25">
      <c r="A474" s="890"/>
    </row>
    <row r="475" spans="1:1" ht="15.75" x14ac:dyDescent="0.25">
      <c r="A475" s="890"/>
    </row>
    <row r="476" spans="1:1" ht="15.75" x14ac:dyDescent="0.25">
      <c r="A476" s="890"/>
    </row>
    <row r="477" spans="1:1" ht="15.75" x14ac:dyDescent="0.25">
      <c r="A477" s="890"/>
    </row>
    <row r="478" spans="1:1" ht="15.75" x14ac:dyDescent="0.25">
      <c r="A478" s="890"/>
    </row>
    <row r="479" spans="1:1" ht="15.75" x14ac:dyDescent="0.25">
      <c r="A479" s="890"/>
    </row>
    <row r="480" spans="1:1" ht="15.75" x14ac:dyDescent="0.25">
      <c r="A480" s="890"/>
    </row>
    <row r="481" spans="1:1" ht="15.75" x14ac:dyDescent="0.25">
      <c r="A481" s="890"/>
    </row>
    <row r="482" spans="1:1" ht="15.75" x14ac:dyDescent="0.25">
      <c r="A482" s="890"/>
    </row>
    <row r="483" spans="1:1" ht="15.75" x14ac:dyDescent="0.25">
      <c r="A483" s="890"/>
    </row>
    <row r="484" spans="1:1" ht="15.75" x14ac:dyDescent="0.25">
      <c r="A484" s="890"/>
    </row>
    <row r="485" spans="1:1" ht="15.75" x14ac:dyDescent="0.25">
      <c r="A485" s="890"/>
    </row>
    <row r="486" spans="1:1" ht="15.75" x14ac:dyDescent="0.25">
      <c r="A486" s="890"/>
    </row>
    <row r="487" spans="1:1" ht="15.75" x14ac:dyDescent="0.25">
      <c r="A487" s="890"/>
    </row>
    <row r="488" spans="1:1" ht="15.75" x14ac:dyDescent="0.25">
      <c r="A488" s="890"/>
    </row>
    <row r="489" spans="1:1" ht="15.75" x14ac:dyDescent="0.25">
      <c r="A489" s="890"/>
    </row>
    <row r="490" spans="1:1" ht="15.75" x14ac:dyDescent="0.25">
      <c r="A490" s="890"/>
    </row>
    <row r="491" spans="1:1" ht="15.75" x14ac:dyDescent="0.25">
      <c r="A491" s="890"/>
    </row>
    <row r="492" spans="1:1" ht="15.75" x14ac:dyDescent="0.25">
      <c r="A492" s="890"/>
    </row>
    <row r="493" spans="1:1" ht="15.75" x14ac:dyDescent="0.25">
      <c r="A493" s="890"/>
    </row>
    <row r="494" spans="1:1" ht="15.75" x14ac:dyDescent="0.25">
      <c r="A494" s="890"/>
    </row>
    <row r="495" spans="1:1" ht="15.75" x14ac:dyDescent="0.25">
      <c r="A495" s="890"/>
    </row>
    <row r="496" spans="1:1" ht="15.75" x14ac:dyDescent="0.25">
      <c r="A496" s="890"/>
    </row>
    <row r="497" spans="1:1" ht="15.75" x14ac:dyDescent="0.25">
      <c r="A497" s="890"/>
    </row>
    <row r="498" spans="1:1" ht="15.75" x14ac:dyDescent="0.25">
      <c r="A498" s="890"/>
    </row>
    <row r="499" spans="1:1" ht="15.75" x14ac:dyDescent="0.25">
      <c r="A499" s="890"/>
    </row>
    <row r="500" spans="1:1" ht="15.75" x14ac:dyDescent="0.25">
      <c r="A500" s="890"/>
    </row>
    <row r="501" spans="1:1" ht="15.75" x14ac:dyDescent="0.25">
      <c r="A501" s="890"/>
    </row>
    <row r="502" spans="1:1" ht="15.75" x14ac:dyDescent="0.25">
      <c r="A502" s="890"/>
    </row>
    <row r="503" spans="1:1" ht="15.75" x14ac:dyDescent="0.25">
      <c r="A503" s="890"/>
    </row>
    <row r="504" spans="1:1" ht="15.75" x14ac:dyDescent="0.25">
      <c r="A504" s="890"/>
    </row>
    <row r="505" spans="1:1" ht="15.75" x14ac:dyDescent="0.25">
      <c r="A505" s="890"/>
    </row>
    <row r="506" spans="1:1" ht="15.75" x14ac:dyDescent="0.25">
      <c r="A506" s="890"/>
    </row>
    <row r="507" spans="1:1" ht="15.75" x14ac:dyDescent="0.25">
      <c r="A507" s="890"/>
    </row>
    <row r="508" spans="1:1" ht="15.75" x14ac:dyDescent="0.25">
      <c r="A508" s="890"/>
    </row>
    <row r="509" spans="1:1" ht="15.75" x14ac:dyDescent="0.25">
      <c r="A509" s="890"/>
    </row>
    <row r="510" spans="1:1" ht="15.75" x14ac:dyDescent="0.25">
      <c r="A510" s="890"/>
    </row>
    <row r="511" spans="1:1" ht="15.75" x14ac:dyDescent="0.25">
      <c r="A511" s="890"/>
    </row>
    <row r="512" spans="1:1" ht="15.75" x14ac:dyDescent="0.25">
      <c r="A512" s="890"/>
    </row>
    <row r="513" spans="1:1" ht="15.75" x14ac:dyDescent="0.25">
      <c r="A513" s="890"/>
    </row>
    <row r="514" spans="1:1" ht="15.75" x14ac:dyDescent="0.25">
      <c r="A514" s="890"/>
    </row>
    <row r="515" spans="1:1" ht="15.75" x14ac:dyDescent="0.25">
      <c r="A515" s="890"/>
    </row>
    <row r="516" spans="1:1" ht="15.75" x14ac:dyDescent="0.25">
      <c r="A516" s="890"/>
    </row>
    <row r="517" spans="1:1" ht="15.75" x14ac:dyDescent="0.25">
      <c r="A517" s="890"/>
    </row>
    <row r="518" spans="1:1" ht="15.75" x14ac:dyDescent="0.25">
      <c r="A518" s="890"/>
    </row>
    <row r="519" spans="1:1" ht="15.75" x14ac:dyDescent="0.25">
      <c r="A519" s="890"/>
    </row>
    <row r="520" spans="1:1" ht="15.75" x14ac:dyDescent="0.25">
      <c r="A520" s="890"/>
    </row>
    <row r="521" spans="1:1" ht="15.75" x14ac:dyDescent="0.25">
      <c r="A521" s="890"/>
    </row>
    <row r="522" spans="1:1" ht="15.75" x14ac:dyDescent="0.25">
      <c r="A522" s="890"/>
    </row>
    <row r="523" spans="1:1" ht="15.75" x14ac:dyDescent="0.25">
      <c r="A523" s="890"/>
    </row>
    <row r="524" spans="1:1" ht="15.75" x14ac:dyDescent="0.25">
      <c r="A524" s="890"/>
    </row>
    <row r="525" spans="1:1" ht="15.75" x14ac:dyDescent="0.25">
      <c r="A525" s="890"/>
    </row>
    <row r="526" spans="1:1" ht="15.75" x14ac:dyDescent="0.25">
      <c r="A526" s="890"/>
    </row>
    <row r="527" spans="1:1" ht="15.75" x14ac:dyDescent="0.25">
      <c r="A527" s="890"/>
    </row>
    <row r="528" spans="1:1" ht="15.75" x14ac:dyDescent="0.25">
      <c r="A528" s="890"/>
    </row>
    <row r="529" spans="1:1" ht="15.75" x14ac:dyDescent="0.25">
      <c r="A529" s="890"/>
    </row>
    <row r="530" spans="1:1" ht="15.75" x14ac:dyDescent="0.25">
      <c r="A530" s="890"/>
    </row>
    <row r="531" spans="1:1" ht="15.75" x14ac:dyDescent="0.25">
      <c r="A531" s="890"/>
    </row>
    <row r="532" spans="1:1" ht="15.75" x14ac:dyDescent="0.25">
      <c r="A532" s="890"/>
    </row>
    <row r="533" spans="1:1" ht="15.75" x14ac:dyDescent="0.25">
      <c r="A533" s="890"/>
    </row>
    <row r="534" spans="1:1" ht="15.75" x14ac:dyDescent="0.25">
      <c r="A534" s="890"/>
    </row>
    <row r="535" spans="1:1" ht="15.75" x14ac:dyDescent="0.25">
      <c r="A535" s="890"/>
    </row>
    <row r="536" spans="1:1" ht="15.75" x14ac:dyDescent="0.25">
      <c r="A536" s="890"/>
    </row>
    <row r="537" spans="1:1" ht="15.75" x14ac:dyDescent="0.25">
      <c r="A537" s="890"/>
    </row>
    <row r="538" spans="1:1" ht="15.75" x14ac:dyDescent="0.25">
      <c r="A538" s="890"/>
    </row>
    <row r="539" spans="1:1" ht="15.75" x14ac:dyDescent="0.25">
      <c r="A539" s="890"/>
    </row>
    <row r="540" spans="1:1" ht="15.75" x14ac:dyDescent="0.25">
      <c r="A540" s="890"/>
    </row>
    <row r="541" spans="1:1" ht="15.75" x14ac:dyDescent="0.25">
      <c r="A541" s="890"/>
    </row>
    <row r="542" spans="1:1" ht="15.75" x14ac:dyDescent="0.25">
      <c r="A542" s="890"/>
    </row>
    <row r="543" spans="1:1" ht="15.75" x14ac:dyDescent="0.25">
      <c r="A543" s="890"/>
    </row>
    <row r="544" spans="1:1" ht="15.75" x14ac:dyDescent="0.25">
      <c r="A544" s="890"/>
    </row>
    <row r="545" spans="1:1" ht="15.75" x14ac:dyDescent="0.25">
      <c r="A545" s="890"/>
    </row>
    <row r="546" spans="1:1" ht="15.75" x14ac:dyDescent="0.25">
      <c r="A546" s="890"/>
    </row>
    <row r="547" spans="1:1" ht="15.75" x14ac:dyDescent="0.25">
      <c r="A547" s="890"/>
    </row>
    <row r="548" spans="1:1" ht="15.75" x14ac:dyDescent="0.25">
      <c r="A548" s="890"/>
    </row>
    <row r="549" spans="1:1" ht="15.75" x14ac:dyDescent="0.25">
      <c r="A549" s="890"/>
    </row>
    <row r="550" spans="1:1" ht="15.75" x14ac:dyDescent="0.25">
      <c r="A550" s="890"/>
    </row>
    <row r="551" spans="1:1" ht="15.75" x14ac:dyDescent="0.25">
      <c r="A551" s="890"/>
    </row>
    <row r="552" spans="1:1" ht="15.75" x14ac:dyDescent="0.25">
      <c r="A552" s="890"/>
    </row>
    <row r="553" spans="1:1" ht="15.75" x14ac:dyDescent="0.25">
      <c r="A553" s="890"/>
    </row>
    <row r="554" spans="1:1" ht="15.75" x14ac:dyDescent="0.25">
      <c r="A554" s="890"/>
    </row>
    <row r="555" spans="1:1" ht="15.75" x14ac:dyDescent="0.25">
      <c r="A555" s="890"/>
    </row>
    <row r="556" spans="1:1" ht="15.75" x14ac:dyDescent="0.25">
      <c r="A556" s="890"/>
    </row>
    <row r="557" spans="1:1" ht="15.75" x14ac:dyDescent="0.25">
      <c r="A557" s="890"/>
    </row>
    <row r="558" spans="1:1" ht="15.75" x14ac:dyDescent="0.25">
      <c r="A558" s="890"/>
    </row>
    <row r="559" spans="1:1" ht="15.75" x14ac:dyDescent="0.25">
      <c r="A559" s="890"/>
    </row>
    <row r="560" spans="1:1" ht="15.75" x14ac:dyDescent="0.25">
      <c r="A560" s="890"/>
    </row>
    <row r="561" spans="1:1" ht="15.75" x14ac:dyDescent="0.25">
      <c r="A561" s="890"/>
    </row>
    <row r="562" spans="1:1" ht="15.75" x14ac:dyDescent="0.25">
      <c r="A562" s="890"/>
    </row>
    <row r="563" spans="1:1" ht="15.75" x14ac:dyDescent="0.25">
      <c r="A563" s="890"/>
    </row>
    <row r="564" spans="1:1" ht="15.75" x14ac:dyDescent="0.25">
      <c r="A564" s="890"/>
    </row>
    <row r="565" spans="1:1" ht="15.75" x14ac:dyDescent="0.25">
      <c r="A565" s="890"/>
    </row>
    <row r="566" spans="1:1" ht="15.75" x14ac:dyDescent="0.25">
      <c r="A566" s="890"/>
    </row>
    <row r="567" spans="1:1" ht="15.75" x14ac:dyDescent="0.25">
      <c r="A567" s="890"/>
    </row>
    <row r="568" spans="1:1" ht="15.75" x14ac:dyDescent="0.25">
      <c r="A568" s="890"/>
    </row>
    <row r="569" spans="1:1" ht="15.75" x14ac:dyDescent="0.25">
      <c r="A569" s="890"/>
    </row>
    <row r="570" spans="1:1" ht="15.75" x14ac:dyDescent="0.25">
      <c r="A570" s="890"/>
    </row>
    <row r="571" spans="1:1" ht="15.75" x14ac:dyDescent="0.25">
      <c r="A571" s="890"/>
    </row>
    <row r="572" spans="1:1" ht="15.75" x14ac:dyDescent="0.25">
      <c r="A572" s="890"/>
    </row>
    <row r="573" spans="1:1" ht="15.75" x14ac:dyDescent="0.25">
      <c r="A573" s="890"/>
    </row>
    <row r="574" spans="1:1" ht="15.75" x14ac:dyDescent="0.25">
      <c r="A574" s="890"/>
    </row>
    <row r="575" spans="1:1" ht="15.75" x14ac:dyDescent="0.25">
      <c r="A575" s="890"/>
    </row>
    <row r="576" spans="1:1" ht="15.75" x14ac:dyDescent="0.25">
      <c r="A576" s="890"/>
    </row>
    <row r="577" spans="1:1" ht="15.75" x14ac:dyDescent="0.25">
      <c r="A577" s="890"/>
    </row>
    <row r="578" spans="1:1" ht="15.75" x14ac:dyDescent="0.25">
      <c r="A578" s="890"/>
    </row>
    <row r="579" spans="1:1" ht="15.75" x14ac:dyDescent="0.25">
      <c r="A579" s="890"/>
    </row>
    <row r="580" spans="1:1" ht="15.75" x14ac:dyDescent="0.25">
      <c r="A580" s="890"/>
    </row>
    <row r="581" spans="1:1" ht="15.75" x14ac:dyDescent="0.25">
      <c r="A581" s="890"/>
    </row>
    <row r="582" spans="1:1" ht="15.75" x14ac:dyDescent="0.25">
      <c r="A582" s="890"/>
    </row>
    <row r="583" spans="1:1" ht="15.75" x14ac:dyDescent="0.25">
      <c r="A583" s="890"/>
    </row>
    <row r="584" spans="1:1" ht="15.75" x14ac:dyDescent="0.25">
      <c r="A584" s="890"/>
    </row>
    <row r="585" spans="1:1" ht="15.75" x14ac:dyDescent="0.25">
      <c r="A585" s="890"/>
    </row>
    <row r="586" spans="1:1" ht="15.75" x14ac:dyDescent="0.25">
      <c r="A586" s="890"/>
    </row>
    <row r="587" spans="1:1" ht="15.75" x14ac:dyDescent="0.25">
      <c r="A587" s="890"/>
    </row>
    <row r="588" spans="1:1" ht="15.75" x14ac:dyDescent="0.25">
      <c r="A588" s="890"/>
    </row>
    <row r="589" spans="1:1" ht="15.75" x14ac:dyDescent="0.25">
      <c r="A589" s="890"/>
    </row>
    <row r="590" spans="1:1" ht="15.75" x14ac:dyDescent="0.25">
      <c r="A590" s="890"/>
    </row>
    <row r="591" spans="1:1" ht="15.75" x14ac:dyDescent="0.25">
      <c r="A591" s="890"/>
    </row>
    <row r="592" spans="1:1" ht="15.75" x14ac:dyDescent="0.25">
      <c r="A592" s="890"/>
    </row>
    <row r="593" spans="1:1" ht="15.75" x14ac:dyDescent="0.25">
      <c r="A593" s="890"/>
    </row>
    <row r="594" spans="1:1" ht="15.75" x14ac:dyDescent="0.25">
      <c r="A594" s="890"/>
    </row>
    <row r="595" spans="1:1" ht="15.75" x14ac:dyDescent="0.25">
      <c r="A595" s="890"/>
    </row>
    <row r="596" spans="1:1" ht="15.75" x14ac:dyDescent="0.25">
      <c r="A596" s="890"/>
    </row>
    <row r="597" spans="1:1" ht="15.75" x14ac:dyDescent="0.25">
      <c r="A597" s="890"/>
    </row>
    <row r="598" spans="1:1" ht="15.75" x14ac:dyDescent="0.25">
      <c r="A598" s="890"/>
    </row>
    <row r="599" spans="1:1" ht="15.75" x14ac:dyDescent="0.25">
      <c r="A599" s="890"/>
    </row>
    <row r="600" spans="1:1" ht="15.75" x14ac:dyDescent="0.25">
      <c r="A600" s="890"/>
    </row>
    <row r="601" spans="1:1" ht="15.75" x14ac:dyDescent="0.25">
      <c r="A601" s="890"/>
    </row>
    <row r="602" spans="1:1" ht="15.75" x14ac:dyDescent="0.25">
      <c r="A602" s="890"/>
    </row>
    <row r="603" spans="1:1" ht="15.75" x14ac:dyDescent="0.25">
      <c r="A603" s="890"/>
    </row>
    <row r="604" spans="1:1" ht="15.75" x14ac:dyDescent="0.25">
      <c r="A604" s="890"/>
    </row>
    <row r="605" spans="1:1" ht="15.75" x14ac:dyDescent="0.25">
      <c r="A605" s="890"/>
    </row>
    <row r="606" spans="1:1" ht="15.75" x14ac:dyDescent="0.25">
      <c r="A606" s="890"/>
    </row>
    <row r="607" spans="1:1" ht="15.75" x14ac:dyDescent="0.25">
      <c r="A607" s="890"/>
    </row>
    <row r="608" spans="1:1" ht="15.75" x14ac:dyDescent="0.25">
      <c r="A608" s="890"/>
    </row>
    <row r="609" spans="1:1" ht="15.75" x14ac:dyDescent="0.25">
      <c r="A609" s="890"/>
    </row>
    <row r="610" spans="1:1" ht="15.75" x14ac:dyDescent="0.25">
      <c r="A610" s="890"/>
    </row>
    <row r="611" spans="1:1" ht="15.75" x14ac:dyDescent="0.25">
      <c r="A611" s="890"/>
    </row>
    <row r="612" spans="1:1" ht="15.75" x14ac:dyDescent="0.25">
      <c r="A612" s="890"/>
    </row>
    <row r="613" spans="1:1" ht="15.75" x14ac:dyDescent="0.25">
      <c r="A613" s="890"/>
    </row>
    <row r="614" spans="1:1" ht="15.75" x14ac:dyDescent="0.25">
      <c r="A614" s="890"/>
    </row>
    <row r="615" spans="1:1" ht="15.75" x14ac:dyDescent="0.25">
      <c r="A615" s="890"/>
    </row>
    <row r="616" spans="1:1" ht="15.75" x14ac:dyDescent="0.25">
      <c r="A616" s="890"/>
    </row>
    <row r="617" spans="1:1" ht="15.75" x14ac:dyDescent="0.25">
      <c r="A617" s="890"/>
    </row>
    <row r="618" spans="1:1" ht="15.75" x14ac:dyDescent="0.25">
      <c r="A618" s="890"/>
    </row>
    <row r="619" spans="1:1" ht="15.75" x14ac:dyDescent="0.25">
      <c r="A619" s="890"/>
    </row>
    <row r="620" spans="1:1" ht="15.75" x14ac:dyDescent="0.25">
      <c r="A620" s="890"/>
    </row>
    <row r="621" spans="1:1" ht="15.75" x14ac:dyDescent="0.25">
      <c r="A621" s="890"/>
    </row>
    <row r="622" spans="1:1" ht="15.75" x14ac:dyDescent="0.25">
      <c r="A622" s="890"/>
    </row>
    <row r="623" spans="1:1" ht="15.75" x14ac:dyDescent="0.25">
      <c r="A623" s="890"/>
    </row>
    <row r="624" spans="1:1" ht="15.75" x14ac:dyDescent="0.25">
      <c r="A624" s="890"/>
    </row>
    <row r="625" spans="1:1" ht="15.75" x14ac:dyDescent="0.25">
      <c r="A625" s="890"/>
    </row>
    <row r="626" spans="1:1" ht="15.75" x14ac:dyDescent="0.25">
      <c r="A626" s="890"/>
    </row>
    <row r="627" spans="1:1" ht="15.75" x14ac:dyDescent="0.25">
      <c r="A627" s="890"/>
    </row>
    <row r="628" spans="1:1" ht="15.75" x14ac:dyDescent="0.25">
      <c r="A628" s="890"/>
    </row>
    <row r="629" spans="1:1" ht="15.75" x14ac:dyDescent="0.25">
      <c r="A629" s="890"/>
    </row>
    <row r="630" spans="1:1" ht="15.75" x14ac:dyDescent="0.25">
      <c r="A630" s="890"/>
    </row>
    <row r="631" spans="1:1" ht="15.75" x14ac:dyDescent="0.25">
      <c r="A631" s="890"/>
    </row>
    <row r="632" spans="1:1" ht="15.75" x14ac:dyDescent="0.25">
      <c r="A632" s="890"/>
    </row>
    <row r="633" spans="1:1" ht="15.75" x14ac:dyDescent="0.25">
      <c r="A633" s="890"/>
    </row>
    <row r="634" spans="1:1" ht="15.75" x14ac:dyDescent="0.25">
      <c r="A634" s="890"/>
    </row>
    <row r="635" spans="1:1" ht="15.75" x14ac:dyDescent="0.25">
      <c r="A635" s="890"/>
    </row>
    <row r="636" spans="1:1" ht="15.75" x14ac:dyDescent="0.25">
      <c r="A636" s="890"/>
    </row>
    <row r="637" spans="1:1" ht="15.75" x14ac:dyDescent="0.25">
      <c r="A637" s="890"/>
    </row>
    <row r="638" spans="1:1" ht="15.75" x14ac:dyDescent="0.25">
      <c r="A638" s="890"/>
    </row>
    <row r="639" spans="1:1" ht="15.75" x14ac:dyDescent="0.25">
      <c r="A639" s="890"/>
    </row>
    <row r="640" spans="1:1" ht="15.75" x14ac:dyDescent="0.25">
      <c r="A640" s="890"/>
    </row>
    <row r="641" spans="1:1" ht="15.75" x14ac:dyDescent="0.25">
      <c r="A641" s="890"/>
    </row>
    <row r="642" spans="1:1" ht="15.75" x14ac:dyDescent="0.25">
      <c r="A642" s="890"/>
    </row>
    <row r="643" spans="1:1" ht="15.75" x14ac:dyDescent="0.25">
      <c r="A643" s="890"/>
    </row>
    <row r="644" spans="1:1" ht="15.75" x14ac:dyDescent="0.25">
      <c r="A644" s="890"/>
    </row>
    <row r="645" spans="1:1" ht="15.75" x14ac:dyDescent="0.25">
      <c r="A645" s="890"/>
    </row>
    <row r="646" spans="1:1" ht="15.75" x14ac:dyDescent="0.25">
      <c r="A646" s="890"/>
    </row>
    <row r="647" spans="1:1" ht="15.75" x14ac:dyDescent="0.25">
      <c r="A647" s="890"/>
    </row>
    <row r="648" spans="1:1" ht="15.75" x14ac:dyDescent="0.25">
      <c r="A648" s="890"/>
    </row>
    <row r="649" spans="1:1" ht="15.75" x14ac:dyDescent="0.25">
      <c r="A649" s="890"/>
    </row>
    <row r="650" spans="1:1" ht="15.75" x14ac:dyDescent="0.25">
      <c r="A650" s="890"/>
    </row>
    <row r="651" spans="1:1" ht="15.75" x14ac:dyDescent="0.25">
      <c r="A651" s="890"/>
    </row>
    <row r="652" spans="1:1" ht="15.75" x14ac:dyDescent="0.25">
      <c r="A652" s="890"/>
    </row>
    <row r="653" spans="1:1" ht="15.75" x14ac:dyDescent="0.25">
      <c r="A653" s="890"/>
    </row>
    <row r="654" spans="1:1" ht="15.75" x14ac:dyDescent="0.25">
      <c r="A654" s="890"/>
    </row>
    <row r="655" spans="1:1" ht="15.75" x14ac:dyDescent="0.25">
      <c r="A655" s="890"/>
    </row>
    <row r="656" spans="1:1" ht="15.75" x14ac:dyDescent="0.25">
      <c r="A656" s="890"/>
    </row>
    <row r="657" spans="1:1" ht="15.75" x14ac:dyDescent="0.25">
      <c r="A657" s="890"/>
    </row>
    <row r="658" spans="1:1" ht="15.75" x14ac:dyDescent="0.25">
      <c r="A658" s="890"/>
    </row>
    <row r="659" spans="1:1" ht="15.75" x14ac:dyDescent="0.25">
      <c r="A659" s="890"/>
    </row>
    <row r="660" spans="1:1" ht="15.75" x14ac:dyDescent="0.25">
      <c r="A660" s="890"/>
    </row>
    <row r="661" spans="1:1" ht="15.75" x14ac:dyDescent="0.25">
      <c r="A661" s="890"/>
    </row>
    <row r="662" spans="1:1" ht="15.75" x14ac:dyDescent="0.25">
      <c r="A662" s="890"/>
    </row>
    <row r="663" spans="1:1" ht="15.75" x14ac:dyDescent="0.25">
      <c r="A663" s="890"/>
    </row>
    <row r="664" spans="1:1" ht="15.75" x14ac:dyDescent="0.25">
      <c r="A664" s="890"/>
    </row>
    <row r="665" spans="1:1" ht="15.75" x14ac:dyDescent="0.25">
      <c r="A665" s="890"/>
    </row>
    <row r="666" spans="1:1" ht="15.75" x14ac:dyDescent="0.25">
      <c r="A666" s="890"/>
    </row>
    <row r="667" spans="1:1" ht="15.75" x14ac:dyDescent="0.25">
      <c r="A667" s="890"/>
    </row>
    <row r="668" spans="1:1" ht="15.75" x14ac:dyDescent="0.25">
      <c r="A668" s="890"/>
    </row>
    <row r="669" spans="1:1" ht="15.75" x14ac:dyDescent="0.25">
      <c r="A669" s="890"/>
    </row>
    <row r="670" spans="1:1" ht="15.75" x14ac:dyDescent="0.25">
      <c r="A670" s="890"/>
    </row>
    <row r="671" spans="1:1" ht="15.75" x14ac:dyDescent="0.25">
      <c r="A671" s="890"/>
    </row>
    <row r="672" spans="1:1" ht="15.75" x14ac:dyDescent="0.25">
      <c r="A672" s="890"/>
    </row>
    <row r="673" spans="1:1" ht="15.75" x14ac:dyDescent="0.25">
      <c r="A673" s="890"/>
    </row>
    <row r="674" spans="1:1" ht="15.75" x14ac:dyDescent="0.25">
      <c r="A674" s="890"/>
    </row>
    <row r="675" spans="1:1" ht="15.75" x14ac:dyDescent="0.25">
      <c r="A675" s="890"/>
    </row>
    <row r="676" spans="1:1" ht="15.75" x14ac:dyDescent="0.25">
      <c r="A676" s="890"/>
    </row>
    <row r="677" spans="1:1" ht="15.75" x14ac:dyDescent="0.25">
      <c r="A677" s="890"/>
    </row>
    <row r="678" spans="1:1" ht="15.75" x14ac:dyDescent="0.25">
      <c r="A678" s="890"/>
    </row>
    <row r="679" spans="1:1" ht="15.75" x14ac:dyDescent="0.25">
      <c r="A679" s="890"/>
    </row>
    <row r="680" spans="1:1" ht="15.75" x14ac:dyDescent="0.25">
      <c r="A680" s="890"/>
    </row>
    <row r="681" spans="1:1" ht="15.75" x14ac:dyDescent="0.25">
      <c r="A681" s="890"/>
    </row>
    <row r="682" spans="1:1" ht="15.75" x14ac:dyDescent="0.25">
      <c r="A682" s="890"/>
    </row>
    <row r="683" spans="1:1" ht="15.75" x14ac:dyDescent="0.25">
      <c r="A683" s="890"/>
    </row>
    <row r="684" spans="1:1" ht="15.75" x14ac:dyDescent="0.25">
      <c r="A684" s="890"/>
    </row>
    <row r="685" spans="1:1" ht="15.75" x14ac:dyDescent="0.25">
      <c r="A685" s="890"/>
    </row>
    <row r="686" spans="1:1" ht="15.75" x14ac:dyDescent="0.25">
      <c r="A686" s="890"/>
    </row>
    <row r="687" spans="1:1" ht="15.75" x14ac:dyDescent="0.25">
      <c r="A687" s="890"/>
    </row>
    <row r="688" spans="1:1" ht="15.75" x14ac:dyDescent="0.25">
      <c r="A688" s="890"/>
    </row>
    <row r="689" spans="1:1" ht="15.75" x14ac:dyDescent="0.25">
      <c r="A689" s="890"/>
    </row>
    <row r="690" spans="1:1" ht="15.75" x14ac:dyDescent="0.25">
      <c r="A690" s="890"/>
    </row>
    <row r="691" spans="1:1" ht="15.75" x14ac:dyDescent="0.25">
      <c r="A691" s="890"/>
    </row>
    <row r="692" spans="1:1" ht="15.75" x14ac:dyDescent="0.25">
      <c r="A692" s="890"/>
    </row>
    <row r="693" spans="1:1" ht="15.75" x14ac:dyDescent="0.25">
      <c r="A693" s="890"/>
    </row>
    <row r="694" spans="1:1" ht="15.75" x14ac:dyDescent="0.25">
      <c r="A694" s="890"/>
    </row>
    <row r="695" spans="1:1" ht="15.75" x14ac:dyDescent="0.25">
      <c r="A695" s="890"/>
    </row>
    <row r="696" spans="1:1" ht="15.75" x14ac:dyDescent="0.25">
      <c r="A696" s="890"/>
    </row>
    <row r="697" spans="1:1" ht="15.75" x14ac:dyDescent="0.25">
      <c r="A697" s="890"/>
    </row>
    <row r="698" spans="1:1" ht="15.75" x14ac:dyDescent="0.25">
      <c r="A698" s="890"/>
    </row>
    <row r="699" spans="1:1" ht="15.75" x14ac:dyDescent="0.25">
      <c r="A699" s="890"/>
    </row>
    <row r="700" spans="1:1" ht="15.75" x14ac:dyDescent="0.25">
      <c r="A700" s="890"/>
    </row>
    <row r="701" spans="1:1" ht="15.75" x14ac:dyDescent="0.25">
      <c r="A701" s="890"/>
    </row>
    <row r="702" spans="1:1" ht="15.75" x14ac:dyDescent="0.25">
      <c r="A702" s="890"/>
    </row>
    <row r="703" spans="1:1" ht="15.75" x14ac:dyDescent="0.25">
      <c r="A703" s="890"/>
    </row>
    <row r="704" spans="1:1" ht="15.75" x14ac:dyDescent="0.25">
      <c r="A704" s="890"/>
    </row>
    <row r="705" spans="1:1" ht="15.75" x14ac:dyDescent="0.25">
      <c r="A705" s="890"/>
    </row>
    <row r="706" spans="1:1" ht="15.75" x14ac:dyDescent="0.25">
      <c r="A706" s="890"/>
    </row>
    <row r="707" spans="1:1" ht="15.75" x14ac:dyDescent="0.25">
      <c r="A707" s="890"/>
    </row>
    <row r="708" spans="1:1" ht="15.75" x14ac:dyDescent="0.25">
      <c r="A708" s="890"/>
    </row>
    <row r="709" spans="1:1" ht="15.75" x14ac:dyDescent="0.25">
      <c r="A709" s="890"/>
    </row>
    <row r="710" spans="1:1" ht="15.75" x14ac:dyDescent="0.25">
      <c r="A710" s="890"/>
    </row>
    <row r="711" spans="1:1" ht="15.75" x14ac:dyDescent="0.25">
      <c r="A711" s="890"/>
    </row>
    <row r="712" spans="1:1" ht="15.75" x14ac:dyDescent="0.25">
      <c r="A712" s="890"/>
    </row>
    <row r="713" spans="1:1" ht="15.75" x14ac:dyDescent="0.25">
      <c r="A713" s="890"/>
    </row>
    <row r="714" spans="1:1" ht="15.75" x14ac:dyDescent="0.25">
      <c r="A714" s="890"/>
    </row>
    <row r="715" spans="1:1" ht="15.75" x14ac:dyDescent="0.25">
      <c r="A715" s="890"/>
    </row>
    <row r="716" spans="1:1" ht="15.75" x14ac:dyDescent="0.25">
      <c r="A716" s="890"/>
    </row>
    <row r="717" spans="1:1" ht="15.75" x14ac:dyDescent="0.25">
      <c r="A717" s="890"/>
    </row>
    <row r="718" spans="1:1" ht="15.75" x14ac:dyDescent="0.25">
      <c r="A718" s="890"/>
    </row>
    <row r="719" spans="1:1" ht="15.75" x14ac:dyDescent="0.25">
      <c r="A719" s="890"/>
    </row>
    <row r="720" spans="1:1" ht="15.75" x14ac:dyDescent="0.25">
      <c r="A720" s="890"/>
    </row>
    <row r="721" spans="1:1" ht="15.75" x14ac:dyDescent="0.25">
      <c r="A721" s="890"/>
    </row>
    <row r="722" spans="1:1" ht="15.75" x14ac:dyDescent="0.25">
      <c r="A722" s="890"/>
    </row>
    <row r="723" spans="1:1" ht="15.75" x14ac:dyDescent="0.25">
      <c r="A723" s="890"/>
    </row>
    <row r="724" spans="1:1" ht="15.75" x14ac:dyDescent="0.25">
      <c r="A724" s="890"/>
    </row>
    <row r="725" spans="1:1" ht="15.75" x14ac:dyDescent="0.25">
      <c r="A725" s="890"/>
    </row>
    <row r="726" spans="1:1" ht="15.75" x14ac:dyDescent="0.25">
      <c r="A726" s="890"/>
    </row>
    <row r="727" spans="1:1" ht="15.75" x14ac:dyDescent="0.25">
      <c r="A727" s="890"/>
    </row>
    <row r="728" spans="1:1" ht="15.75" x14ac:dyDescent="0.25">
      <c r="A728" s="890"/>
    </row>
    <row r="729" spans="1:1" ht="15.75" x14ac:dyDescent="0.25">
      <c r="A729" s="890"/>
    </row>
    <row r="730" spans="1:1" ht="15.75" x14ac:dyDescent="0.25">
      <c r="A730" s="890"/>
    </row>
    <row r="731" spans="1:1" ht="15.75" x14ac:dyDescent="0.25">
      <c r="A731" s="890"/>
    </row>
    <row r="732" spans="1:1" ht="15.75" x14ac:dyDescent="0.25">
      <c r="A732" s="890"/>
    </row>
    <row r="733" spans="1:1" ht="15.75" x14ac:dyDescent="0.25">
      <c r="A733" s="890"/>
    </row>
    <row r="734" spans="1:1" ht="15.75" x14ac:dyDescent="0.25">
      <c r="A734" s="890"/>
    </row>
    <row r="735" spans="1:1" ht="15.75" x14ac:dyDescent="0.25">
      <c r="A735" s="890"/>
    </row>
    <row r="736" spans="1:1" ht="15.75" x14ac:dyDescent="0.25">
      <c r="A736" s="890"/>
    </row>
    <row r="737" spans="1:1" ht="15.75" x14ac:dyDescent="0.25">
      <c r="A737" s="890"/>
    </row>
    <row r="738" spans="1:1" ht="15.75" x14ac:dyDescent="0.25">
      <c r="A738" s="890"/>
    </row>
    <row r="739" spans="1:1" ht="15.75" x14ac:dyDescent="0.25">
      <c r="A739" s="890"/>
    </row>
    <row r="740" spans="1:1" ht="15.75" x14ac:dyDescent="0.25">
      <c r="A740" s="890"/>
    </row>
    <row r="741" spans="1:1" ht="15.75" x14ac:dyDescent="0.25">
      <c r="A741" s="890"/>
    </row>
    <row r="742" spans="1:1" ht="15.75" x14ac:dyDescent="0.25">
      <c r="A742" s="890"/>
    </row>
    <row r="743" spans="1:1" ht="15.75" x14ac:dyDescent="0.25">
      <c r="A743" s="890"/>
    </row>
    <row r="744" spans="1:1" ht="15.75" x14ac:dyDescent="0.25">
      <c r="A744" s="890"/>
    </row>
    <row r="745" spans="1:1" ht="15.75" x14ac:dyDescent="0.25">
      <c r="A745" s="890"/>
    </row>
    <row r="746" spans="1:1" ht="15.75" x14ac:dyDescent="0.25">
      <c r="A746" s="890"/>
    </row>
    <row r="747" spans="1:1" ht="15.75" x14ac:dyDescent="0.25">
      <c r="A747" s="890"/>
    </row>
    <row r="748" spans="1:1" ht="15.75" x14ac:dyDescent="0.25">
      <c r="A748" s="890"/>
    </row>
    <row r="749" spans="1:1" ht="15.75" x14ac:dyDescent="0.25">
      <c r="A749" s="890"/>
    </row>
    <row r="750" spans="1:1" ht="15.75" x14ac:dyDescent="0.25">
      <c r="A750" s="890"/>
    </row>
    <row r="751" spans="1:1" ht="15.75" x14ac:dyDescent="0.25">
      <c r="A751" s="890"/>
    </row>
    <row r="752" spans="1:1" ht="15.75" x14ac:dyDescent="0.25">
      <c r="A752" s="890"/>
    </row>
    <row r="753" spans="1:1" ht="15.75" x14ac:dyDescent="0.25">
      <c r="A753" s="890"/>
    </row>
    <row r="754" spans="1:1" ht="15.75" x14ac:dyDescent="0.25">
      <c r="A754" s="890"/>
    </row>
    <row r="755" spans="1:1" ht="15.75" x14ac:dyDescent="0.25">
      <c r="A755" s="890"/>
    </row>
    <row r="756" spans="1:1" ht="15.75" x14ac:dyDescent="0.25">
      <c r="A756" s="890"/>
    </row>
    <row r="757" spans="1:1" ht="15.75" x14ac:dyDescent="0.25">
      <c r="A757" s="890"/>
    </row>
    <row r="758" spans="1:1" ht="15.75" x14ac:dyDescent="0.25">
      <c r="A758" s="890"/>
    </row>
    <row r="759" spans="1:1" ht="15.75" x14ac:dyDescent="0.25">
      <c r="A759" s="890"/>
    </row>
    <row r="760" spans="1:1" ht="15.75" x14ac:dyDescent="0.25">
      <c r="A760" s="890"/>
    </row>
    <row r="761" spans="1:1" ht="15.75" x14ac:dyDescent="0.25">
      <c r="A761" s="890"/>
    </row>
    <row r="762" spans="1:1" ht="15.75" x14ac:dyDescent="0.25">
      <c r="A762" s="890"/>
    </row>
    <row r="763" spans="1:1" ht="15.75" x14ac:dyDescent="0.25">
      <c r="A763" s="890"/>
    </row>
    <row r="764" spans="1:1" ht="15.75" x14ac:dyDescent="0.25">
      <c r="A764" s="890"/>
    </row>
    <row r="765" spans="1:1" ht="15.75" x14ac:dyDescent="0.25">
      <c r="A765" s="890"/>
    </row>
    <row r="766" spans="1:1" ht="15.75" x14ac:dyDescent="0.25">
      <c r="A766" s="890"/>
    </row>
    <row r="767" spans="1:1" ht="15.75" x14ac:dyDescent="0.25">
      <c r="A767" s="890"/>
    </row>
    <row r="768" spans="1:1" ht="15.75" x14ac:dyDescent="0.25">
      <c r="A768" s="890"/>
    </row>
    <row r="769" spans="1:1" ht="15.75" x14ac:dyDescent="0.25">
      <c r="A769" s="890"/>
    </row>
    <row r="770" spans="1:1" ht="15.75" x14ac:dyDescent="0.25">
      <c r="A770" s="890"/>
    </row>
    <row r="771" spans="1:1" ht="15.75" x14ac:dyDescent="0.25">
      <c r="A771" s="890"/>
    </row>
    <row r="772" spans="1:1" ht="15.75" x14ac:dyDescent="0.25">
      <c r="A772" s="890"/>
    </row>
    <row r="773" spans="1:1" ht="15.75" x14ac:dyDescent="0.25">
      <c r="A773" s="890"/>
    </row>
    <row r="774" spans="1:1" ht="15.75" x14ac:dyDescent="0.25">
      <c r="A774" s="890"/>
    </row>
    <row r="775" spans="1:1" ht="15.75" x14ac:dyDescent="0.25">
      <c r="A775" s="890"/>
    </row>
    <row r="776" spans="1:1" ht="15.75" x14ac:dyDescent="0.25">
      <c r="A776" s="890"/>
    </row>
    <row r="777" spans="1:1" ht="15.75" x14ac:dyDescent="0.25">
      <c r="A777" s="890"/>
    </row>
    <row r="778" spans="1:1" ht="15.75" x14ac:dyDescent="0.25">
      <c r="A778" s="890"/>
    </row>
    <row r="779" spans="1:1" ht="15.75" x14ac:dyDescent="0.25">
      <c r="A779" s="890"/>
    </row>
    <row r="780" spans="1:1" ht="15.75" x14ac:dyDescent="0.25">
      <c r="A780" s="890"/>
    </row>
    <row r="781" spans="1:1" ht="15.75" x14ac:dyDescent="0.25">
      <c r="A781" s="890"/>
    </row>
    <row r="782" spans="1:1" ht="15.75" x14ac:dyDescent="0.25">
      <c r="A782" s="890"/>
    </row>
    <row r="783" spans="1:1" ht="15.75" x14ac:dyDescent="0.25">
      <c r="A783" s="890"/>
    </row>
    <row r="784" spans="1:1" ht="15.75" x14ac:dyDescent="0.25">
      <c r="A784" s="890"/>
    </row>
    <row r="785" spans="1:1" ht="15.75" x14ac:dyDescent="0.25">
      <c r="A785" s="890"/>
    </row>
    <row r="786" spans="1:1" ht="15.75" x14ac:dyDescent="0.25">
      <c r="A786" s="890"/>
    </row>
    <row r="787" spans="1:1" ht="15.75" x14ac:dyDescent="0.25">
      <c r="A787" s="890"/>
    </row>
    <row r="788" spans="1:1" ht="15.75" x14ac:dyDescent="0.25">
      <c r="A788" s="890"/>
    </row>
    <row r="789" spans="1:1" ht="15.75" x14ac:dyDescent="0.25">
      <c r="A789" s="890"/>
    </row>
    <row r="790" spans="1:1" ht="15.75" x14ac:dyDescent="0.25">
      <c r="A790" s="890"/>
    </row>
    <row r="791" spans="1:1" ht="15.75" x14ac:dyDescent="0.25">
      <c r="A791" s="890"/>
    </row>
    <row r="792" spans="1:1" ht="15.75" x14ac:dyDescent="0.25">
      <c r="A792" s="890"/>
    </row>
    <row r="793" spans="1:1" ht="15.75" x14ac:dyDescent="0.25">
      <c r="A793" s="890"/>
    </row>
    <row r="794" spans="1:1" ht="15.75" x14ac:dyDescent="0.25">
      <c r="A794" s="890"/>
    </row>
    <row r="795" spans="1:1" ht="15.75" x14ac:dyDescent="0.25">
      <c r="A795" s="890"/>
    </row>
    <row r="796" spans="1:1" ht="15.75" x14ac:dyDescent="0.25">
      <c r="A796" s="890"/>
    </row>
    <row r="797" spans="1:1" ht="15.75" x14ac:dyDescent="0.25">
      <c r="A797" s="890"/>
    </row>
    <row r="798" spans="1:1" ht="15.75" x14ac:dyDescent="0.25">
      <c r="A798" s="890"/>
    </row>
    <row r="799" spans="1:1" ht="15.75" x14ac:dyDescent="0.25">
      <c r="A799" s="890"/>
    </row>
    <row r="800" spans="1:1" ht="15.75" x14ac:dyDescent="0.25">
      <c r="A800" s="890"/>
    </row>
    <row r="801" spans="1:1" ht="15.75" x14ac:dyDescent="0.25">
      <c r="A801" s="890"/>
    </row>
    <row r="802" spans="1:1" ht="15.75" x14ac:dyDescent="0.25">
      <c r="A802" s="890"/>
    </row>
    <row r="803" spans="1:1" ht="15.75" x14ac:dyDescent="0.25">
      <c r="A803" s="890"/>
    </row>
    <row r="804" spans="1:1" ht="15.75" x14ac:dyDescent="0.25">
      <c r="A804" s="890"/>
    </row>
    <row r="805" spans="1:1" ht="15.75" x14ac:dyDescent="0.25">
      <c r="A805" s="890"/>
    </row>
    <row r="806" spans="1:1" ht="15.75" x14ac:dyDescent="0.25">
      <c r="A806" s="890"/>
    </row>
    <row r="807" spans="1:1" ht="15.75" x14ac:dyDescent="0.25">
      <c r="A807" s="890"/>
    </row>
    <row r="808" spans="1:1" ht="15.75" x14ac:dyDescent="0.25">
      <c r="A808" s="890"/>
    </row>
    <row r="809" spans="1:1" ht="15.75" x14ac:dyDescent="0.25">
      <c r="A809" s="890"/>
    </row>
    <row r="810" spans="1:1" ht="15.75" x14ac:dyDescent="0.25">
      <c r="A810" s="890"/>
    </row>
    <row r="811" spans="1:1" ht="15.75" x14ac:dyDescent="0.25">
      <c r="A811" s="890"/>
    </row>
    <row r="812" spans="1:1" ht="15.75" x14ac:dyDescent="0.25">
      <c r="A812" s="890"/>
    </row>
    <row r="813" spans="1:1" ht="15.75" x14ac:dyDescent="0.25">
      <c r="A813" s="890"/>
    </row>
    <row r="814" spans="1:1" ht="15.75" x14ac:dyDescent="0.25">
      <c r="A814" s="890"/>
    </row>
    <row r="815" spans="1:1" ht="15.75" x14ac:dyDescent="0.25">
      <c r="A815" s="890"/>
    </row>
    <row r="816" spans="1:1" ht="15.75" x14ac:dyDescent="0.25">
      <c r="A816" s="890"/>
    </row>
    <row r="817" spans="1:1" ht="15.75" x14ac:dyDescent="0.25">
      <c r="A817" s="890"/>
    </row>
    <row r="818" spans="1:1" ht="15.75" x14ac:dyDescent="0.25">
      <c r="A818" s="890"/>
    </row>
    <row r="819" spans="1:1" ht="15.75" x14ac:dyDescent="0.25">
      <c r="A819" s="890"/>
    </row>
    <row r="820" spans="1:1" ht="15.75" x14ac:dyDescent="0.25">
      <c r="A820" s="890"/>
    </row>
    <row r="821" spans="1:1" ht="15.75" x14ac:dyDescent="0.25">
      <c r="A821" s="890"/>
    </row>
    <row r="822" spans="1:1" ht="15.75" x14ac:dyDescent="0.25">
      <c r="A822" s="890"/>
    </row>
    <row r="823" spans="1:1" ht="15.75" x14ac:dyDescent="0.25">
      <c r="A823" s="890"/>
    </row>
    <row r="824" spans="1:1" ht="15.75" x14ac:dyDescent="0.25">
      <c r="A824" s="890"/>
    </row>
    <row r="825" spans="1:1" ht="15.75" x14ac:dyDescent="0.25">
      <c r="A825" s="890"/>
    </row>
    <row r="826" spans="1:1" ht="15.75" x14ac:dyDescent="0.25">
      <c r="A826" s="890"/>
    </row>
    <row r="827" spans="1:1" ht="15.75" x14ac:dyDescent="0.25">
      <c r="A827" s="890"/>
    </row>
    <row r="828" spans="1:1" ht="15.75" x14ac:dyDescent="0.25">
      <c r="A828" s="890"/>
    </row>
    <row r="829" spans="1:1" ht="15.75" x14ac:dyDescent="0.25">
      <c r="A829" s="890"/>
    </row>
    <row r="830" spans="1:1" ht="15.75" x14ac:dyDescent="0.25">
      <c r="A830" s="890"/>
    </row>
    <row r="831" spans="1:1" ht="15.75" x14ac:dyDescent="0.25">
      <c r="A831" s="890"/>
    </row>
    <row r="832" spans="1:1" ht="15.75" x14ac:dyDescent="0.25">
      <c r="A832" s="890"/>
    </row>
    <row r="833" spans="1:1" ht="15.75" x14ac:dyDescent="0.25">
      <c r="A833" s="890"/>
    </row>
    <row r="834" spans="1:1" ht="15.75" x14ac:dyDescent="0.25">
      <c r="A834" s="890"/>
    </row>
    <row r="835" spans="1:1" ht="15.75" x14ac:dyDescent="0.25">
      <c r="A835" s="890"/>
    </row>
    <row r="836" spans="1:1" ht="15.75" x14ac:dyDescent="0.25">
      <c r="A836" s="890"/>
    </row>
    <row r="837" spans="1:1" ht="15.75" x14ac:dyDescent="0.25">
      <c r="A837" s="890"/>
    </row>
    <row r="838" spans="1:1" ht="15.75" x14ac:dyDescent="0.25">
      <c r="A838" s="890"/>
    </row>
    <row r="839" spans="1:1" ht="15.75" x14ac:dyDescent="0.25">
      <c r="A839" s="890"/>
    </row>
    <row r="840" spans="1:1" ht="15.75" x14ac:dyDescent="0.25">
      <c r="A840" s="890"/>
    </row>
    <row r="841" spans="1:1" ht="15.75" x14ac:dyDescent="0.25">
      <c r="A841" s="890"/>
    </row>
    <row r="842" spans="1:1" ht="15.75" x14ac:dyDescent="0.25">
      <c r="A842" s="890"/>
    </row>
    <row r="843" spans="1:1" ht="15.75" x14ac:dyDescent="0.25">
      <c r="A843" s="890"/>
    </row>
    <row r="844" spans="1:1" ht="15.75" x14ac:dyDescent="0.25">
      <c r="A844" s="890"/>
    </row>
    <row r="845" spans="1:1" ht="15.75" x14ac:dyDescent="0.25">
      <c r="A845" s="890"/>
    </row>
    <row r="846" spans="1:1" ht="15.75" x14ac:dyDescent="0.25">
      <c r="A846" s="890"/>
    </row>
    <row r="847" spans="1:1" ht="15.75" x14ac:dyDescent="0.25">
      <c r="A847" s="890"/>
    </row>
    <row r="848" spans="1:1" ht="15.75" x14ac:dyDescent="0.25">
      <c r="A848" s="890"/>
    </row>
    <row r="849" spans="1:1" ht="15.75" x14ac:dyDescent="0.25">
      <c r="A849" s="890"/>
    </row>
    <row r="850" spans="1:1" ht="15.75" x14ac:dyDescent="0.25">
      <c r="A850" s="890"/>
    </row>
    <row r="851" spans="1:1" ht="15.75" x14ac:dyDescent="0.25">
      <c r="A851" s="890"/>
    </row>
    <row r="852" spans="1:1" ht="15.75" x14ac:dyDescent="0.25">
      <c r="A852" s="890"/>
    </row>
    <row r="853" spans="1:1" ht="15.75" x14ac:dyDescent="0.25">
      <c r="A853" s="890"/>
    </row>
    <row r="854" spans="1:1" ht="15.75" x14ac:dyDescent="0.25">
      <c r="A854" s="890"/>
    </row>
    <row r="855" spans="1:1" ht="15.75" x14ac:dyDescent="0.25">
      <c r="A855" s="890"/>
    </row>
    <row r="856" spans="1:1" ht="15.75" x14ac:dyDescent="0.25">
      <c r="A856" s="890"/>
    </row>
    <row r="857" spans="1:1" ht="15.75" x14ac:dyDescent="0.25">
      <c r="A857" s="890"/>
    </row>
    <row r="858" spans="1:1" ht="15.75" x14ac:dyDescent="0.25">
      <c r="A858" s="890"/>
    </row>
    <row r="859" spans="1:1" ht="15.75" x14ac:dyDescent="0.25">
      <c r="A859" s="890"/>
    </row>
    <row r="860" spans="1:1" ht="15.75" x14ac:dyDescent="0.25">
      <c r="A860" s="890"/>
    </row>
    <row r="861" spans="1:1" ht="15.75" x14ac:dyDescent="0.25">
      <c r="A861" s="890"/>
    </row>
    <row r="862" spans="1:1" ht="15.75" x14ac:dyDescent="0.25">
      <c r="A862" s="890"/>
    </row>
    <row r="863" spans="1:1" ht="15.75" x14ac:dyDescent="0.25">
      <c r="A863" s="890"/>
    </row>
    <row r="864" spans="1:1" ht="15.75" x14ac:dyDescent="0.25">
      <c r="A864" s="890"/>
    </row>
    <row r="865" spans="1:1" ht="15.75" x14ac:dyDescent="0.25">
      <c r="A865" s="890"/>
    </row>
    <row r="866" spans="1:1" ht="15.75" x14ac:dyDescent="0.25">
      <c r="A866" s="890"/>
    </row>
    <row r="867" spans="1:1" ht="15.75" x14ac:dyDescent="0.25">
      <c r="A867" s="890"/>
    </row>
    <row r="868" spans="1:1" ht="15.75" x14ac:dyDescent="0.25">
      <c r="A868" s="890"/>
    </row>
    <row r="869" spans="1:1" ht="15.75" x14ac:dyDescent="0.25">
      <c r="A869" s="890"/>
    </row>
    <row r="870" spans="1:1" ht="15.75" x14ac:dyDescent="0.25">
      <c r="A870" s="890"/>
    </row>
    <row r="871" spans="1:1" ht="15.75" x14ac:dyDescent="0.25">
      <c r="A871" s="890"/>
    </row>
    <row r="872" spans="1:1" ht="15.75" x14ac:dyDescent="0.25">
      <c r="A872" s="890"/>
    </row>
    <row r="873" spans="1:1" ht="15.75" x14ac:dyDescent="0.25">
      <c r="A873" s="890"/>
    </row>
    <row r="874" spans="1:1" ht="15.75" x14ac:dyDescent="0.25">
      <c r="A874" s="890"/>
    </row>
    <row r="875" spans="1:1" ht="15.75" x14ac:dyDescent="0.25">
      <c r="A875" s="890"/>
    </row>
    <row r="876" spans="1:1" ht="15.75" x14ac:dyDescent="0.25">
      <c r="A876" s="890"/>
    </row>
    <row r="877" spans="1:1" ht="15.75" x14ac:dyDescent="0.25">
      <c r="A877" s="890"/>
    </row>
    <row r="878" spans="1:1" ht="15.75" x14ac:dyDescent="0.25">
      <c r="A878" s="890"/>
    </row>
    <row r="879" spans="1:1" ht="15.75" x14ac:dyDescent="0.25">
      <c r="A879" s="890"/>
    </row>
    <row r="880" spans="1:1" ht="15.75" x14ac:dyDescent="0.25">
      <c r="A880" s="890"/>
    </row>
    <row r="881" spans="1:1" ht="15.75" x14ac:dyDescent="0.25">
      <c r="A881" s="890"/>
    </row>
    <row r="882" spans="1:1" ht="15.75" x14ac:dyDescent="0.25">
      <c r="A882" s="890"/>
    </row>
    <row r="883" spans="1:1" ht="15.75" x14ac:dyDescent="0.25">
      <c r="A883" s="890"/>
    </row>
    <row r="884" spans="1:1" ht="15.75" x14ac:dyDescent="0.25">
      <c r="A884" s="890"/>
    </row>
    <row r="885" spans="1:1" ht="15.75" x14ac:dyDescent="0.25">
      <c r="A885" s="890"/>
    </row>
    <row r="886" spans="1:1" ht="15.75" x14ac:dyDescent="0.25">
      <c r="A886" s="890"/>
    </row>
    <row r="887" spans="1:1" ht="15.75" x14ac:dyDescent="0.25">
      <c r="A887" s="890"/>
    </row>
    <row r="888" spans="1:1" ht="15.75" x14ac:dyDescent="0.25">
      <c r="A888" s="890"/>
    </row>
    <row r="889" spans="1:1" ht="15.75" x14ac:dyDescent="0.25">
      <c r="A889" s="890"/>
    </row>
    <row r="890" spans="1:1" ht="15.75" x14ac:dyDescent="0.25">
      <c r="A890" s="890"/>
    </row>
    <row r="891" spans="1:1" ht="15.75" x14ac:dyDescent="0.25">
      <c r="A891" s="890"/>
    </row>
    <row r="892" spans="1:1" ht="15.75" x14ac:dyDescent="0.25">
      <c r="A892" s="890"/>
    </row>
    <row r="893" spans="1:1" ht="15.75" x14ac:dyDescent="0.25">
      <c r="A893" s="890"/>
    </row>
    <row r="894" spans="1:1" ht="15.75" x14ac:dyDescent="0.25">
      <c r="A894" s="890"/>
    </row>
    <row r="895" spans="1:1" ht="15.75" x14ac:dyDescent="0.25">
      <c r="A895" s="890"/>
    </row>
    <row r="896" spans="1:1" ht="15.75" x14ac:dyDescent="0.25">
      <c r="A896" s="890"/>
    </row>
    <row r="897" spans="1:1" ht="15.75" x14ac:dyDescent="0.25">
      <c r="A897" s="890"/>
    </row>
    <row r="898" spans="1:1" ht="15.75" x14ac:dyDescent="0.25">
      <c r="A898" s="890"/>
    </row>
    <row r="899" spans="1:1" ht="15.75" x14ac:dyDescent="0.25">
      <c r="A899" s="890"/>
    </row>
    <row r="900" spans="1:1" ht="15.75" x14ac:dyDescent="0.25">
      <c r="A900" s="890"/>
    </row>
    <row r="901" spans="1:1" ht="15.75" x14ac:dyDescent="0.25">
      <c r="A901" s="890"/>
    </row>
    <row r="902" spans="1:1" ht="15.75" x14ac:dyDescent="0.25">
      <c r="A902" s="890"/>
    </row>
    <row r="903" spans="1:1" ht="15.75" x14ac:dyDescent="0.25">
      <c r="A903" s="890"/>
    </row>
    <row r="904" spans="1:1" ht="15.75" x14ac:dyDescent="0.25">
      <c r="A904" s="890"/>
    </row>
    <row r="905" spans="1:1" ht="15.75" x14ac:dyDescent="0.25">
      <c r="A905" s="890"/>
    </row>
    <row r="906" spans="1:1" ht="15.75" x14ac:dyDescent="0.25">
      <c r="A906" s="890"/>
    </row>
    <row r="907" spans="1:1" ht="15.75" x14ac:dyDescent="0.25">
      <c r="A907" s="890"/>
    </row>
    <row r="908" spans="1:1" ht="15.75" x14ac:dyDescent="0.25">
      <c r="A908" s="890"/>
    </row>
    <row r="909" spans="1:1" ht="15.75" x14ac:dyDescent="0.25">
      <c r="A909" s="890"/>
    </row>
    <row r="910" spans="1:1" ht="15.75" x14ac:dyDescent="0.25">
      <c r="A910" s="890"/>
    </row>
    <row r="911" spans="1:1" ht="15.75" x14ac:dyDescent="0.25">
      <c r="A911" s="890"/>
    </row>
    <row r="912" spans="1:1" ht="15.75" x14ac:dyDescent="0.25">
      <c r="A912" s="890"/>
    </row>
    <row r="913" spans="1:1" ht="15.75" x14ac:dyDescent="0.25">
      <c r="A913" s="890"/>
    </row>
    <row r="914" spans="1:1" ht="15.75" x14ac:dyDescent="0.25">
      <c r="A914" s="890"/>
    </row>
    <row r="915" spans="1:1" ht="15.75" x14ac:dyDescent="0.25">
      <c r="A915" s="890"/>
    </row>
    <row r="916" spans="1:1" ht="15.75" x14ac:dyDescent="0.25">
      <c r="A916" s="890"/>
    </row>
    <row r="917" spans="1:1" ht="15.75" x14ac:dyDescent="0.25">
      <c r="A917" s="890"/>
    </row>
    <row r="918" spans="1:1" ht="15.75" x14ac:dyDescent="0.25">
      <c r="A918" s="890"/>
    </row>
    <row r="919" spans="1:1" ht="15.75" x14ac:dyDescent="0.25">
      <c r="A919" s="890"/>
    </row>
    <row r="920" spans="1:1" ht="15.75" x14ac:dyDescent="0.25">
      <c r="A920" s="890"/>
    </row>
    <row r="921" spans="1:1" ht="15.75" x14ac:dyDescent="0.25">
      <c r="A921" s="890"/>
    </row>
    <row r="922" spans="1:1" ht="15.75" x14ac:dyDescent="0.25">
      <c r="A922" s="890"/>
    </row>
    <row r="923" spans="1:1" ht="15.75" x14ac:dyDescent="0.25">
      <c r="A923" s="890"/>
    </row>
    <row r="924" spans="1:1" ht="15.75" x14ac:dyDescent="0.25">
      <c r="A924" s="890"/>
    </row>
    <row r="925" spans="1:1" ht="15.75" x14ac:dyDescent="0.25">
      <c r="A925" s="890"/>
    </row>
    <row r="926" spans="1:1" ht="15.75" x14ac:dyDescent="0.25">
      <c r="A926" s="890"/>
    </row>
    <row r="927" spans="1:1" ht="15.75" x14ac:dyDescent="0.25">
      <c r="A927" s="890"/>
    </row>
    <row r="928" spans="1:1" ht="15.75" x14ac:dyDescent="0.25">
      <c r="A928" s="890"/>
    </row>
    <row r="929" spans="1:1" ht="15.75" x14ac:dyDescent="0.25">
      <c r="A929" s="890"/>
    </row>
    <row r="930" spans="1:1" ht="15.75" x14ac:dyDescent="0.25">
      <c r="A930" s="890"/>
    </row>
    <row r="931" spans="1:1" ht="15.75" x14ac:dyDescent="0.25">
      <c r="A931" s="890"/>
    </row>
    <row r="932" spans="1:1" ht="15.75" x14ac:dyDescent="0.25">
      <c r="A932" s="890"/>
    </row>
    <row r="933" spans="1:1" ht="15.75" x14ac:dyDescent="0.25">
      <c r="A933" s="890"/>
    </row>
    <row r="934" spans="1:1" ht="15.75" x14ac:dyDescent="0.25">
      <c r="A934" s="890"/>
    </row>
    <row r="935" spans="1:1" ht="15.75" x14ac:dyDescent="0.25">
      <c r="A935" s="890"/>
    </row>
    <row r="936" spans="1:1" ht="15.75" x14ac:dyDescent="0.25">
      <c r="A936" s="890"/>
    </row>
    <row r="937" spans="1:1" ht="15.75" x14ac:dyDescent="0.25">
      <c r="A937" s="890"/>
    </row>
    <row r="938" spans="1:1" ht="15.75" x14ac:dyDescent="0.25">
      <c r="A938" s="890"/>
    </row>
    <row r="939" spans="1:1" ht="15.75" x14ac:dyDescent="0.25">
      <c r="A939" s="890"/>
    </row>
    <row r="940" spans="1:1" ht="15.75" x14ac:dyDescent="0.25">
      <c r="A940" s="890"/>
    </row>
    <row r="941" spans="1:1" ht="15.75" x14ac:dyDescent="0.25">
      <c r="A941" s="890"/>
    </row>
    <row r="942" spans="1:1" ht="15.75" x14ac:dyDescent="0.25">
      <c r="A942" s="890"/>
    </row>
    <row r="943" spans="1:1" ht="15.75" x14ac:dyDescent="0.25">
      <c r="A943" s="890"/>
    </row>
    <row r="944" spans="1:1" ht="15.75" x14ac:dyDescent="0.25">
      <c r="A944" s="890"/>
    </row>
    <row r="945" spans="1:1" ht="15.75" x14ac:dyDescent="0.25">
      <c r="A945" s="890"/>
    </row>
    <row r="946" spans="1:1" ht="15.75" x14ac:dyDescent="0.25">
      <c r="A946" s="890"/>
    </row>
    <row r="947" spans="1:1" ht="15.75" x14ac:dyDescent="0.25">
      <c r="A947" s="890"/>
    </row>
    <row r="948" spans="1:1" ht="15.75" x14ac:dyDescent="0.25">
      <c r="A948" s="890"/>
    </row>
    <row r="949" spans="1:1" ht="15.75" x14ac:dyDescent="0.25">
      <c r="A949" s="890"/>
    </row>
    <row r="950" spans="1:1" ht="15.75" x14ac:dyDescent="0.25">
      <c r="A950" s="890"/>
    </row>
    <row r="951" spans="1:1" ht="15.75" x14ac:dyDescent="0.25">
      <c r="A951" s="890"/>
    </row>
    <row r="952" spans="1:1" ht="15.75" x14ac:dyDescent="0.25">
      <c r="A952" s="890"/>
    </row>
    <row r="953" spans="1:1" ht="15.75" x14ac:dyDescent="0.25">
      <c r="A953" s="890"/>
    </row>
    <row r="954" spans="1:1" ht="15.75" x14ac:dyDescent="0.25">
      <c r="A954" s="890"/>
    </row>
    <row r="955" spans="1:1" ht="15.75" x14ac:dyDescent="0.25">
      <c r="A955" s="890"/>
    </row>
    <row r="956" spans="1:1" ht="15.75" x14ac:dyDescent="0.25">
      <c r="A956" s="890"/>
    </row>
    <row r="957" spans="1:1" ht="15.75" x14ac:dyDescent="0.25">
      <c r="A957" s="890"/>
    </row>
    <row r="958" spans="1:1" ht="15.75" x14ac:dyDescent="0.25">
      <c r="A958" s="890"/>
    </row>
    <row r="959" spans="1:1" ht="15.75" x14ac:dyDescent="0.25">
      <c r="A959" s="890"/>
    </row>
    <row r="960" spans="1:1" ht="15.75" x14ac:dyDescent="0.25">
      <c r="A960" s="890"/>
    </row>
    <row r="961" spans="1:1" ht="15.75" x14ac:dyDescent="0.25">
      <c r="A961" s="890"/>
    </row>
    <row r="962" spans="1:1" ht="15.75" x14ac:dyDescent="0.25">
      <c r="A962" s="890"/>
    </row>
    <row r="963" spans="1:1" ht="15.75" x14ac:dyDescent="0.25">
      <c r="A963" s="890"/>
    </row>
    <row r="964" spans="1:1" ht="15.75" x14ac:dyDescent="0.25">
      <c r="A964" s="890"/>
    </row>
    <row r="965" spans="1:1" ht="15.75" x14ac:dyDescent="0.25">
      <c r="A965" s="890"/>
    </row>
    <row r="966" spans="1:1" ht="15.75" x14ac:dyDescent="0.25">
      <c r="A966" s="890"/>
    </row>
    <row r="967" spans="1:1" ht="15.75" x14ac:dyDescent="0.25">
      <c r="A967" s="890"/>
    </row>
    <row r="968" spans="1:1" ht="15.75" x14ac:dyDescent="0.25">
      <c r="A968" s="890"/>
    </row>
    <row r="969" spans="1:1" ht="15.75" x14ac:dyDescent="0.25">
      <c r="A969" s="890"/>
    </row>
    <row r="970" spans="1:1" ht="15.75" x14ac:dyDescent="0.25">
      <c r="A970" s="890"/>
    </row>
    <row r="971" spans="1:1" ht="15.75" x14ac:dyDescent="0.25">
      <c r="A971" s="890"/>
    </row>
    <row r="972" spans="1:1" ht="15.75" x14ac:dyDescent="0.25">
      <c r="A972" s="890"/>
    </row>
    <row r="973" spans="1:1" ht="15.75" x14ac:dyDescent="0.25">
      <c r="A973" s="890"/>
    </row>
    <row r="974" spans="1:1" ht="15.75" x14ac:dyDescent="0.25">
      <c r="A974" s="890"/>
    </row>
    <row r="975" spans="1:1" ht="15.75" x14ac:dyDescent="0.25">
      <c r="A975" s="890"/>
    </row>
    <row r="976" spans="1:1" ht="15.75" x14ac:dyDescent="0.25">
      <c r="A976" s="890"/>
    </row>
    <row r="977" spans="1:1" ht="15.75" x14ac:dyDescent="0.25">
      <c r="A977" s="890"/>
    </row>
    <row r="978" spans="1:1" ht="15.75" x14ac:dyDescent="0.25">
      <c r="A978" s="890"/>
    </row>
    <row r="979" spans="1:1" ht="15.75" x14ac:dyDescent="0.25">
      <c r="A979" s="890"/>
    </row>
    <row r="980" spans="1:1" ht="15.75" x14ac:dyDescent="0.25">
      <c r="A980" s="890"/>
    </row>
    <row r="981" spans="1:1" ht="15.75" x14ac:dyDescent="0.25">
      <c r="A981" s="890"/>
    </row>
    <row r="982" spans="1:1" ht="15.75" x14ac:dyDescent="0.25">
      <c r="A982" s="890"/>
    </row>
    <row r="983" spans="1:1" ht="15.75" x14ac:dyDescent="0.25">
      <c r="A983" s="890"/>
    </row>
    <row r="984" spans="1:1" ht="15.75" x14ac:dyDescent="0.25">
      <c r="A984" s="890"/>
    </row>
    <row r="985" spans="1:1" ht="15.75" x14ac:dyDescent="0.25">
      <c r="A985" s="890"/>
    </row>
    <row r="986" spans="1:1" ht="15.75" x14ac:dyDescent="0.25">
      <c r="A986" s="890"/>
    </row>
    <row r="987" spans="1:1" ht="15.75" x14ac:dyDescent="0.25">
      <c r="A987" s="890"/>
    </row>
    <row r="988" spans="1:1" ht="15.75" x14ac:dyDescent="0.25">
      <c r="A988" s="890"/>
    </row>
    <row r="989" spans="1:1" ht="15.75" x14ac:dyDescent="0.25">
      <c r="A989" s="890"/>
    </row>
    <row r="990" spans="1:1" ht="15.75" x14ac:dyDescent="0.25">
      <c r="A990" s="890"/>
    </row>
    <row r="991" spans="1:1" ht="15.75" x14ac:dyDescent="0.25">
      <c r="A991" s="890"/>
    </row>
    <row r="992" spans="1:1" ht="15.75" x14ac:dyDescent="0.25">
      <c r="A992" s="890"/>
    </row>
    <row r="993" spans="1:1" ht="15.75" x14ac:dyDescent="0.25">
      <c r="A993" s="890"/>
    </row>
    <row r="994" spans="1:1" ht="15.75" x14ac:dyDescent="0.25">
      <c r="A994" s="890"/>
    </row>
    <row r="995" spans="1:1" ht="15.75" x14ac:dyDescent="0.25">
      <c r="A995" s="890"/>
    </row>
    <row r="996" spans="1:1" ht="15.75" x14ac:dyDescent="0.25">
      <c r="A996" s="890"/>
    </row>
    <row r="997" spans="1:1" ht="15.75" x14ac:dyDescent="0.25">
      <c r="A997" s="890"/>
    </row>
    <row r="998" spans="1:1" ht="15.75" x14ac:dyDescent="0.25">
      <c r="A998" s="890"/>
    </row>
    <row r="999" spans="1:1" ht="15.75" x14ac:dyDescent="0.25">
      <c r="A999" s="890"/>
    </row>
    <row r="1000" spans="1:1" ht="15.75" x14ac:dyDescent="0.25">
      <c r="A1000" s="890"/>
    </row>
    <row r="1001" spans="1:1" ht="15.75" x14ac:dyDescent="0.25">
      <c r="A1001" s="890"/>
    </row>
    <row r="1002" spans="1:1" ht="15.75" x14ac:dyDescent="0.25">
      <c r="A1002" s="890"/>
    </row>
    <row r="1003" spans="1:1" ht="15.75" x14ac:dyDescent="0.25">
      <c r="A1003" s="890"/>
    </row>
    <row r="1004" spans="1:1" ht="15.75" x14ac:dyDescent="0.25">
      <c r="A1004" s="890"/>
    </row>
    <row r="1005" spans="1:1" ht="15.75" x14ac:dyDescent="0.25">
      <c r="A1005" s="890"/>
    </row>
    <row r="1006" spans="1:1" ht="15.75" x14ac:dyDescent="0.25">
      <c r="A1006" s="890"/>
    </row>
    <row r="1007" spans="1:1" ht="15.75" x14ac:dyDescent="0.25">
      <c r="A1007" s="890"/>
    </row>
    <row r="1008" spans="1:1" ht="15.75" x14ac:dyDescent="0.25">
      <c r="A1008" s="890"/>
    </row>
    <row r="1009" spans="1:1" ht="15.75" x14ac:dyDescent="0.25">
      <c r="A1009" s="890"/>
    </row>
    <row r="1010" spans="1:1" ht="15.75" x14ac:dyDescent="0.25">
      <c r="A1010" s="890"/>
    </row>
    <row r="1011" spans="1:1" ht="15.75" x14ac:dyDescent="0.25">
      <c r="A1011" s="890"/>
    </row>
    <row r="1012" spans="1:1" ht="15.75" x14ac:dyDescent="0.25">
      <c r="A1012" s="890"/>
    </row>
    <row r="1013" spans="1:1" ht="15.75" x14ac:dyDescent="0.25">
      <c r="A1013" s="890"/>
    </row>
    <row r="1014" spans="1:1" ht="15.75" x14ac:dyDescent="0.25">
      <c r="A1014" s="890"/>
    </row>
    <row r="1015" spans="1:1" ht="15.75" x14ac:dyDescent="0.25">
      <c r="A1015" s="890"/>
    </row>
    <row r="1016" spans="1:1" ht="15.75" x14ac:dyDescent="0.25">
      <c r="A1016" s="890"/>
    </row>
    <row r="1017" spans="1:1" ht="15.75" x14ac:dyDescent="0.25">
      <c r="A1017" s="890"/>
    </row>
    <row r="1018" spans="1:1" ht="15.75" x14ac:dyDescent="0.25">
      <c r="A1018" s="890"/>
    </row>
    <row r="1019" spans="1:1" ht="15.75" x14ac:dyDescent="0.25">
      <c r="A1019" s="890"/>
    </row>
    <row r="1020" spans="1:1" ht="15.75" x14ac:dyDescent="0.25">
      <c r="A1020" s="890"/>
    </row>
    <row r="1021" spans="1:1" ht="15.75" x14ac:dyDescent="0.25">
      <c r="A1021" s="890"/>
    </row>
    <row r="1022" spans="1:1" ht="15.75" x14ac:dyDescent="0.25">
      <c r="A1022" s="890"/>
    </row>
    <row r="1023" spans="1:1" ht="15.75" x14ac:dyDescent="0.25">
      <c r="A1023" s="890"/>
    </row>
    <row r="1024" spans="1:1" ht="15.75" x14ac:dyDescent="0.25">
      <c r="A1024" s="890"/>
    </row>
    <row r="1025" spans="1:1" ht="15.75" x14ac:dyDescent="0.25">
      <c r="A1025" s="890"/>
    </row>
    <row r="1026" spans="1:1" ht="15.75" x14ac:dyDescent="0.25">
      <c r="A1026" s="890"/>
    </row>
    <row r="1027" spans="1:1" ht="15.75" x14ac:dyDescent="0.25">
      <c r="A1027" s="890"/>
    </row>
    <row r="1028" spans="1:1" ht="15.75" x14ac:dyDescent="0.25">
      <c r="A1028" s="890"/>
    </row>
    <row r="1029" spans="1:1" ht="15.75" x14ac:dyDescent="0.25">
      <c r="A1029" s="890"/>
    </row>
    <row r="1030" spans="1:1" ht="15.75" x14ac:dyDescent="0.25">
      <c r="A1030" s="890"/>
    </row>
    <row r="1031" spans="1:1" ht="15.75" x14ac:dyDescent="0.25">
      <c r="A1031" s="890"/>
    </row>
    <row r="1032" spans="1:1" ht="15.75" x14ac:dyDescent="0.25">
      <c r="A1032" s="890"/>
    </row>
    <row r="1033" spans="1:1" ht="15.75" x14ac:dyDescent="0.25">
      <c r="A1033" s="890"/>
    </row>
    <row r="1034" spans="1:1" ht="15.75" x14ac:dyDescent="0.25">
      <c r="A1034" s="890"/>
    </row>
    <row r="1035" spans="1:1" ht="15.75" x14ac:dyDescent="0.25">
      <c r="A1035" s="890"/>
    </row>
    <row r="1036" spans="1:1" ht="15.75" x14ac:dyDescent="0.25">
      <c r="A1036" s="890"/>
    </row>
    <row r="1037" spans="1:1" ht="15.75" x14ac:dyDescent="0.25">
      <c r="A1037" s="890"/>
    </row>
    <row r="1038" spans="1:1" ht="15.75" x14ac:dyDescent="0.25">
      <c r="A1038" s="890"/>
    </row>
    <row r="1039" spans="1:1" ht="15.75" x14ac:dyDescent="0.25">
      <c r="A1039" s="890"/>
    </row>
    <row r="1040" spans="1:1" ht="15.75" x14ac:dyDescent="0.25">
      <c r="A1040" s="890"/>
    </row>
    <row r="1041" spans="1:1" ht="15.75" x14ac:dyDescent="0.25">
      <c r="A1041" s="890"/>
    </row>
    <row r="1042" spans="1:1" ht="15.75" x14ac:dyDescent="0.25">
      <c r="A1042" s="890"/>
    </row>
    <row r="1043" spans="1:1" ht="15.75" x14ac:dyDescent="0.25">
      <c r="A1043" s="890"/>
    </row>
    <row r="1044" spans="1:1" ht="15.75" x14ac:dyDescent="0.25">
      <c r="A1044" s="890"/>
    </row>
    <row r="1045" spans="1:1" ht="15.75" x14ac:dyDescent="0.25">
      <c r="A1045" s="890"/>
    </row>
    <row r="1046" spans="1:1" ht="15.75" x14ac:dyDescent="0.25">
      <c r="A1046" s="890"/>
    </row>
    <row r="1047" spans="1:1" ht="15.75" x14ac:dyDescent="0.25">
      <c r="A1047" s="890"/>
    </row>
    <row r="1048" spans="1:1" ht="15.75" x14ac:dyDescent="0.25">
      <c r="A1048" s="890"/>
    </row>
    <row r="1049" spans="1:1" ht="15.75" x14ac:dyDescent="0.25">
      <c r="A1049" s="890"/>
    </row>
    <row r="1050" spans="1:1" ht="15.75" x14ac:dyDescent="0.25">
      <c r="A1050" s="890"/>
    </row>
    <row r="1051" spans="1:1" ht="15.75" x14ac:dyDescent="0.25">
      <c r="A1051" s="890"/>
    </row>
    <row r="1052" spans="1:1" ht="15.75" x14ac:dyDescent="0.25">
      <c r="A1052" s="890"/>
    </row>
    <row r="1053" spans="1:1" ht="15.75" x14ac:dyDescent="0.25">
      <c r="A1053" s="890"/>
    </row>
    <row r="1054" spans="1:1" ht="15.75" x14ac:dyDescent="0.25">
      <c r="A1054" s="890"/>
    </row>
    <row r="1055" spans="1:1" ht="15.75" x14ac:dyDescent="0.25">
      <c r="A1055" s="890"/>
    </row>
    <row r="1056" spans="1:1" ht="15.75" x14ac:dyDescent="0.25">
      <c r="A1056" s="890"/>
    </row>
    <row r="1057" spans="1:1" ht="15.75" x14ac:dyDescent="0.25">
      <c r="A1057" s="890"/>
    </row>
    <row r="1058" spans="1:1" ht="15.75" x14ac:dyDescent="0.25">
      <c r="A1058" s="890"/>
    </row>
    <row r="1059" spans="1:1" ht="15.75" x14ac:dyDescent="0.25">
      <c r="A1059" s="890"/>
    </row>
    <row r="1060" spans="1:1" ht="15.75" x14ac:dyDescent="0.25">
      <c r="A1060" s="890"/>
    </row>
    <row r="1061" spans="1:1" ht="15.75" x14ac:dyDescent="0.25">
      <c r="A1061" s="890"/>
    </row>
    <row r="1062" spans="1:1" ht="15.75" x14ac:dyDescent="0.25">
      <c r="A1062" s="890"/>
    </row>
    <row r="1063" spans="1:1" ht="15.75" x14ac:dyDescent="0.25">
      <c r="A1063" s="890"/>
    </row>
    <row r="1064" spans="1:1" ht="15.75" x14ac:dyDescent="0.25">
      <c r="A1064" s="890"/>
    </row>
    <row r="1065" spans="1:1" ht="15.75" x14ac:dyDescent="0.25">
      <c r="A1065" s="890"/>
    </row>
    <row r="1066" spans="1:1" ht="15.75" x14ac:dyDescent="0.25">
      <c r="A1066" s="890"/>
    </row>
    <row r="1067" spans="1:1" ht="15.75" x14ac:dyDescent="0.25">
      <c r="A1067" s="890"/>
    </row>
    <row r="1068" spans="1:1" ht="15.75" x14ac:dyDescent="0.25">
      <c r="A1068" s="890"/>
    </row>
    <row r="1069" spans="1:1" ht="15.75" x14ac:dyDescent="0.25">
      <c r="A1069" s="890"/>
    </row>
    <row r="1070" spans="1:1" ht="15.75" x14ac:dyDescent="0.25">
      <c r="A1070" s="890"/>
    </row>
    <row r="1071" spans="1:1" ht="15.75" x14ac:dyDescent="0.25">
      <c r="A1071" s="890"/>
    </row>
    <row r="1072" spans="1:1" ht="15.75" x14ac:dyDescent="0.25">
      <c r="A1072" s="890"/>
    </row>
    <row r="1073" spans="1:1" ht="15.75" x14ac:dyDescent="0.25">
      <c r="A1073" s="890"/>
    </row>
    <row r="1074" spans="1:1" ht="15.75" x14ac:dyDescent="0.25">
      <c r="A1074" s="890"/>
    </row>
    <row r="1075" spans="1:1" ht="15.75" x14ac:dyDescent="0.25">
      <c r="A1075" s="890"/>
    </row>
    <row r="1076" spans="1:1" ht="15.75" x14ac:dyDescent="0.25">
      <c r="A1076" s="890"/>
    </row>
    <row r="1077" spans="1:1" ht="15.75" x14ac:dyDescent="0.25">
      <c r="A1077" s="890"/>
    </row>
    <row r="1078" spans="1:1" ht="15.75" x14ac:dyDescent="0.25">
      <c r="A1078" s="890"/>
    </row>
    <row r="1079" spans="1:1" ht="15.75" x14ac:dyDescent="0.25">
      <c r="A1079" s="890"/>
    </row>
    <row r="1080" spans="1:1" ht="15.75" x14ac:dyDescent="0.25">
      <c r="A1080" s="890"/>
    </row>
    <row r="1081" spans="1:1" ht="15.75" x14ac:dyDescent="0.25">
      <c r="A1081" s="890"/>
    </row>
    <row r="1082" spans="1:1" ht="15.75" x14ac:dyDescent="0.25">
      <c r="A1082" s="890"/>
    </row>
    <row r="1083" spans="1:1" ht="15.75" x14ac:dyDescent="0.25">
      <c r="A1083" s="890"/>
    </row>
    <row r="1084" spans="1:1" ht="15.75" x14ac:dyDescent="0.25">
      <c r="A1084" s="890"/>
    </row>
    <row r="1085" spans="1:1" ht="15.75" x14ac:dyDescent="0.25">
      <c r="A1085" s="890"/>
    </row>
    <row r="1086" spans="1:1" ht="15.75" x14ac:dyDescent="0.25">
      <c r="A1086" s="890"/>
    </row>
    <row r="1087" spans="1:1" ht="15.75" x14ac:dyDescent="0.25">
      <c r="A1087" s="890"/>
    </row>
    <row r="1088" spans="1:1" ht="15.75" x14ac:dyDescent="0.25">
      <c r="A1088" s="890"/>
    </row>
    <row r="1089" spans="1:1" ht="15.75" x14ac:dyDescent="0.25">
      <c r="A1089" s="890"/>
    </row>
    <row r="1090" spans="1:1" ht="15.75" x14ac:dyDescent="0.25">
      <c r="A1090" s="890"/>
    </row>
    <row r="1091" spans="1:1" ht="15.75" x14ac:dyDescent="0.25">
      <c r="A1091" s="890"/>
    </row>
    <row r="1092" spans="1:1" ht="15.75" x14ac:dyDescent="0.25">
      <c r="A1092" s="890"/>
    </row>
    <row r="1093" spans="1:1" ht="15.75" x14ac:dyDescent="0.25">
      <c r="A1093" s="890"/>
    </row>
    <row r="1094" spans="1:1" ht="15.75" x14ac:dyDescent="0.25">
      <c r="A1094" s="890"/>
    </row>
    <row r="1095" spans="1:1" ht="15.75" x14ac:dyDescent="0.25">
      <c r="A1095" s="890"/>
    </row>
    <row r="1096" spans="1:1" ht="15.75" x14ac:dyDescent="0.25">
      <c r="A1096" s="890"/>
    </row>
    <row r="1097" spans="1:1" ht="15.75" x14ac:dyDescent="0.25">
      <c r="A1097" s="890"/>
    </row>
    <row r="1098" spans="1:1" ht="15.75" x14ac:dyDescent="0.25">
      <c r="A1098" s="890"/>
    </row>
    <row r="1099" spans="1:1" ht="15.75" x14ac:dyDescent="0.25">
      <c r="A1099" s="890"/>
    </row>
    <row r="1100" spans="1:1" ht="15.75" x14ac:dyDescent="0.25">
      <c r="A1100" s="890"/>
    </row>
    <row r="1101" spans="1:1" ht="15.75" x14ac:dyDescent="0.25">
      <c r="A1101" s="890"/>
    </row>
    <row r="1102" spans="1:1" ht="15.75" x14ac:dyDescent="0.25">
      <c r="A1102" s="890"/>
    </row>
    <row r="1103" spans="1:1" ht="15.75" x14ac:dyDescent="0.25">
      <c r="A1103" s="890"/>
    </row>
    <row r="1104" spans="1:1" ht="15.75" x14ac:dyDescent="0.25">
      <c r="A1104" s="890"/>
    </row>
    <row r="1105" spans="1:1" ht="15.75" x14ac:dyDescent="0.25">
      <c r="A1105" s="890"/>
    </row>
    <row r="1106" spans="1:1" ht="15.75" x14ac:dyDescent="0.25">
      <c r="A1106" s="890"/>
    </row>
    <row r="1107" spans="1:1" ht="15.75" x14ac:dyDescent="0.25">
      <c r="A1107" s="890"/>
    </row>
    <row r="1108" spans="1:1" ht="15.75" x14ac:dyDescent="0.25">
      <c r="A1108" s="890"/>
    </row>
    <row r="1109" spans="1:1" ht="15.75" x14ac:dyDescent="0.25">
      <c r="A1109" s="890"/>
    </row>
    <row r="1110" spans="1:1" ht="15.75" x14ac:dyDescent="0.25">
      <c r="A1110" s="890"/>
    </row>
    <row r="1111" spans="1:1" ht="15.75" x14ac:dyDescent="0.25">
      <c r="A1111" s="890"/>
    </row>
    <row r="1112" spans="1:1" ht="15.75" x14ac:dyDescent="0.25">
      <c r="A1112" s="890"/>
    </row>
    <row r="1113" spans="1:1" ht="15.75" x14ac:dyDescent="0.25">
      <c r="A1113" s="890"/>
    </row>
    <row r="1114" spans="1:1" ht="15.75" x14ac:dyDescent="0.25">
      <c r="A1114" s="890"/>
    </row>
    <row r="1115" spans="1:1" ht="15.75" x14ac:dyDescent="0.25">
      <c r="A1115" s="890"/>
    </row>
    <row r="1116" spans="1:1" ht="15.75" x14ac:dyDescent="0.25">
      <c r="A1116" s="890"/>
    </row>
    <row r="1117" spans="1:1" ht="15.75" x14ac:dyDescent="0.25">
      <c r="A1117" s="890"/>
    </row>
    <row r="1118" spans="1:1" ht="15.75" x14ac:dyDescent="0.25">
      <c r="A1118" s="890"/>
    </row>
    <row r="1119" spans="1:1" ht="15.75" x14ac:dyDescent="0.25">
      <c r="A1119" s="890"/>
    </row>
    <row r="1120" spans="1:1" ht="15.75" x14ac:dyDescent="0.25">
      <c r="A1120" s="890"/>
    </row>
    <row r="1121" spans="1:1" ht="15.75" x14ac:dyDescent="0.25">
      <c r="A1121" s="890"/>
    </row>
    <row r="1122" spans="1:1" ht="15.75" x14ac:dyDescent="0.25">
      <c r="A1122" s="890"/>
    </row>
    <row r="1123" spans="1:1" ht="15.75" x14ac:dyDescent="0.25">
      <c r="A1123" s="890"/>
    </row>
    <row r="1124" spans="1:1" ht="15.75" x14ac:dyDescent="0.25">
      <c r="A1124" s="890"/>
    </row>
    <row r="1125" spans="1:1" ht="15.75" x14ac:dyDescent="0.25">
      <c r="A1125" s="890"/>
    </row>
    <row r="1126" spans="1:1" ht="15.75" x14ac:dyDescent="0.25">
      <c r="A1126" s="890"/>
    </row>
    <row r="1127" spans="1:1" ht="15.75" x14ac:dyDescent="0.25">
      <c r="A1127" s="890"/>
    </row>
    <row r="1128" spans="1:1" ht="15.75" x14ac:dyDescent="0.25">
      <c r="A1128" s="890"/>
    </row>
    <row r="1129" spans="1:1" ht="15.75" x14ac:dyDescent="0.25">
      <c r="A1129" s="890"/>
    </row>
    <row r="1130" spans="1:1" ht="15.75" x14ac:dyDescent="0.25">
      <c r="A1130" s="890"/>
    </row>
    <row r="1131" spans="1:1" ht="15.75" x14ac:dyDescent="0.25">
      <c r="A1131" s="890"/>
    </row>
    <row r="1132" spans="1:1" ht="15.75" x14ac:dyDescent="0.25">
      <c r="A1132" s="890"/>
    </row>
    <row r="1133" spans="1:1" ht="15.75" x14ac:dyDescent="0.25">
      <c r="A1133" s="890"/>
    </row>
    <row r="1134" spans="1:1" ht="15.75" x14ac:dyDescent="0.25">
      <c r="A1134" s="890"/>
    </row>
    <row r="1135" spans="1:1" ht="15.75" x14ac:dyDescent="0.25">
      <c r="A1135" s="890"/>
    </row>
    <row r="1136" spans="1:1" ht="15.75" x14ac:dyDescent="0.25">
      <c r="A1136" s="890"/>
    </row>
    <row r="1137" spans="1:1" ht="15.75" x14ac:dyDescent="0.25">
      <c r="A1137" s="890"/>
    </row>
    <row r="1138" spans="1:1" ht="15.75" x14ac:dyDescent="0.25">
      <c r="A1138" s="890"/>
    </row>
    <row r="1139" spans="1:1" ht="15.75" x14ac:dyDescent="0.25">
      <c r="A1139" s="890"/>
    </row>
    <row r="1140" spans="1:1" ht="15.75" x14ac:dyDescent="0.25">
      <c r="A1140" s="890"/>
    </row>
    <row r="1141" spans="1:1" ht="15.75" x14ac:dyDescent="0.25">
      <c r="A1141" s="890"/>
    </row>
    <row r="1142" spans="1:1" ht="15.75" x14ac:dyDescent="0.25">
      <c r="A1142" s="890"/>
    </row>
    <row r="1143" spans="1:1" ht="15.75" x14ac:dyDescent="0.25">
      <c r="A1143" s="890"/>
    </row>
    <row r="1144" spans="1:1" ht="15.75" x14ac:dyDescent="0.25">
      <c r="A1144" s="890"/>
    </row>
    <row r="1145" spans="1:1" ht="15.75" x14ac:dyDescent="0.25">
      <c r="A1145" s="890"/>
    </row>
    <row r="1146" spans="1:1" ht="15.75" x14ac:dyDescent="0.25">
      <c r="A1146" s="890"/>
    </row>
    <row r="1147" spans="1:1" ht="15.75" x14ac:dyDescent="0.25">
      <c r="A1147" s="890"/>
    </row>
    <row r="1148" spans="1:1" ht="15.75" x14ac:dyDescent="0.25">
      <c r="A1148" s="890"/>
    </row>
    <row r="1149" spans="1:1" ht="15.75" x14ac:dyDescent="0.25">
      <c r="A1149" s="890"/>
    </row>
    <row r="1150" spans="1:1" ht="15.75" x14ac:dyDescent="0.25">
      <c r="A1150" s="890"/>
    </row>
    <row r="1151" spans="1:1" ht="15.75" x14ac:dyDescent="0.25">
      <c r="A1151" s="890"/>
    </row>
    <row r="1152" spans="1:1" ht="15.75" x14ac:dyDescent="0.25">
      <c r="A1152" s="890"/>
    </row>
    <row r="1153" spans="1:1" ht="15.75" x14ac:dyDescent="0.25">
      <c r="A1153" s="890"/>
    </row>
    <row r="1154" spans="1:1" ht="15.75" x14ac:dyDescent="0.25">
      <c r="A1154" s="890"/>
    </row>
    <row r="1155" spans="1:1" ht="15.75" x14ac:dyDescent="0.25">
      <c r="A1155" s="890"/>
    </row>
    <row r="1156" spans="1:1" ht="15.75" x14ac:dyDescent="0.25">
      <c r="A1156" s="890"/>
    </row>
    <row r="1157" spans="1:1" ht="15.75" x14ac:dyDescent="0.25">
      <c r="A1157" s="890"/>
    </row>
    <row r="1158" spans="1:1" ht="15.75" x14ac:dyDescent="0.25">
      <c r="A1158" s="890"/>
    </row>
    <row r="1159" spans="1:1" ht="15.75" x14ac:dyDescent="0.25">
      <c r="A1159" s="890"/>
    </row>
    <row r="1160" spans="1:1" ht="15.75" x14ac:dyDescent="0.25">
      <c r="A1160" s="890"/>
    </row>
    <row r="1161" spans="1:1" ht="15.75" x14ac:dyDescent="0.25">
      <c r="A1161" s="890"/>
    </row>
    <row r="1162" spans="1:1" ht="15.75" x14ac:dyDescent="0.25">
      <c r="A1162" s="890"/>
    </row>
    <row r="1163" spans="1:1" ht="15.75" x14ac:dyDescent="0.25">
      <c r="A1163" s="890"/>
    </row>
    <row r="1164" spans="1:1" ht="15.75" x14ac:dyDescent="0.25">
      <c r="A1164" s="890"/>
    </row>
    <row r="1165" spans="1:1" ht="15.75" x14ac:dyDescent="0.25">
      <c r="A1165" s="890"/>
    </row>
    <row r="1166" spans="1:1" ht="15.75" x14ac:dyDescent="0.25">
      <c r="A1166" s="890"/>
    </row>
    <row r="1167" spans="1:1" ht="15.75" x14ac:dyDescent="0.25">
      <c r="A1167" s="890"/>
    </row>
    <row r="1168" spans="1:1" ht="15.75" x14ac:dyDescent="0.25">
      <c r="A1168" s="890"/>
    </row>
    <row r="1169" spans="1:1" ht="15.75" x14ac:dyDescent="0.25">
      <c r="A1169" s="890"/>
    </row>
    <row r="1170" spans="1:1" ht="15.75" x14ac:dyDescent="0.25">
      <c r="A1170" s="890"/>
    </row>
    <row r="1171" spans="1:1" ht="15.75" x14ac:dyDescent="0.25">
      <c r="A1171" s="890"/>
    </row>
    <row r="1172" spans="1:1" ht="15.75" x14ac:dyDescent="0.25">
      <c r="A1172" s="890"/>
    </row>
    <row r="1173" spans="1:1" ht="15.75" x14ac:dyDescent="0.25">
      <c r="A1173" s="890"/>
    </row>
    <row r="1174" spans="1:1" ht="15.75" x14ac:dyDescent="0.25">
      <c r="A1174" s="890"/>
    </row>
    <row r="1175" spans="1:1" ht="15.75" x14ac:dyDescent="0.25">
      <c r="A1175" s="890"/>
    </row>
    <row r="1176" spans="1:1" ht="15.75" x14ac:dyDescent="0.25">
      <c r="A1176" s="890"/>
    </row>
    <row r="1177" spans="1:1" ht="15.75" x14ac:dyDescent="0.25">
      <c r="A1177" s="890"/>
    </row>
    <row r="1178" spans="1:1" ht="15.75" x14ac:dyDescent="0.25">
      <c r="A1178" s="890"/>
    </row>
    <row r="1179" spans="1:1" ht="15.75" x14ac:dyDescent="0.25">
      <c r="A1179" s="890"/>
    </row>
    <row r="1180" spans="1:1" ht="15.75" x14ac:dyDescent="0.25">
      <c r="A1180" s="890"/>
    </row>
    <row r="1181" spans="1:1" ht="15.75" x14ac:dyDescent="0.25">
      <c r="A1181" s="890"/>
    </row>
    <row r="1182" spans="1:1" ht="15.75" x14ac:dyDescent="0.25">
      <c r="A1182" s="890"/>
    </row>
    <row r="1183" spans="1:1" ht="15.75" x14ac:dyDescent="0.25">
      <c r="A1183" s="890"/>
    </row>
    <row r="1184" spans="1:1" ht="15.75" x14ac:dyDescent="0.25">
      <c r="A1184" s="890"/>
    </row>
    <row r="1185" spans="1:1" ht="15.75" x14ac:dyDescent="0.25">
      <c r="A1185" s="890"/>
    </row>
    <row r="1186" spans="1:1" ht="15.75" x14ac:dyDescent="0.25">
      <c r="A1186" s="890"/>
    </row>
    <row r="1187" spans="1:1" ht="15.75" x14ac:dyDescent="0.25">
      <c r="A1187" s="890"/>
    </row>
    <row r="1188" spans="1:1" ht="15.75" x14ac:dyDescent="0.25">
      <c r="A1188" s="890"/>
    </row>
    <row r="1189" spans="1:1" ht="15.75" x14ac:dyDescent="0.25">
      <c r="A1189" s="890"/>
    </row>
    <row r="1190" spans="1:1" ht="15.75" x14ac:dyDescent="0.25">
      <c r="A1190" s="890"/>
    </row>
    <row r="1191" spans="1:1" ht="15.75" x14ac:dyDescent="0.25">
      <c r="A1191" s="890"/>
    </row>
    <row r="1192" spans="1:1" ht="15.75" x14ac:dyDescent="0.25">
      <c r="A1192" s="890"/>
    </row>
    <row r="1193" spans="1:1" ht="15.75" x14ac:dyDescent="0.25">
      <c r="A1193" s="890"/>
    </row>
    <row r="1194" spans="1:1" ht="15.75" x14ac:dyDescent="0.25">
      <c r="A1194" s="890"/>
    </row>
    <row r="1195" spans="1:1" ht="15.75" x14ac:dyDescent="0.25">
      <c r="A1195" s="890"/>
    </row>
    <row r="1196" spans="1:1" ht="15.75" x14ac:dyDescent="0.25">
      <c r="A1196" s="890"/>
    </row>
    <row r="1197" spans="1:1" ht="15.75" x14ac:dyDescent="0.25">
      <c r="A1197" s="890"/>
    </row>
    <row r="1198" spans="1:1" ht="15.75" x14ac:dyDescent="0.25">
      <c r="A1198" s="890"/>
    </row>
    <row r="1199" spans="1:1" ht="15.75" x14ac:dyDescent="0.25">
      <c r="A1199" s="890"/>
    </row>
    <row r="1200" spans="1:1" ht="15.75" x14ac:dyDescent="0.25">
      <c r="A1200" s="890"/>
    </row>
    <row r="1201" spans="1:1" ht="15.75" x14ac:dyDescent="0.25">
      <c r="A1201" s="890"/>
    </row>
    <row r="1202" spans="1:1" ht="15.75" x14ac:dyDescent="0.25">
      <c r="A1202" s="890"/>
    </row>
    <row r="1203" spans="1:1" ht="15.75" x14ac:dyDescent="0.25">
      <c r="A1203" s="890"/>
    </row>
    <row r="1204" spans="1:1" ht="15.75" x14ac:dyDescent="0.25">
      <c r="A1204" s="890"/>
    </row>
    <row r="1205" spans="1:1" ht="15.75" x14ac:dyDescent="0.25">
      <c r="A1205" s="890"/>
    </row>
    <row r="1206" spans="1:1" ht="15.75" x14ac:dyDescent="0.25">
      <c r="A1206" s="890"/>
    </row>
    <row r="1207" spans="1:1" ht="15.75" x14ac:dyDescent="0.25">
      <c r="A1207" s="890"/>
    </row>
    <row r="1208" spans="1:1" ht="15.75" x14ac:dyDescent="0.25">
      <c r="A1208" s="890"/>
    </row>
    <row r="1209" spans="1:1" ht="15.75" x14ac:dyDescent="0.25">
      <c r="A1209" s="890"/>
    </row>
    <row r="1210" spans="1:1" ht="15.75" x14ac:dyDescent="0.25">
      <c r="A1210" s="890"/>
    </row>
    <row r="1211" spans="1:1" ht="15.75" x14ac:dyDescent="0.25">
      <c r="A1211" s="890"/>
    </row>
    <row r="1212" spans="1:1" ht="15.75" x14ac:dyDescent="0.25">
      <c r="A1212" s="890"/>
    </row>
    <row r="1213" spans="1:1" ht="15.75" x14ac:dyDescent="0.25">
      <c r="A1213" s="890"/>
    </row>
    <row r="1214" spans="1:1" ht="15.75" x14ac:dyDescent="0.25">
      <c r="A1214" s="890"/>
    </row>
    <row r="1215" spans="1:1" ht="15.75" x14ac:dyDescent="0.25">
      <c r="A1215" s="890"/>
    </row>
    <row r="1216" spans="1:1" ht="15.75" x14ac:dyDescent="0.25">
      <c r="A1216" s="890"/>
    </row>
    <row r="1217" spans="1:1" ht="15.75" x14ac:dyDescent="0.25">
      <c r="A1217" s="890"/>
    </row>
    <row r="1218" spans="1:1" ht="15.75" x14ac:dyDescent="0.25">
      <c r="A1218" s="890"/>
    </row>
    <row r="1219" spans="1:1" ht="15.75" x14ac:dyDescent="0.25">
      <c r="A1219" s="890"/>
    </row>
    <row r="1220" spans="1:1" ht="15.75" x14ac:dyDescent="0.25">
      <c r="A1220" s="890"/>
    </row>
    <row r="1221" spans="1:1" ht="15.75" x14ac:dyDescent="0.25">
      <c r="A1221" s="890"/>
    </row>
    <row r="1222" spans="1:1" ht="15.75" x14ac:dyDescent="0.25">
      <c r="A1222" s="890"/>
    </row>
    <row r="1223" spans="1:1" ht="15.75" x14ac:dyDescent="0.25">
      <c r="A1223" s="890"/>
    </row>
    <row r="1224" spans="1:1" ht="15.75" x14ac:dyDescent="0.25">
      <c r="A1224" s="890"/>
    </row>
    <row r="1225" spans="1:1" ht="15.75" x14ac:dyDescent="0.25">
      <c r="A1225" s="890"/>
    </row>
    <row r="1226" spans="1:1" ht="15.75" x14ac:dyDescent="0.25">
      <c r="A1226" s="890"/>
    </row>
    <row r="1227" spans="1:1" ht="15.75" x14ac:dyDescent="0.25">
      <c r="A1227" s="890"/>
    </row>
    <row r="1228" spans="1:1" ht="15.75" x14ac:dyDescent="0.25">
      <c r="A1228" s="890"/>
    </row>
    <row r="1229" spans="1:1" ht="15.75" x14ac:dyDescent="0.25">
      <c r="A1229" s="890"/>
    </row>
    <row r="1230" spans="1:1" ht="15.75" x14ac:dyDescent="0.25">
      <c r="A1230" s="890"/>
    </row>
    <row r="1231" spans="1:1" ht="15.75" x14ac:dyDescent="0.25">
      <c r="A1231" s="890"/>
    </row>
    <row r="1232" spans="1:1" ht="15.75" x14ac:dyDescent="0.25">
      <c r="A1232" s="890"/>
    </row>
    <row r="1233" spans="1:1" ht="15.75" x14ac:dyDescent="0.25">
      <c r="A1233" s="890"/>
    </row>
    <row r="1234" spans="1:1" ht="15.75" x14ac:dyDescent="0.25">
      <c r="A1234" s="890"/>
    </row>
    <row r="1235" spans="1:1" ht="15.75" x14ac:dyDescent="0.25">
      <c r="A1235" s="890"/>
    </row>
    <row r="1236" spans="1:1" ht="15.75" x14ac:dyDescent="0.25">
      <c r="A1236" s="890"/>
    </row>
    <row r="1237" spans="1:1" ht="15.75" x14ac:dyDescent="0.25">
      <c r="A1237" s="890"/>
    </row>
    <row r="1238" spans="1:1" ht="15.75" x14ac:dyDescent="0.25">
      <c r="A1238" s="890"/>
    </row>
    <row r="1239" spans="1:1" ht="15.75" x14ac:dyDescent="0.25">
      <c r="A1239" s="890"/>
    </row>
    <row r="1240" spans="1:1" ht="15.75" x14ac:dyDescent="0.25">
      <c r="A1240" s="890"/>
    </row>
    <row r="1241" spans="1:1" ht="15.75" x14ac:dyDescent="0.25">
      <c r="A1241" s="890"/>
    </row>
    <row r="1242" spans="1:1" ht="15.75" x14ac:dyDescent="0.25">
      <c r="A1242" s="890"/>
    </row>
    <row r="1243" spans="1:1" ht="15.75" x14ac:dyDescent="0.25">
      <c r="A1243" s="890"/>
    </row>
    <row r="1244" spans="1:1" ht="15.75" x14ac:dyDescent="0.25">
      <c r="A1244" s="890"/>
    </row>
    <row r="1245" spans="1:1" ht="15.75" x14ac:dyDescent="0.25">
      <c r="A1245" s="890"/>
    </row>
    <row r="1246" spans="1:1" ht="15.75" x14ac:dyDescent="0.25">
      <c r="A1246" s="890"/>
    </row>
    <row r="1247" spans="1:1" ht="15.75" x14ac:dyDescent="0.25">
      <c r="A1247" s="890"/>
    </row>
    <row r="1248" spans="1:1" ht="15.75" x14ac:dyDescent="0.25">
      <c r="A1248" s="890"/>
    </row>
    <row r="1249" spans="1:1" ht="15.75" x14ac:dyDescent="0.25">
      <c r="A1249" s="890"/>
    </row>
    <row r="1250" spans="1:1" ht="15.75" x14ac:dyDescent="0.25">
      <c r="A1250" s="890"/>
    </row>
    <row r="1251" spans="1:1" ht="15.75" x14ac:dyDescent="0.25">
      <c r="A1251" s="890"/>
    </row>
    <row r="1252" spans="1:1" ht="15.75" x14ac:dyDescent="0.25">
      <c r="A1252" s="890"/>
    </row>
    <row r="1253" spans="1:1" ht="15.75" x14ac:dyDescent="0.25">
      <c r="A1253" s="890"/>
    </row>
    <row r="1254" spans="1:1" ht="15.75" x14ac:dyDescent="0.25">
      <c r="A1254" s="890"/>
    </row>
    <row r="1255" spans="1:1" ht="15.75" x14ac:dyDescent="0.25">
      <c r="A1255" s="890"/>
    </row>
    <row r="1256" spans="1:1" ht="15.75" x14ac:dyDescent="0.25">
      <c r="A1256" s="890"/>
    </row>
    <row r="1257" spans="1:1" ht="15.75" x14ac:dyDescent="0.25">
      <c r="A1257" s="890"/>
    </row>
    <row r="1258" spans="1:1" ht="15.75" x14ac:dyDescent="0.25">
      <c r="A1258" s="890"/>
    </row>
    <row r="1259" spans="1:1" ht="15.75" x14ac:dyDescent="0.25">
      <c r="A1259" s="890"/>
    </row>
    <row r="1260" spans="1:1" ht="15.75" x14ac:dyDescent="0.25">
      <c r="A1260" s="890"/>
    </row>
    <row r="1261" spans="1:1" ht="15.75" x14ac:dyDescent="0.25">
      <c r="A1261" s="890"/>
    </row>
    <row r="1262" spans="1:1" ht="15.75" x14ac:dyDescent="0.25">
      <c r="A1262" s="890"/>
    </row>
    <row r="1263" spans="1:1" ht="15.75" x14ac:dyDescent="0.25">
      <c r="A1263" s="890"/>
    </row>
    <row r="1264" spans="1:1" ht="15.75" x14ac:dyDescent="0.25">
      <c r="A1264" s="890"/>
    </row>
    <row r="1265" spans="1:1" ht="15.75" x14ac:dyDescent="0.25">
      <c r="A1265" s="890"/>
    </row>
    <row r="1266" spans="1:1" ht="15.75" x14ac:dyDescent="0.25">
      <c r="A1266" s="890"/>
    </row>
    <row r="1267" spans="1:1" ht="15.75" x14ac:dyDescent="0.25">
      <c r="A1267" s="890"/>
    </row>
    <row r="1268" spans="1:1" ht="15.75" x14ac:dyDescent="0.25">
      <c r="A1268" s="890"/>
    </row>
    <row r="1269" spans="1:1" ht="15.75" x14ac:dyDescent="0.25">
      <c r="A1269" s="890"/>
    </row>
    <row r="1270" spans="1:1" ht="15.75" x14ac:dyDescent="0.25">
      <c r="A1270" s="890"/>
    </row>
    <row r="1271" spans="1:1" ht="15.75" x14ac:dyDescent="0.25">
      <c r="A1271" s="890"/>
    </row>
    <row r="1272" spans="1:1" ht="15.75" x14ac:dyDescent="0.25">
      <c r="A1272" s="890"/>
    </row>
    <row r="1273" spans="1:1" ht="15.75" x14ac:dyDescent="0.25">
      <c r="A1273" s="890"/>
    </row>
    <row r="1274" spans="1:1" ht="15.75" x14ac:dyDescent="0.25">
      <c r="A1274" s="890"/>
    </row>
    <row r="1275" spans="1:1" ht="15.75" x14ac:dyDescent="0.25">
      <c r="A1275" s="890"/>
    </row>
    <row r="1276" spans="1:1" ht="15.75" x14ac:dyDescent="0.25">
      <c r="A1276" s="890"/>
    </row>
    <row r="1277" spans="1:1" ht="15.75" x14ac:dyDescent="0.25">
      <c r="A1277" s="890"/>
    </row>
    <row r="1278" spans="1:1" ht="15.75" x14ac:dyDescent="0.25">
      <c r="A1278" s="890"/>
    </row>
    <row r="1279" spans="1:1" ht="15.75" x14ac:dyDescent="0.25">
      <c r="A1279" s="890"/>
    </row>
    <row r="1280" spans="1:1" ht="15.75" x14ac:dyDescent="0.25">
      <c r="A1280" s="890"/>
    </row>
    <row r="1281" spans="1:1" ht="15.75" x14ac:dyDescent="0.25">
      <c r="A1281" s="890"/>
    </row>
    <row r="1282" spans="1:1" ht="15.75" x14ac:dyDescent="0.25">
      <c r="A1282" s="890"/>
    </row>
    <row r="1283" spans="1:1" ht="15.75" x14ac:dyDescent="0.25">
      <c r="A1283" s="890"/>
    </row>
    <row r="1284" spans="1:1" ht="15.75" x14ac:dyDescent="0.25">
      <c r="A1284" s="890"/>
    </row>
    <row r="1285" spans="1:1" ht="15.75" x14ac:dyDescent="0.25">
      <c r="A1285" s="890"/>
    </row>
    <row r="1286" spans="1:1" ht="15.75" x14ac:dyDescent="0.25">
      <c r="A1286" s="890"/>
    </row>
    <row r="1287" spans="1:1" ht="15.75" x14ac:dyDescent="0.25">
      <c r="A1287" s="890"/>
    </row>
    <row r="1288" spans="1:1" ht="15.75" x14ac:dyDescent="0.25">
      <c r="A1288" s="890"/>
    </row>
    <row r="1289" spans="1:1" ht="15.75" x14ac:dyDescent="0.25">
      <c r="A1289" s="890"/>
    </row>
    <row r="1290" spans="1:1" ht="15.75" x14ac:dyDescent="0.25">
      <c r="A1290" s="890"/>
    </row>
    <row r="1291" spans="1:1" ht="15.75" x14ac:dyDescent="0.25">
      <c r="A1291" s="890"/>
    </row>
    <row r="1292" spans="1:1" ht="15.75" x14ac:dyDescent="0.25">
      <c r="A1292" s="890"/>
    </row>
    <row r="1293" spans="1:1" ht="15.75" x14ac:dyDescent="0.25">
      <c r="A1293" s="890"/>
    </row>
    <row r="1294" spans="1:1" ht="15.75" x14ac:dyDescent="0.25">
      <c r="A1294" s="890"/>
    </row>
    <row r="1295" spans="1:1" ht="15.75" x14ac:dyDescent="0.25">
      <c r="A1295" s="890"/>
    </row>
    <row r="1296" spans="1:1" ht="15.75" x14ac:dyDescent="0.25">
      <c r="A1296" s="890"/>
    </row>
    <row r="1297" spans="1:1" ht="15.75" x14ac:dyDescent="0.25">
      <c r="A1297" s="890"/>
    </row>
    <row r="1298" spans="1:1" ht="15.75" x14ac:dyDescent="0.25">
      <c r="A1298" s="890"/>
    </row>
    <row r="1299" spans="1:1" ht="15.75" x14ac:dyDescent="0.25">
      <c r="A1299" s="890"/>
    </row>
    <row r="1300" spans="1:1" ht="15.75" x14ac:dyDescent="0.25">
      <c r="A1300" s="890"/>
    </row>
    <row r="1301" spans="1:1" ht="15.75" x14ac:dyDescent="0.25">
      <c r="A1301" s="890"/>
    </row>
    <row r="1302" spans="1:1" ht="15.75" x14ac:dyDescent="0.25">
      <c r="A1302" s="890"/>
    </row>
    <row r="1303" spans="1:1" ht="15.75" x14ac:dyDescent="0.25">
      <c r="A1303" s="890"/>
    </row>
    <row r="1304" spans="1:1" ht="15.75" x14ac:dyDescent="0.25">
      <c r="A1304" s="890"/>
    </row>
    <row r="1305" spans="1:1" ht="15.75" x14ac:dyDescent="0.25">
      <c r="A1305" s="890"/>
    </row>
    <row r="1306" spans="1:1" ht="15.75" x14ac:dyDescent="0.25">
      <c r="A1306" s="890"/>
    </row>
    <row r="1307" spans="1:1" ht="15.75" x14ac:dyDescent="0.25">
      <c r="A1307" s="890"/>
    </row>
    <row r="1308" spans="1:1" ht="15.75" x14ac:dyDescent="0.25">
      <c r="A1308" s="890"/>
    </row>
    <row r="1309" spans="1:1" ht="15.75" x14ac:dyDescent="0.25">
      <c r="A1309" s="890"/>
    </row>
    <row r="1310" spans="1:1" ht="15.75" x14ac:dyDescent="0.25">
      <c r="A1310" s="890"/>
    </row>
    <row r="1311" spans="1:1" ht="15.75" x14ac:dyDescent="0.25">
      <c r="A1311" s="890"/>
    </row>
    <row r="1312" spans="1:1" ht="15.75" x14ac:dyDescent="0.25">
      <c r="A1312" s="890"/>
    </row>
    <row r="1313" spans="1:1" ht="15.75" x14ac:dyDescent="0.25">
      <c r="A1313" s="890"/>
    </row>
    <row r="1314" spans="1:1" ht="15.75" x14ac:dyDescent="0.25">
      <c r="A1314" s="890"/>
    </row>
    <row r="1315" spans="1:1" ht="15.75" x14ac:dyDescent="0.25">
      <c r="A1315" s="890"/>
    </row>
    <row r="1316" spans="1:1" ht="15.75" x14ac:dyDescent="0.25">
      <c r="A1316" s="890"/>
    </row>
    <row r="1317" spans="1:1" ht="15.75" x14ac:dyDescent="0.25">
      <c r="A1317" s="890"/>
    </row>
    <row r="1318" spans="1:1" ht="15.75" x14ac:dyDescent="0.25">
      <c r="A1318" s="890"/>
    </row>
    <row r="1319" spans="1:1" ht="15.75" x14ac:dyDescent="0.25">
      <c r="A1319" s="890"/>
    </row>
    <row r="1320" spans="1:1" ht="15.75" x14ac:dyDescent="0.25">
      <c r="A1320" s="890"/>
    </row>
    <row r="1321" spans="1:1" ht="15.75" x14ac:dyDescent="0.25">
      <c r="A1321" s="890"/>
    </row>
    <row r="1322" spans="1:1" ht="15.75" x14ac:dyDescent="0.25">
      <c r="A1322" s="890"/>
    </row>
    <row r="1323" spans="1:1" ht="15.75" x14ac:dyDescent="0.25">
      <c r="A1323" s="890"/>
    </row>
    <row r="1324" spans="1:1" ht="15.75" x14ac:dyDescent="0.25">
      <c r="A1324" s="890"/>
    </row>
    <row r="1325" spans="1:1" ht="15.75" x14ac:dyDescent="0.25">
      <c r="A1325" s="890"/>
    </row>
    <row r="1326" spans="1:1" ht="15.75" x14ac:dyDescent="0.25">
      <c r="A1326" s="890"/>
    </row>
    <row r="1327" spans="1:1" ht="15.75" x14ac:dyDescent="0.25">
      <c r="A1327" s="890"/>
    </row>
    <row r="1328" spans="1:1" ht="15.75" x14ac:dyDescent="0.25">
      <c r="A1328" s="890"/>
    </row>
    <row r="1329" spans="1:1" ht="15.75" x14ac:dyDescent="0.25">
      <c r="A1329" s="890"/>
    </row>
    <row r="1330" spans="1:1" ht="15.75" x14ac:dyDescent="0.25">
      <c r="A1330" s="890"/>
    </row>
    <row r="1331" spans="1:1" ht="15.75" x14ac:dyDescent="0.25">
      <c r="A1331" s="890"/>
    </row>
    <row r="1332" spans="1:1" ht="15.75" x14ac:dyDescent="0.25">
      <c r="A1332" s="890"/>
    </row>
    <row r="1333" spans="1:1" ht="15.75" x14ac:dyDescent="0.25">
      <c r="A1333" s="890"/>
    </row>
    <row r="1334" spans="1:1" ht="15.75" x14ac:dyDescent="0.25">
      <c r="A1334" s="890"/>
    </row>
    <row r="1335" spans="1:1" ht="15.75" x14ac:dyDescent="0.25">
      <c r="A1335" s="890"/>
    </row>
    <row r="1336" spans="1:1" ht="15.75" x14ac:dyDescent="0.25">
      <c r="A1336" s="890"/>
    </row>
    <row r="1337" spans="1:1" ht="15.75" x14ac:dyDescent="0.25">
      <c r="A1337" s="890"/>
    </row>
    <row r="1338" spans="1:1" ht="15.75" x14ac:dyDescent="0.25">
      <c r="A1338" s="890"/>
    </row>
    <row r="1339" spans="1:1" ht="15.75" x14ac:dyDescent="0.25">
      <c r="A1339" s="890"/>
    </row>
    <row r="1340" spans="1:1" ht="15.75" x14ac:dyDescent="0.25">
      <c r="A1340" s="890"/>
    </row>
    <row r="1341" spans="1:1" ht="15.75" x14ac:dyDescent="0.25">
      <c r="A1341" s="890"/>
    </row>
    <row r="1342" spans="1:1" ht="15.75" x14ac:dyDescent="0.25">
      <c r="A1342" s="890"/>
    </row>
    <row r="1343" spans="1:1" ht="15.75" x14ac:dyDescent="0.25">
      <c r="A1343" s="890"/>
    </row>
    <row r="1344" spans="1:1" ht="15.75" x14ac:dyDescent="0.25">
      <c r="A1344" s="890"/>
    </row>
    <row r="1345" spans="1:1" ht="15.75" x14ac:dyDescent="0.25">
      <c r="A1345" s="890"/>
    </row>
    <row r="1346" spans="1:1" ht="15.75" x14ac:dyDescent="0.25">
      <c r="A1346" s="890"/>
    </row>
    <row r="1347" spans="1:1" ht="15.75" x14ac:dyDescent="0.25">
      <c r="A1347" s="890"/>
    </row>
    <row r="1348" spans="1:1" ht="15.75" x14ac:dyDescent="0.25">
      <c r="A1348" s="890"/>
    </row>
    <row r="1349" spans="1:1" ht="15.75" x14ac:dyDescent="0.25">
      <c r="A1349" s="890"/>
    </row>
    <row r="1350" spans="1:1" ht="15.75" x14ac:dyDescent="0.25">
      <c r="A1350" s="890"/>
    </row>
    <row r="1351" spans="1:1" ht="15.75" x14ac:dyDescent="0.25">
      <c r="A1351" s="890"/>
    </row>
    <row r="1352" spans="1:1" ht="15.75" x14ac:dyDescent="0.25">
      <c r="A1352" s="890"/>
    </row>
    <row r="1353" spans="1:1" ht="15.75" x14ac:dyDescent="0.25">
      <c r="A1353" s="890"/>
    </row>
    <row r="1354" spans="1:1" ht="15.75" x14ac:dyDescent="0.25">
      <c r="A1354" s="890"/>
    </row>
    <row r="1355" spans="1:1" ht="15.75" x14ac:dyDescent="0.25">
      <c r="A1355" s="890"/>
    </row>
    <row r="1356" spans="1:1" ht="15.75" x14ac:dyDescent="0.25">
      <c r="A1356" s="890"/>
    </row>
    <row r="1357" spans="1:1" ht="15.75" x14ac:dyDescent="0.25">
      <c r="A1357" s="890"/>
    </row>
    <row r="1358" spans="1:1" ht="15.75" x14ac:dyDescent="0.25">
      <c r="A1358" s="890"/>
    </row>
    <row r="1359" spans="1:1" ht="15.75" x14ac:dyDescent="0.25">
      <c r="A1359" s="890"/>
    </row>
    <row r="1360" spans="1:1" ht="15.75" x14ac:dyDescent="0.25">
      <c r="A1360" s="890"/>
    </row>
    <row r="1361" spans="1:1" ht="15.75" x14ac:dyDescent="0.25">
      <c r="A1361" s="890"/>
    </row>
    <row r="1362" spans="1:1" ht="15.75" x14ac:dyDescent="0.25">
      <c r="A1362" s="890"/>
    </row>
    <row r="1363" spans="1:1" ht="15.75" x14ac:dyDescent="0.25">
      <c r="A1363" s="890"/>
    </row>
    <row r="1364" spans="1:1" ht="15.75" x14ac:dyDescent="0.25">
      <c r="A1364" s="890"/>
    </row>
    <row r="1365" spans="1:1" ht="15.75" x14ac:dyDescent="0.25">
      <c r="A1365" s="890"/>
    </row>
    <row r="1366" spans="1:1" ht="15.75" x14ac:dyDescent="0.25">
      <c r="A1366" s="890"/>
    </row>
    <row r="1367" spans="1:1" ht="15.75" x14ac:dyDescent="0.25">
      <c r="A1367" s="890"/>
    </row>
    <row r="1368" spans="1:1" ht="15.75" x14ac:dyDescent="0.25">
      <c r="A1368" s="890"/>
    </row>
    <row r="1369" spans="1:1" ht="15.75" x14ac:dyDescent="0.25">
      <c r="A1369" s="890"/>
    </row>
    <row r="1370" spans="1:1" ht="15.75" x14ac:dyDescent="0.25">
      <c r="A1370" s="890"/>
    </row>
    <row r="1371" spans="1:1" ht="15.75" x14ac:dyDescent="0.25">
      <c r="A1371" s="890"/>
    </row>
    <row r="1372" spans="1:1" ht="15.75" x14ac:dyDescent="0.25">
      <c r="A1372" s="890"/>
    </row>
    <row r="1373" spans="1:1" ht="15.75" x14ac:dyDescent="0.25">
      <c r="A1373" s="890"/>
    </row>
    <row r="1374" spans="1:1" ht="15.75" x14ac:dyDescent="0.25">
      <c r="A1374" s="890"/>
    </row>
    <row r="1375" spans="1:1" ht="15.75" x14ac:dyDescent="0.25">
      <c r="A1375" s="890"/>
    </row>
    <row r="1376" spans="1:1" ht="15.75" x14ac:dyDescent="0.25">
      <c r="A1376" s="890"/>
    </row>
    <row r="1377" spans="1:1" ht="15.75" x14ac:dyDescent="0.25">
      <c r="A1377" s="890"/>
    </row>
    <row r="1378" spans="1:1" ht="15.75" x14ac:dyDescent="0.25">
      <c r="A1378" s="890"/>
    </row>
    <row r="1379" spans="1:1" ht="15.75" x14ac:dyDescent="0.25">
      <c r="A1379" s="890"/>
    </row>
    <row r="1380" spans="1:1" ht="15.75" x14ac:dyDescent="0.25">
      <c r="A1380" s="890"/>
    </row>
    <row r="1381" spans="1:1" ht="15.75" x14ac:dyDescent="0.25">
      <c r="A1381" s="890"/>
    </row>
    <row r="1382" spans="1:1" ht="15.75" x14ac:dyDescent="0.25">
      <c r="A1382" s="890"/>
    </row>
    <row r="1383" spans="1:1" ht="15.75" x14ac:dyDescent="0.25">
      <c r="A1383" s="890"/>
    </row>
    <row r="1384" spans="1:1" ht="15.75" x14ac:dyDescent="0.25">
      <c r="A1384" s="890"/>
    </row>
    <row r="1385" spans="1:1" ht="15.75" x14ac:dyDescent="0.25">
      <c r="A1385" s="890"/>
    </row>
    <row r="1386" spans="1:1" ht="15.75" x14ac:dyDescent="0.25">
      <c r="A1386" s="890"/>
    </row>
    <row r="1387" spans="1:1" ht="15.75" x14ac:dyDescent="0.25">
      <c r="A1387" s="890"/>
    </row>
    <row r="1388" spans="1:1" ht="15.75" x14ac:dyDescent="0.25">
      <c r="A1388" s="890"/>
    </row>
    <row r="1389" spans="1:1" ht="15.75" x14ac:dyDescent="0.25">
      <c r="A1389" s="890"/>
    </row>
    <row r="1390" spans="1:1" ht="15.75" x14ac:dyDescent="0.25">
      <c r="A1390" s="890"/>
    </row>
    <row r="1391" spans="1:1" ht="15.75" x14ac:dyDescent="0.25">
      <c r="A1391" s="890"/>
    </row>
    <row r="1392" spans="1:1" ht="15.75" x14ac:dyDescent="0.25">
      <c r="A1392" s="890"/>
    </row>
    <row r="1393" spans="1:1" ht="15.75" x14ac:dyDescent="0.25">
      <c r="A1393" s="890"/>
    </row>
    <row r="1394" spans="1:1" ht="15.75" x14ac:dyDescent="0.25">
      <c r="A1394" s="890"/>
    </row>
    <row r="1395" spans="1:1" ht="15.75" x14ac:dyDescent="0.25">
      <c r="A1395" s="890"/>
    </row>
    <row r="1396" spans="1:1" ht="15.75" x14ac:dyDescent="0.25">
      <c r="A1396" s="890"/>
    </row>
    <row r="1397" spans="1:1" ht="15.75" x14ac:dyDescent="0.25">
      <c r="A1397" s="890"/>
    </row>
    <row r="1398" spans="1:1" ht="15.75" x14ac:dyDescent="0.25">
      <c r="A1398" s="890"/>
    </row>
    <row r="1399" spans="1:1" ht="15.75" x14ac:dyDescent="0.25">
      <c r="A1399" s="890"/>
    </row>
    <row r="1400" spans="1:1" ht="15.75" x14ac:dyDescent="0.25">
      <c r="A1400" s="890"/>
    </row>
    <row r="1401" spans="1:1" ht="15.75" x14ac:dyDescent="0.25">
      <c r="A1401" s="890"/>
    </row>
    <row r="1402" spans="1:1" ht="15.75" x14ac:dyDescent="0.25">
      <c r="A1402" s="890"/>
    </row>
    <row r="1403" spans="1:1" ht="15.75" x14ac:dyDescent="0.25">
      <c r="A1403" s="890"/>
    </row>
    <row r="1404" spans="1:1" ht="15.75" x14ac:dyDescent="0.25">
      <c r="A1404" s="890"/>
    </row>
    <row r="1405" spans="1:1" ht="15.75" x14ac:dyDescent="0.25">
      <c r="A1405" s="890"/>
    </row>
    <row r="1406" spans="1:1" ht="15.75" x14ac:dyDescent="0.25">
      <c r="A1406" s="890"/>
    </row>
    <row r="1407" spans="1:1" ht="15.75" x14ac:dyDescent="0.25">
      <c r="A1407" s="890"/>
    </row>
    <row r="1408" spans="1:1" ht="15.75" x14ac:dyDescent="0.25">
      <c r="A1408" s="890"/>
    </row>
    <row r="1409" spans="1:1" ht="15.75" x14ac:dyDescent="0.25">
      <c r="A1409" s="890"/>
    </row>
    <row r="1410" spans="1:1" ht="15.75" x14ac:dyDescent="0.25">
      <c r="A1410" s="890"/>
    </row>
    <row r="1411" spans="1:1" ht="15.75" x14ac:dyDescent="0.25">
      <c r="A1411" s="890"/>
    </row>
    <row r="1412" spans="1:1" ht="15.75" x14ac:dyDescent="0.25">
      <c r="A1412" s="890"/>
    </row>
    <row r="1413" spans="1:1" ht="15.75" x14ac:dyDescent="0.25">
      <c r="A1413" s="890"/>
    </row>
    <row r="1414" spans="1:1" ht="15.75" x14ac:dyDescent="0.25">
      <c r="A1414" s="890"/>
    </row>
    <row r="1415" spans="1:1" ht="15.75" x14ac:dyDescent="0.25">
      <c r="A1415" s="890"/>
    </row>
    <row r="1416" spans="1:1" ht="15.75" x14ac:dyDescent="0.25">
      <c r="A1416" s="890"/>
    </row>
    <row r="1417" spans="1:1" ht="15.75" x14ac:dyDescent="0.25">
      <c r="A1417" s="890"/>
    </row>
    <row r="1418" spans="1:1" ht="15.75" x14ac:dyDescent="0.25">
      <c r="A1418" s="890"/>
    </row>
    <row r="1419" spans="1:1" ht="15.75" x14ac:dyDescent="0.25">
      <c r="A1419" s="890"/>
    </row>
    <row r="1420" spans="1:1" ht="15.75" x14ac:dyDescent="0.25">
      <c r="A1420" s="890"/>
    </row>
    <row r="1421" spans="1:1" ht="15.75" x14ac:dyDescent="0.25">
      <c r="A1421" s="890"/>
    </row>
    <row r="1422" spans="1:1" ht="15.75" x14ac:dyDescent="0.25">
      <c r="A1422" s="890"/>
    </row>
    <row r="1423" spans="1:1" ht="15.75" x14ac:dyDescent="0.25">
      <c r="A1423" s="890"/>
    </row>
    <row r="1424" spans="1:1" ht="15.75" x14ac:dyDescent="0.25">
      <c r="A1424" s="890"/>
    </row>
    <row r="1425" spans="1:1" ht="15.75" x14ac:dyDescent="0.25">
      <c r="A1425" s="890"/>
    </row>
    <row r="1426" spans="1:1" ht="15.75" x14ac:dyDescent="0.25">
      <c r="A1426" s="890"/>
    </row>
    <row r="1427" spans="1:1" ht="15.75" x14ac:dyDescent="0.25">
      <c r="A1427" s="890"/>
    </row>
    <row r="1428" spans="1:1" ht="15.75" x14ac:dyDescent="0.25">
      <c r="A1428" s="890"/>
    </row>
    <row r="1429" spans="1:1" ht="15.75" x14ac:dyDescent="0.25">
      <c r="A1429" s="890"/>
    </row>
    <row r="1430" spans="1:1" ht="15.75" x14ac:dyDescent="0.25">
      <c r="A1430" s="890"/>
    </row>
    <row r="1431" spans="1:1" ht="15.75" x14ac:dyDescent="0.25">
      <c r="A1431" s="890"/>
    </row>
    <row r="1432" spans="1:1" ht="15.75" x14ac:dyDescent="0.25">
      <c r="A1432" s="890"/>
    </row>
    <row r="1433" spans="1:1" ht="15.75" x14ac:dyDescent="0.25">
      <c r="A1433" s="890"/>
    </row>
    <row r="1434" spans="1:1" ht="15.75" x14ac:dyDescent="0.25">
      <c r="A1434" s="890"/>
    </row>
    <row r="1435" spans="1:1" ht="15.75" x14ac:dyDescent="0.25">
      <c r="A1435" s="890"/>
    </row>
    <row r="1436" spans="1:1" ht="15.75" x14ac:dyDescent="0.25">
      <c r="A1436" s="890"/>
    </row>
    <row r="1437" spans="1:1" ht="15.75" x14ac:dyDescent="0.25">
      <c r="A1437" s="890"/>
    </row>
    <row r="1438" spans="1:1" ht="15.75" x14ac:dyDescent="0.25">
      <c r="A1438" s="890"/>
    </row>
    <row r="1439" spans="1:1" ht="15.75" x14ac:dyDescent="0.25">
      <c r="A1439" s="890"/>
    </row>
    <row r="1440" spans="1:1" ht="15.75" x14ac:dyDescent="0.25">
      <c r="A1440" s="890"/>
    </row>
    <row r="1441" spans="1:1" ht="15.75" x14ac:dyDescent="0.25">
      <c r="A1441" s="890"/>
    </row>
    <row r="1442" spans="1:1" ht="15.75" x14ac:dyDescent="0.25">
      <c r="A1442" s="890"/>
    </row>
    <row r="1443" spans="1:1" ht="15.75" x14ac:dyDescent="0.25">
      <c r="A1443" s="890"/>
    </row>
    <row r="1444" spans="1:1" ht="15.75" x14ac:dyDescent="0.25">
      <c r="A1444" s="890"/>
    </row>
    <row r="1445" spans="1:1" ht="15.75" x14ac:dyDescent="0.25">
      <c r="A1445" s="890"/>
    </row>
    <row r="1446" spans="1:1" ht="15.75" x14ac:dyDescent="0.25">
      <c r="A1446" s="890"/>
    </row>
    <row r="1447" spans="1:1" ht="15.75" x14ac:dyDescent="0.25">
      <c r="A1447" s="890"/>
    </row>
    <row r="1448" spans="1:1" ht="15.75" x14ac:dyDescent="0.25">
      <c r="A1448" s="890"/>
    </row>
    <row r="1449" spans="1:1" ht="15.75" x14ac:dyDescent="0.25">
      <c r="A1449" s="890"/>
    </row>
    <row r="1450" spans="1:1" ht="15.75" x14ac:dyDescent="0.25">
      <c r="A1450" s="890"/>
    </row>
    <row r="1451" spans="1:1" ht="15.75" x14ac:dyDescent="0.25">
      <c r="A1451" s="890"/>
    </row>
    <row r="1452" spans="1:1" ht="15.75" x14ac:dyDescent="0.25">
      <c r="A1452" s="890"/>
    </row>
    <row r="1453" spans="1:1" ht="15.75" x14ac:dyDescent="0.25">
      <c r="A1453" s="890"/>
    </row>
    <row r="1454" spans="1:1" ht="15.75" x14ac:dyDescent="0.25">
      <c r="A1454" s="890"/>
    </row>
    <row r="1455" spans="1:1" ht="15.75" x14ac:dyDescent="0.25">
      <c r="A1455" s="890"/>
    </row>
    <row r="1456" spans="1:1" ht="15.75" x14ac:dyDescent="0.25">
      <c r="A1456" s="890"/>
    </row>
    <row r="1457" spans="1:1" ht="15.75" x14ac:dyDescent="0.25">
      <c r="A1457" s="890"/>
    </row>
    <row r="1458" spans="1:1" ht="15.75" x14ac:dyDescent="0.25">
      <c r="A1458" s="890"/>
    </row>
    <row r="1459" spans="1:1" ht="15.75" x14ac:dyDescent="0.25">
      <c r="A1459" s="890"/>
    </row>
    <row r="1460" spans="1:1" ht="15.75" x14ac:dyDescent="0.25">
      <c r="A1460" s="890"/>
    </row>
    <row r="1461" spans="1:1" ht="15.75" x14ac:dyDescent="0.25">
      <c r="A1461" s="890"/>
    </row>
    <row r="1462" spans="1:1" ht="15.75" x14ac:dyDescent="0.25">
      <c r="A1462" s="890"/>
    </row>
    <row r="1463" spans="1:1" ht="15.75" x14ac:dyDescent="0.25">
      <c r="A1463" s="890"/>
    </row>
    <row r="1464" spans="1:1" ht="15.75" x14ac:dyDescent="0.25">
      <c r="A1464" s="890"/>
    </row>
    <row r="1465" spans="1:1" ht="15.75" x14ac:dyDescent="0.25">
      <c r="A1465" s="890"/>
    </row>
    <row r="1466" spans="1:1" ht="15.75" x14ac:dyDescent="0.25">
      <c r="A1466" s="890"/>
    </row>
    <row r="1467" spans="1:1" ht="15.75" x14ac:dyDescent="0.25">
      <c r="A1467" s="890"/>
    </row>
    <row r="1468" spans="1:1" ht="15.75" x14ac:dyDescent="0.25">
      <c r="A1468" s="890"/>
    </row>
    <row r="1469" spans="1:1" ht="15.75" x14ac:dyDescent="0.25">
      <c r="A1469" s="890"/>
    </row>
    <row r="1470" spans="1:1" ht="15.75" x14ac:dyDescent="0.25">
      <c r="A1470" s="890"/>
    </row>
    <row r="1471" spans="1:1" ht="15.75" x14ac:dyDescent="0.25">
      <c r="A1471" s="890"/>
    </row>
    <row r="1472" spans="1:1" ht="15.75" x14ac:dyDescent="0.25">
      <c r="A1472" s="890"/>
    </row>
    <row r="1473" spans="1:1" ht="15.75" x14ac:dyDescent="0.25">
      <c r="A1473" s="890"/>
    </row>
    <row r="1474" spans="1:1" ht="15.75" x14ac:dyDescent="0.25">
      <c r="A1474" s="890"/>
    </row>
    <row r="1475" spans="1:1" ht="15.75" x14ac:dyDescent="0.25">
      <c r="A1475" s="890"/>
    </row>
    <row r="1476" spans="1:1" ht="15.75" x14ac:dyDescent="0.25">
      <c r="A1476" s="890"/>
    </row>
    <row r="1477" spans="1:1" ht="15.75" x14ac:dyDescent="0.25">
      <c r="A1477" s="890"/>
    </row>
    <row r="1478" spans="1:1" ht="15.75" x14ac:dyDescent="0.25">
      <c r="A1478" s="890"/>
    </row>
    <row r="1479" spans="1:1" ht="15.75" x14ac:dyDescent="0.25">
      <c r="A1479" s="890"/>
    </row>
    <row r="1480" spans="1:1" ht="15.75" x14ac:dyDescent="0.25">
      <c r="A1480" s="890"/>
    </row>
    <row r="1481" spans="1:1" ht="15.75" x14ac:dyDescent="0.25">
      <c r="A1481" s="890"/>
    </row>
    <row r="1482" spans="1:1" ht="15.75" x14ac:dyDescent="0.25">
      <c r="A1482" s="890"/>
    </row>
    <row r="1483" spans="1:1" ht="15.75" x14ac:dyDescent="0.25">
      <c r="A1483" s="890"/>
    </row>
    <row r="1484" spans="1:1" ht="15.75" x14ac:dyDescent="0.25">
      <c r="A1484" s="890"/>
    </row>
    <row r="1485" spans="1:1" ht="15.75" x14ac:dyDescent="0.25">
      <c r="A1485" s="890"/>
    </row>
    <row r="1486" spans="1:1" ht="15.75" x14ac:dyDescent="0.25">
      <c r="A1486" s="890"/>
    </row>
    <row r="1487" spans="1:1" ht="15.75" x14ac:dyDescent="0.25">
      <c r="A1487" s="890"/>
    </row>
    <row r="1488" spans="1:1" ht="15.75" x14ac:dyDescent="0.25">
      <c r="A1488" s="890"/>
    </row>
    <row r="1489" spans="1:1" ht="15.75" x14ac:dyDescent="0.25">
      <c r="A1489" s="890"/>
    </row>
    <row r="1490" spans="1:1" ht="15.75" x14ac:dyDescent="0.25">
      <c r="A1490" s="890"/>
    </row>
    <row r="1491" spans="1:1" ht="15.75" x14ac:dyDescent="0.25">
      <c r="A1491" s="890"/>
    </row>
    <row r="1492" spans="1:1" ht="15.75" x14ac:dyDescent="0.25">
      <c r="A1492" s="890"/>
    </row>
    <row r="1493" spans="1:1" ht="15.75" x14ac:dyDescent="0.25">
      <c r="A1493" s="890"/>
    </row>
    <row r="1494" spans="1:1" ht="15.75" x14ac:dyDescent="0.25">
      <c r="A1494" s="890"/>
    </row>
    <row r="1495" spans="1:1" ht="15.75" x14ac:dyDescent="0.25">
      <c r="A1495" s="890"/>
    </row>
    <row r="1496" spans="1:1" ht="15.75" x14ac:dyDescent="0.25">
      <c r="A1496" s="890"/>
    </row>
    <row r="1497" spans="1:1" ht="15.75" x14ac:dyDescent="0.25">
      <c r="A1497" s="890"/>
    </row>
    <row r="1498" spans="1:1" ht="15.75" x14ac:dyDescent="0.25">
      <c r="A1498" s="890"/>
    </row>
    <row r="1499" spans="1:1" ht="15.75" x14ac:dyDescent="0.25">
      <c r="A1499" s="890"/>
    </row>
    <row r="1500" spans="1:1" ht="15.75" x14ac:dyDescent="0.25">
      <c r="A1500" s="890"/>
    </row>
    <row r="1501" spans="1:1" ht="15.75" x14ac:dyDescent="0.25">
      <c r="A1501" s="890"/>
    </row>
    <row r="1502" spans="1:1" ht="15.75" x14ac:dyDescent="0.25">
      <c r="A1502" s="890"/>
    </row>
    <row r="1503" spans="1:1" ht="15.75" x14ac:dyDescent="0.25">
      <c r="A1503" s="890"/>
    </row>
    <row r="1504" spans="1:1" ht="15.75" x14ac:dyDescent="0.25">
      <c r="A1504" s="890"/>
    </row>
    <row r="1505" spans="1:1" ht="15.75" x14ac:dyDescent="0.25">
      <c r="A1505" s="890"/>
    </row>
    <row r="1506" spans="1:1" ht="15.75" x14ac:dyDescent="0.25">
      <c r="A1506" s="890"/>
    </row>
    <row r="1507" spans="1:1" ht="15.75" x14ac:dyDescent="0.25">
      <c r="A1507" s="890"/>
    </row>
    <row r="1508" spans="1:1" ht="15.75" x14ac:dyDescent="0.25">
      <c r="A1508" s="890"/>
    </row>
    <row r="1509" spans="1:1" ht="15.75" x14ac:dyDescent="0.25">
      <c r="A1509" s="890"/>
    </row>
    <row r="1510" spans="1:1" ht="15.75" x14ac:dyDescent="0.25">
      <c r="A1510" s="890"/>
    </row>
    <row r="1511" spans="1:1" ht="15.75" x14ac:dyDescent="0.25">
      <c r="A1511" s="890"/>
    </row>
    <row r="1512" spans="1:1" ht="15.75" x14ac:dyDescent="0.25">
      <c r="A1512" s="890"/>
    </row>
    <row r="1513" spans="1:1" ht="15.75" x14ac:dyDescent="0.25">
      <c r="A1513" s="890"/>
    </row>
    <row r="1514" spans="1:1" ht="15.75" x14ac:dyDescent="0.25">
      <c r="A1514" s="890"/>
    </row>
    <row r="1515" spans="1:1" ht="15.75" x14ac:dyDescent="0.25">
      <c r="A1515" s="890"/>
    </row>
    <row r="1516" spans="1:1" ht="15.75" x14ac:dyDescent="0.25">
      <c r="A1516" s="890"/>
    </row>
    <row r="1517" spans="1:1" ht="15.75" x14ac:dyDescent="0.25">
      <c r="A1517" s="890"/>
    </row>
    <row r="1518" spans="1:1" ht="15.75" x14ac:dyDescent="0.25">
      <c r="A1518" s="890"/>
    </row>
    <row r="1519" spans="1:1" ht="15.75" x14ac:dyDescent="0.25">
      <c r="A1519" s="890"/>
    </row>
    <row r="1520" spans="1:1" ht="15.75" x14ac:dyDescent="0.25">
      <c r="A1520" s="890"/>
    </row>
    <row r="1521" spans="1:1" ht="15.75" x14ac:dyDescent="0.25">
      <c r="A1521" s="890"/>
    </row>
    <row r="1522" spans="1:1" ht="15.75" x14ac:dyDescent="0.25">
      <c r="A1522" s="890"/>
    </row>
    <row r="1523" spans="1:1" ht="15.75" x14ac:dyDescent="0.25">
      <c r="A1523" s="890"/>
    </row>
    <row r="1524" spans="1:1" ht="15.75" x14ac:dyDescent="0.25">
      <c r="A1524" s="890"/>
    </row>
    <row r="1525" spans="1:1" ht="15.75" x14ac:dyDescent="0.25">
      <c r="A1525" s="890"/>
    </row>
    <row r="1526" spans="1:1" ht="15.75" x14ac:dyDescent="0.25">
      <c r="A1526" s="890"/>
    </row>
    <row r="1527" spans="1:1" ht="15.75" x14ac:dyDescent="0.25">
      <c r="A1527" s="890"/>
    </row>
    <row r="1528" spans="1:1" ht="15.75" x14ac:dyDescent="0.25">
      <c r="A1528" s="890"/>
    </row>
    <row r="1529" spans="1:1" ht="15.75" x14ac:dyDescent="0.25">
      <c r="A1529" s="890"/>
    </row>
    <row r="1530" spans="1:1" ht="15.75" x14ac:dyDescent="0.25">
      <c r="A1530" s="890"/>
    </row>
    <row r="1531" spans="1:1" ht="15.75" x14ac:dyDescent="0.25">
      <c r="A1531" s="890"/>
    </row>
    <row r="1532" spans="1:1" ht="15.75" x14ac:dyDescent="0.25">
      <c r="A1532" s="890"/>
    </row>
    <row r="1533" spans="1:1" ht="15.75" x14ac:dyDescent="0.25">
      <c r="A1533" s="890"/>
    </row>
    <row r="1534" spans="1:1" ht="15.75" x14ac:dyDescent="0.25">
      <c r="A1534" s="890"/>
    </row>
    <row r="1535" spans="1:1" ht="15.75" x14ac:dyDescent="0.25">
      <c r="A1535" s="890"/>
    </row>
    <row r="1536" spans="1:1" ht="15.75" x14ac:dyDescent="0.25">
      <c r="A1536" s="890"/>
    </row>
    <row r="1537" spans="1:1" ht="15.75" x14ac:dyDescent="0.25">
      <c r="A1537" s="890"/>
    </row>
    <row r="1538" spans="1:1" ht="15.75" x14ac:dyDescent="0.25">
      <c r="A1538" s="890"/>
    </row>
    <row r="1539" spans="1:1" ht="15.75" x14ac:dyDescent="0.25">
      <c r="A1539" s="890"/>
    </row>
    <row r="1540" spans="1:1" ht="15.75" x14ac:dyDescent="0.25">
      <c r="A1540" s="890"/>
    </row>
    <row r="1541" spans="1:1" ht="15.75" x14ac:dyDescent="0.25">
      <c r="A1541" s="890"/>
    </row>
    <row r="1542" spans="1:1" ht="15.75" x14ac:dyDescent="0.25">
      <c r="A1542" s="890"/>
    </row>
    <row r="1543" spans="1:1" ht="15.75" x14ac:dyDescent="0.25">
      <c r="A1543" s="890"/>
    </row>
    <row r="1544" spans="1:1" ht="15.75" x14ac:dyDescent="0.25">
      <c r="A1544" s="890"/>
    </row>
    <row r="1545" spans="1:1" ht="15.75" x14ac:dyDescent="0.25">
      <c r="A1545" s="890"/>
    </row>
    <row r="1546" spans="1:1" ht="15.75" x14ac:dyDescent="0.25">
      <c r="A1546" s="890"/>
    </row>
    <row r="1547" spans="1:1" ht="15.75" x14ac:dyDescent="0.25">
      <c r="A1547" s="890"/>
    </row>
    <row r="1548" spans="1:1" ht="15.75" x14ac:dyDescent="0.25">
      <c r="A1548" s="890"/>
    </row>
    <row r="1549" spans="1:1" ht="15.75" x14ac:dyDescent="0.25">
      <c r="A1549" s="890"/>
    </row>
    <row r="1550" spans="1:1" ht="15.75" x14ac:dyDescent="0.25">
      <c r="A1550" s="890"/>
    </row>
    <row r="1551" spans="1:1" ht="15.75" x14ac:dyDescent="0.25">
      <c r="A1551" s="890"/>
    </row>
    <row r="1552" spans="1:1" ht="15.75" x14ac:dyDescent="0.25">
      <c r="A1552" s="890"/>
    </row>
    <row r="1553" spans="1:1" ht="15.75" x14ac:dyDescent="0.25">
      <c r="A1553" s="890"/>
    </row>
    <row r="1554" spans="1:1" ht="15.75" x14ac:dyDescent="0.25">
      <c r="A1554" s="890"/>
    </row>
    <row r="1555" spans="1:1" ht="15.75" x14ac:dyDescent="0.25">
      <c r="A1555" s="890"/>
    </row>
    <row r="1556" spans="1:1" ht="15.75" x14ac:dyDescent="0.25">
      <c r="A1556" s="890"/>
    </row>
    <row r="1557" spans="1:1" ht="15.75" x14ac:dyDescent="0.25">
      <c r="A1557" s="890"/>
    </row>
    <row r="1558" spans="1:1" ht="15.75" x14ac:dyDescent="0.25">
      <c r="A1558" s="890"/>
    </row>
    <row r="1559" spans="1:1" ht="15.75" x14ac:dyDescent="0.25">
      <c r="A1559" s="890"/>
    </row>
    <row r="1560" spans="1:1" ht="15.75" x14ac:dyDescent="0.25">
      <c r="A1560" s="890"/>
    </row>
    <row r="1561" spans="1:1" ht="15.75" x14ac:dyDescent="0.25">
      <c r="A1561" s="890"/>
    </row>
    <row r="1562" spans="1:1" ht="15.75" x14ac:dyDescent="0.25">
      <c r="A1562" s="890"/>
    </row>
    <row r="1563" spans="1:1" ht="15.75" x14ac:dyDescent="0.25">
      <c r="A1563" s="890"/>
    </row>
    <row r="1564" spans="1:1" ht="15.75" x14ac:dyDescent="0.25">
      <c r="A1564" s="890"/>
    </row>
    <row r="1565" spans="1:1" ht="15.75" x14ac:dyDescent="0.25">
      <c r="A1565" s="890"/>
    </row>
    <row r="1566" spans="1:1" ht="15.75" x14ac:dyDescent="0.25">
      <c r="A1566" s="890"/>
    </row>
    <row r="1567" spans="1:1" ht="15.75" x14ac:dyDescent="0.25">
      <c r="A1567" s="890"/>
    </row>
    <row r="1568" spans="1:1" ht="15.75" x14ac:dyDescent="0.25">
      <c r="A1568" s="890"/>
    </row>
    <row r="1569" spans="1:1" ht="15.75" x14ac:dyDescent="0.25">
      <c r="A1569" s="890"/>
    </row>
    <row r="1570" spans="1:1" ht="15.75" x14ac:dyDescent="0.25">
      <c r="A1570" s="890"/>
    </row>
    <row r="1571" spans="1:1" ht="15.75" x14ac:dyDescent="0.25">
      <c r="A1571" s="890"/>
    </row>
    <row r="1572" spans="1:1" ht="15.75" x14ac:dyDescent="0.25">
      <c r="A1572" s="890"/>
    </row>
    <row r="1573" spans="1:1" ht="15.75" x14ac:dyDescent="0.25">
      <c r="A1573" s="890"/>
    </row>
    <row r="1574" spans="1:1" ht="15.75" x14ac:dyDescent="0.25">
      <c r="A1574" s="890"/>
    </row>
    <row r="1575" spans="1:1" ht="15.75" x14ac:dyDescent="0.25">
      <c r="A1575" s="890"/>
    </row>
    <row r="1576" spans="1:1" ht="15.75" x14ac:dyDescent="0.25">
      <c r="A1576" s="890"/>
    </row>
    <row r="1577" spans="1:1" ht="15.75" x14ac:dyDescent="0.25">
      <c r="A1577" s="890"/>
    </row>
    <row r="1578" spans="1:1" ht="15.75" x14ac:dyDescent="0.25">
      <c r="A1578" s="890"/>
    </row>
    <row r="1579" spans="1:1" ht="15.75" x14ac:dyDescent="0.25">
      <c r="A1579" s="890"/>
    </row>
    <row r="1580" spans="1:1" ht="15.75" x14ac:dyDescent="0.25">
      <c r="A1580" s="890"/>
    </row>
    <row r="1581" spans="1:1" ht="15.75" x14ac:dyDescent="0.25">
      <c r="A1581" s="890"/>
    </row>
    <row r="1582" spans="1:1" ht="15.75" x14ac:dyDescent="0.25">
      <c r="A1582" s="890"/>
    </row>
    <row r="1583" spans="1:1" ht="15.75" x14ac:dyDescent="0.25">
      <c r="A1583" s="890"/>
    </row>
    <row r="1584" spans="1:1" ht="15.75" x14ac:dyDescent="0.25">
      <c r="A1584" s="890"/>
    </row>
    <row r="1585" spans="1:1" ht="15.75" x14ac:dyDescent="0.25">
      <c r="A1585" s="890"/>
    </row>
    <row r="1586" spans="1:1" ht="15.75" x14ac:dyDescent="0.25">
      <c r="A1586" s="890"/>
    </row>
    <row r="1587" spans="1:1" ht="15.75" x14ac:dyDescent="0.25">
      <c r="A1587" s="890"/>
    </row>
    <row r="1588" spans="1:1" ht="15.75" x14ac:dyDescent="0.25">
      <c r="A1588" s="890"/>
    </row>
    <row r="1589" spans="1:1" ht="15.75" x14ac:dyDescent="0.25">
      <c r="A1589" s="890"/>
    </row>
    <row r="1590" spans="1:1" ht="15.75" x14ac:dyDescent="0.25">
      <c r="A1590" s="890"/>
    </row>
    <row r="1591" spans="1:1" ht="15.75" x14ac:dyDescent="0.25">
      <c r="A1591" s="890"/>
    </row>
    <row r="1592" spans="1:1" ht="15.75" x14ac:dyDescent="0.25">
      <c r="A1592" s="890"/>
    </row>
    <row r="1593" spans="1:1" ht="15.75" x14ac:dyDescent="0.25">
      <c r="A1593" s="890"/>
    </row>
    <row r="1594" spans="1:1" ht="15.75" x14ac:dyDescent="0.25">
      <c r="A1594" s="890"/>
    </row>
    <row r="1595" spans="1:1" ht="15.75" x14ac:dyDescent="0.25">
      <c r="A1595" s="890"/>
    </row>
    <row r="1596" spans="1:1" ht="15.75" x14ac:dyDescent="0.25">
      <c r="A1596" s="890"/>
    </row>
    <row r="1597" spans="1:1" ht="15.75" x14ac:dyDescent="0.25">
      <c r="A1597" s="890"/>
    </row>
    <row r="1598" spans="1:1" ht="15.75" x14ac:dyDescent="0.25">
      <c r="A1598" s="890"/>
    </row>
    <row r="1599" spans="1:1" ht="15.75" x14ac:dyDescent="0.25">
      <c r="A1599" s="890"/>
    </row>
    <row r="1600" spans="1:1" ht="15.75" x14ac:dyDescent="0.25">
      <c r="A1600" s="890"/>
    </row>
    <row r="1601" spans="1:1" ht="15.75" x14ac:dyDescent="0.25">
      <c r="A1601" s="890"/>
    </row>
    <row r="1602" spans="1:1" ht="15.75" x14ac:dyDescent="0.25">
      <c r="A1602" s="890"/>
    </row>
    <row r="1603" spans="1:1" ht="15.75" x14ac:dyDescent="0.25">
      <c r="A1603" s="890"/>
    </row>
    <row r="1604" spans="1:1" ht="15.75" x14ac:dyDescent="0.25">
      <c r="A1604" s="890"/>
    </row>
    <row r="1605" spans="1:1" ht="15.75" x14ac:dyDescent="0.25">
      <c r="A1605" s="890"/>
    </row>
    <row r="1606" spans="1:1" ht="15.75" x14ac:dyDescent="0.25">
      <c r="A1606" s="890"/>
    </row>
    <row r="1607" spans="1:1" ht="15.75" x14ac:dyDescent="0.25">
      <c r="A1607" s="890"/>
    </row>
    <row r="1608" spans="1:1" ht="15.75" x14ac:dyDescent="0.25">
      <c r="A1608" s="890"/>
    </row>
    <row r="1609" spans="1:1" ht="15.75" x14ac:dyDescent="0.25">
      <c r="A1609" s="890"/>
    </row>
    <row r="1610" spans="1:1" ht="15.75" x14ac:dyDescent="0.25">
      <c r="A1610" s="890"/>
    </row>
    <row r="1611" spans="1:1" ht="15.75" x14ac:dyDescent="0.25">
      <c r="A1611" s="890"/>
    </row>
    <row r="1612" spans="1:1" ht="15.75" x14ac:dyDescent="0.25">
      <c r="A1612" s="890"/>
    </row>
    <row r="1613" spans="1:1" ht="15.75" x14ac:dyDescent="0.25">
      <c r="A1613" s="890"/>
    </row>
    <row r="1614" spans="1:1" ht="15.75" x14ac:dyDescent="0.25">
      <c r="A1614" s="890"/>
    </row>
    <row r="1615" spans="1:1" ht="15.75" x14ac:dyDescent="0.25">
      <c r="A1615" s="890"/>
    </row>
    <row r="1616" spans="1:1" ht="15.75" x14ac:dyDescent="0.25">
      <c r="A1616" s="890"/>
    </row>
    <row r="1617" spans="1:1" ht="15.75" x14ac:dyDescent="0.25">
      <c r="A1617" s="890"/>
    </row>
    <row r="1618" spans="1:1" ht="15.75" x14ac:dyDescent="0.25">
      <c r="A1618" s="890"/>
    </row>
    <row r="1619" spans="1:1" ht="15.75" x14ac:dyDescent="0.25">
      <c r="A1619" s="890"/>
    </row>
    <row r="1620" spans="1:1" ht="15.75" x14ac:dyDescent="0.25">
      <c r="A1620" s="890"/>
    </row>
    <row r="1621" spans="1:1" ht="15.75" x14ac:dyDescent="0.25">
      <c r="A1621" s="890"/>
    </row>
    <row r="1622" spans="1:1" ht="15.75" x14ac:dyDescent="0.25">
      <c r="A1622" s="890"/>
    </row>
    <row r="1623" spans="1:1" ht="15.75" x14ac:dyDescent="0.25">
      <c r="A1623" s="890"/>
    </row>
    <row r="1624" spans="1:1" ht="15.75" x14ac:dyDescent="0.25">
      <c r="A1624" s="890"/>
    </row>
    <row r="1625" spans="1:1" ht="15.75" x14ac:dyDescent="0.25">
      <c r="A1625" s="890"/>
    </row>
    <row r="1626" spans="1:1" ht="15.75" x14ac:dyDescent="0.25">
      <c r="A1626" s="890"/>
    </row>
    <row r="1627" spans="1:1" ht="15.75" x14ac:dyDescent="0.25">
      <c r="A1627" s="890"/>
    </row>
    <row r="1628" spans="1:1" ht="15.75" x14ac:dyDescent="0.25">
      <c r="A1628" s="890"/>
    </row>
    <row r="1629" spans="1:1" ht="15.75" x14ac:dyDescent="0.25">
      <c r="A1629" s="890"/>
    </row>
    <row r="1630" spans="1:1" ht="15.75" x14ac:dyDescent="0.25">
      <c r="A1630" s="890"/>
    </row>
    <row r="1631" spans="1:1" ht="15.75" x14ac:dyDescent="0.25">
      <c r="A1631" s="890"/>
    </row>
    <row r="1632" spans="1:1" ht="15.75" x14ac:dyDescent="0.25">
      <c r="A1632" s="890"/>
    </row>
    <row r="1633" spans="1:1" ht="15.75" x14ac:dyDescent="0.25">
      <c r="A1633" s="890"/>
    </row>
    <row r="1634" spans="1:1" ht="15.75" x14ac:dyDescent="0.25">
      <c r="A1634" s="890"/>
    </row>
    <row r="1635" spans="1:1" ht="15.75" x14ac:dyDescent="0.25">
      <c r="A1635" s="890"/>
    </row>
    <row r="1636" spans="1:1" ht="15.75" x14ac:dyDescent="0.25">
      <c r="A1636" s="890"/>
    </row>
    <row r="1637" spans="1:1" ht="15.75" x14ac:dyDescent="0.25">
      <c r="A1637" s="890"/>
    </row>
    <row r="1638" spans="1:1" ht="15.75" x14ac:dyDescent="0.25">
      <c r="A1638" s="890"/>
    </row>
    <row r="1639" spans="1:1" ht="15.75" x14ac:dyDescent="0.25">
      <c r="A1639" s="890"/>
    </row>
    <row r="1640" spans="1:1" ht="15.75" x14ac:dyDescent="0.25">
      <c r="A1640" s="890"/>
    </row>
    <row r="1641" spans="1:1" ht="15.75" x14ac:dyDescent="0.25">
      <c r="A1641" s="890"/>
    </row>
    <row r="1642" spans="1:1" ht="15.75" x14ac:dyDescent="0.25">
      <c r="A1642" s="890"/>
    </row>
    <row r="1643" spans="1:1" ht="15.75" x14ac:dyDescent="0.25">
      <c r="A1643" s="890"/>
    </row>
    <row r="1644" spans="1:1" ht="15.75" x14ac:dyDescent="0.25">
      <c r="A1644" s="890"/>
    </row>
    <row r="1645" spans="1:1" ht="15.75" x14ac:dyDescent="0.25">
      <c r="A1645" s="890"/>
    </row>
    <row r="1646" spans="1:1" ht="15.75" x14ac:dyDescent="0.25">
      <c r="A1646" s="890"/>
    </row>
    <row r="1647" spans="1:1" ht="15.75" x14ac:dyDescent="0.25">
      <c r="A1647" s="890"/>
    </row>
    <row r="1648" spans="1:1" ht="15.75" x14ac:dyDescent="0.25">
      <c r="A1648" s="890"/>
    </row>
    <row r="1649" spans="1:1" ht="15.75" x14ac:dyDescent="0.25">
      <c r="A1649" s="890"/>
    </row>
    <row r="1650" spans="1:1" ht="15.75" x14ac:dyDescent="0.25">
      <c r="A1650" s="890"/>
    </row>
    <row r="1651" spans="1:1" ht="15.75" x14ac:dyDescent="0.25">
      <c r="A1651" s="890"/>
    </row>
    <row r="1652" spans="1:1" ht="15.75" x14ac:dyDescent="0.25">
      <c r="A1652" s="890"/>
    </row>
    <row r="1653" spans="1:1" ht="15.75" x14ac:dyDescent="0.25">
      <c r="A1653" s="890"/>
    </row>
    <row r="1654" spans="1:1" ht="15.75" x14ac:dyDescent="0.25">
      <c r="A1654" s="890"/>
    </row>
    <row r="1655" spans="1:1" ht="15.75" x14ac:dyDescent="0.25">
      <c r="A1655" s="890"/>
    </row>
    <row r="1656" spans="1:1" ht="15.75" x14ac:dyDescent="0.25">
      <c r="A1656" s="890"/>
    </row>
    <row r="1657" spans="1:1" ht="15.75" x14ac:dyDescent="0.25">
      <c r="A1657" s="890"/>
    </row>
    <row r="1658" spans="1:1" ht="15.75" x14ac:dyDescent="0.25">
      <c r="A1658" s="890"/>
    </row>
    <row r="1659" spans="1:1" ht="15.75" x14ac:dyDescent="0.25">
      <c r="A1659" s="890"/>
    </row>
    <row r="1660" spans="1:1" ht="15.75" x14ac:dyDescent="0.25">
      <c r="A1660" s="890"/>
    </row>
    <row r="1661" spans="1:1" ht="15.75" x14ac:dyDescent="0.25">
      <c r="A1661" s="890"/>
    </row>
    <row r="1662" spans="1:1" ht="15.75" x14ac:dyDescent="0.25">
      <c r="A1662" s="890"/>
    </row>
    <row r="1663" spans="1:1" ht="15.75" x14ac:dyDescent="0.25">
      <c r="A1663" s="890"/>
    </row>
    <row r="1664" spans="1:1" ht="15.75" x14ac:dyDescent="0.25">
      <c r="A1664" s="890"/>
    </row>
    <row r="1665" spans="1:1" ht="15.75" x14ac:dyDescent="0.25">
      <c r="A1665" s="890"/>
    </row>
    <row r="1666" spans="1:1" ht="15.75" x14ac:dyDescent="0.25">
      <c r="A1666" s="890"/>
    </row>
    <row r="1667" spans="1:1" ht="15.75" x14ac:dyDescent="0.25">
      <c r="A1667" s="890"/>
    </row>
    <row r="1668" spans="1:1" ht="15.75" x14ac:dyDescent="0.25">
      <c r="A1668" s="890"/>
    </row>
    <row r="1669" spans="1:1" ht="15.75" x14ac:dyDescent="0.25">
      <c r="A1669" s="890"/>
    </row>
    <row r="1670" spans="1:1" ht="15.75" x14ac:dyDescent="0.25">
      <c r="A1670" s="890"/>
    </row>
    <row r="1671" spans="1:1" ht="15.75" x14ac:dyDescent="0.25">
      <c r="A1671" s="890"/>
    </row>
    <row r="1672" spans="1:1" ht="15.75" x14ac:dyDescent="0.25">
      <c r="A1672" s="890"/>
    </row>
    <row r="1673" spans="1:1" ht="15.75" x14ac:dyDescent="0.25">
      <c r="A1673" s="890"/>
    </row>
    <row r="1674" spans="1:1" ht="15.75" x14ac:dyDescent="0.25">
      <c r="A1674" s="890"/>
    </row>
    <row r="1675" spans="1:1" ht="15.75" x14ac:dyDescent="0.25">
      <c r="A1675" s="890"/>
    </row>
    <row r="1676" spans="1:1" ht="15.75" x14ac:dyDescent="0.25">
      <c r="A1676" s="890"/>
    </row>
    <row r="1677" spans="1:1" ht="15.75" x14ac:dyDescent="0.25">
      <c r="A1677" s="890"/>
    </row>
    <row r="1678" spans="1:1" ht="15.75" x14ac:dyDescent="0.25">
      <c r="A1678" s="890"/>
    </row>
    <row r="1679" spans="1:1" ht="15.75" x14ac:dyDescent="0.25">
      <c r="A1679" s="890"/>
    </row>
    <row r="1680" spans="1:1" ht="15.75" x14ac:dyDescent="0.25">
      <c r="A1680" s="890"/>
    </row>
    <row r="1681" spans="1:1" ht="15.75" x14ac:dyDescent="0.25">
      <c r="A1681" s="890"/>
    </row>
    <row r="1682" spans="1:1" ht="15.75" x14ac:dyDescent="0.25">
      <c r="A1682" s="890"/>
    </row>
    <row r="1683" spans="1:1" ht="15.75" x14ac:dyDescent="0.25">
      <c r="A1683" s="890"/>
    </row>
    <row r="1684" spans="1:1" ht="15.75" x14ac:dyDescent="0.25">
      <c r="A1684" s="890"/>
    </row>
    <row r="1685" spans="1:1" ht="15.75" x14ac:dyDescent="0.25">
      <c r="A1685" s="890"/>
    </row>
    <row r="1686" spans="1:1" ht="15.75" x14ac:dyDescent="0.25">
      <c r="A1686" s="890"/>
    </row>
    <row r="1687" spans="1:1" ht="15.75" x14ac:dyDescent="0.25">
      <c r="A1687" s="890"/>
    </row>
    <row r="1688" spans="1:1" ht="15.75" x14ac:dyDescent="0.25">
      <c r="A1688" s="890"/>
    </row>
    <row r="1689" spans="1:1" ht="15.75" x14ac:dyDescent="0.25">
      <c r="A1689" s="890"/>
    </row>
    <row r="1690" spans="1:1" ht="15.75" x14ac:dyDescent="0.25">
      <c r="A1690" s="890"/>
    </row>
    <row r="1691" spans="1:1" ht="15.75" x14ac:dyDescent="0.25">
      <c r="A1691" s="890"/>
    </row>
    <row r="1692" spans="1:1" ht="15.75" x14ac:dyDescent="0.25">
      <c r="A1692" s="890"/>
    </row>
    <row r="1693" spans="1:1" ht="15.75" x14ac:dyDescent="0.25">
      <c r="A1693" s="890"/>
    </row>
    <row r="1694" spans="1:1" ht="15.75" x14ac:dyDescent="0.25">
      <c r="A1694" s="890"/>
    </row>
    <row r="1695" spans="1:1" ht="15.75" x14ac:dyDescent="0.25">
      <c r="A1695" s="890"/>
    </row>
    <row r="1696" spans="1:1" ht="15.75" x14ac:dyDescent="0.25">
      <c r="A1696" s="890"/>
    </row>
    <row r="1697" spans="1:1" ht="15.75" x14ac:dyDescent="0.25">
      <c r="A1697" s="890"/>
    </row>
    <row r="1698" spans="1:1" ht="15.75" x14ac:dyDescent="0.25">
      <c r="A1698" s="890"/>
    </row>
    <row r="1699" spans="1:1" ht="15.75" x14ac:dyDescent="0.25">
      <c r="A1699" s="890"/>
    </row>
    <row r="1700" spans="1:1" ht="15.75" x14ac:dyDescent="0.25">
      <c r="A1700" s="890"/>
    </row>
    <row r="1701" spans="1:1" ht="15.75" x14ac:dyDescent="0.25">
      <c r="A1701" s="890"/>
    </row>
    <row r="1702" spans="1:1" ht="15.75" x14ac:dyDescent="0.25">
      <c r="A1702" s="890"/>
    </row>
    <row r="1703" spans="1:1" ht="15.75" x14ac:dyDescent="0.25">
      <c r="A1703" s="890"/>
    </row>
    <row r="1704" spans="1:1" ht="15.75" x14ac:dyDescent="0.25">
      <c r="A1704" s="890"/>
    </row>
    <row r="1705" spans="1:1" ht="15.75" x14ac:dyDescent="0.25">
      <c r="A1705" s="890"/>
    </row>
    <row r="1706" spans="1:1" ht="15.75" x14ac:dyDescent="0.25">
      <c r="A1706" s="890"/>
    </row>
    <row r="1707" spans="1:1" ht="15.75" x14ac:dyDescent="0.25">
      <c r="A1707" s="890"/>
    </row>
    <row r="1708" spans="1:1" ht="15.75" x14ac:dyDescent="0.25">
      <c r="A1708" s="890"/>
    </row>
    <row r="1709" spans="1:1" ht="15.75" x14ac:dyDescent="0.25">
      <c r="A1709" s="890"/>
    </row>
    <row r="1710" spans="1:1" ht="15.75" x14ac:dyDescent="0.25">
      <c r="A1710" s="890"/>
    </row>
    <row r="1711" spans="1:1" ht="15.75" x14ac:dyDescent="0.25">
      <c r="A1711" s="890"/>
    </row>
    <row r="1712" spans="1:1" ht="15.75" x14ac:dyDescent="0.25">
      <c r="A1712" s="890"/>
    </row>
    <row r="1713" spans="1:1" ht="15.75" x14ac:dyDescent="0.25">
      <c r="A1713" s="890"/>
    </row>
    <row r="1714" spans="1:1" ht="15.75" x14ac:dyDescent="0.25">
      <c r="A1714" s="890"/>
    </row>
    <row r="1715" spans="1:1" ht="15.75" x14ac:dyDescent="0.25">
      <c r="A1715" s="890"/>
    </row>
    <row r="1716" spans="1:1" ht="15.75" x14ac:dyDescent="0.25">
      <c r="A1716" s="890"/>
    </row>
    <row r="1717" spans="1:1" ht="15.75" x14ac:dyDescent="0.25">
      <c r="A1717" s="890"/>
    </row>
    <row r="1718" spans="1:1" ht="15.75" x14ac:dyDescent="0.25">
      <c r="A1718" s="890"/>
    </row>
    <row r="1719" spans="1:1" ht="15.75" x14ac:dyDescent="0.25">
      <c r="A1719" s="890"/>
    </row>
    <row r="1720" spans="1:1" ht="15.75" x14ac:dyDescent="0.25">
      <c r="A1720" s="890"/>
    </row>
    <row r="1721" spans="1:1" ht="15.75" x14ac:dyDescent="0.25">
      <c r="A1721" s="890"/>
    </row>
    <row r="1722" spans="1:1" ht="15.75" x14ac:dyDescent="0.25">
      <c r="A1722" s="890"/>
    </row>
    <row r="1723" spans="1:1" ht="15.75" x14ac:dyDescent="0.25">
      <c r="A1723" s="890"/>
    </row>
    <row r="1724" spans="1:1" ht="15.75" x14ac:dyDescent="0.25">
      <c r="A1724" s="890"/>
    </row>
    <row r="1725" spans="1:1" ht="15.75" x14ac:dyDescent="0.25">
      <c r="A1725" s="890"/>
    </row>
    <row r="1726" spans="1:1" ht="15.75" x14ac:dyDescent="0.25">
      <c r="A1726" s="890"/>
    </row>
    <row r="1727" spans="1:1" ht="15.75" x14ac:dyDescent="0.25">
      <c r="A1727" s="890"/>
    </row>
    <row r="1728" spans="1:1" ht="15.75" x14ac:dyDescent="0.25">
      <c r="A1728" s="890"/>
    </row>
    <row r="1729" spans="1:1" ht="15.75" x14ac:dyDescent="0.25">
      <c r="A1729" s="890"/>
    </row>
    <row r="1730" spans="1:1" ht="15.75" x14ac:dyDescent="0.25">
      <c r="A1730" s="890"/>
    </row>
    <row r="1731" spans="1:1" ht="15.75" x14ac:dyDescent="0.25">
      <c r="A1731" s="890"/>
    </row>
    <row r="1732" spans="1:1" ht="15.75" x14ac:dyDescent="0.25">
      <c r="A1732" s="890"/>
    </row>
    <row r="1733" spans="1:1" ht="15.75" x14ac:dyDescent="0.25">
      <c r="A1733" s="890"/>
    </row>
    <row r="1734" spans="1:1" ht="15.75" x14ac:dyDescent="0.25">
      <c r="A1734" s="890"/>
    </row>
    <row r="1735" spans="1:1" ht="15.75" x14ac:dyDescent="0.25">
      <c r="A1735" s="890"/>
    </row>
    <row r="1736" spans="1:1" ht="15.75" x14ac:dyDescent="0.25">
      <c r="A1736" s="890"/>
    </row>
    <row r="1737" spans="1:1" ht="15.75" x14ac:dyDescent="0.25">
      <c r="A1737" s="890"/>
    </row>
    <row r="1738" spans="1:1" ht="15.75" x14ac:dyDescent="0.25">
      <c r="A1738" s="890"/>
    </row>
    <row r="1739" spans="1:1" ht="15.75" x14ac:dyDescent="0.25">
      <c r="A1739" s="890"/>
    </row>
    <row r="1740" spans="1:1" ht="15.75" x14ac:dyDescent="0.25">
      <c r="A1740" s="890"/>
    </row>
    <row r="1741" spans="1:1" ht="15.75" x14ac:dyDescent="0.25">
      <c r="A1741" s="890"/>
    </row>
    <row r="1742" spans="1:1" ht="15.75" x14ac:dyDescent="0.25">
      <c r="A1742" s="890"/>
    </row>
    <row r="1743" spans="1:1" ht="15.75" x14ac:dyDescent="0.25">
      <c r="A1743" s="890"/>
    </row>
    <row r="1744" spans="1:1" ht="15.75" x14ac:dyDescent="0.25">
      <c r="A1744" s="890"/>
    </row>
    <row r="1745" spans="1:1" ht="15.75" x14ac:dyDescent="0.25">
      <c r="A1745" s="890"/>
    </row>
    <row r="1746" spans="1:1" ht="15.75" x14ac:dyDescent="0.25">
      <c r="A1746" s="890"/>
    </row>
    <row r="1747" spans="1:1" ht="15.75" x14ac:dyDescent="0.25">
      <c r="A1747" s="890"/>
    </row>
    <row r="1748" spans="1:1" ht="15.75" x14ac:dyDescent="0.25">
      <c r="A1748" s="890"/>
    </row>
    <row r="1749" spans="1:1" ht="15.75" x14ac:dyDescent="0.25">
      <c r="A1749" s="890"/>
    </row>
    <row r="1750" spans="1:1" ht="15.75" x14ac:dyDescent="0.25">
      <c r="A1750" s="890"/>
    </row>
    <row r="1751" spans="1:1" ht="15.75" x14ac:dyDescent="0.25">
      <c r="A1751" s="890"/>
    </row>
    <row r="1752" spans="1:1" ht="15.75" x14ac:dyDescent="0.25">
      <c r="A1752" s="890"/>
    </row>
    <row r="1753" spans="1:1" ht="15.75" x14ac:dyDescent="0.25">
      <c r="A1753" s="890"/>
    </row>
    <row r="1754" spans="1:1" ht="15.75" x14ac:dyDescent="0.25">
      <c r="A1754" s="890"/>
    </row>
    <row r="1755" spans="1:1" ht="15.75" x14ac:dyDescent="0.25">
      <c r="A1755" s="890"/>
    </row>
    <row r="1756" spans="1:1" ht="15.75" x14ac:dyDescent="0.25">
      <c r="A1756" s="890"/>
    </row>
    <row r="1757" spans="1:1" ht="15.75" x14ac:dyDescent="0.25">
      <c r="A1757" s="890"/>
    </row>
    <row r="1758" spans="1:1" ht="15.75" x14ac:dyDescent="0.25">
      <c r="A1758" s="890"/>
    </row>
    <row r="1759" spans="1:1" ht="15.75" x14ac:dyDescent="0.25">
      <c r="A1759" s="890"/>
    </row>
    <row r="1760" spans="1:1" ht="15.75" x14ac:dyDescent="0.25">
      <c r="A1760" s="890"/>
    </row>
    <row r="1761" spans="1:1" ht="15.75" x14ac:dyDescent="0.25">
      <c r="A1761" s="890"/>
    </row>
    <row r="1762" spans="1:1" ht="15.75" x14ac:dyDescent="0.25">
      <c r="A1762" s="890"/>
    </row>
    <row r="1763" spans="1:1" ht="15.75" x14ac:dyDescent="0.25">
      <c r="A1763" s="890"/>
    </row>
    <row r="1764" spans="1:1" ht="15.75" x14ac:dyDescent="0.25">
      <c r="A1764" s="890"/>
    </row>
    <row r="1765" spans="1:1" ht="15.75" x14ac:dyDescent="0.25">
      <c r="A1765" s="890"/>
    </row>
    <row r="1766" spans="1:1" ht="15.75" x14ac:dyDescent="0.25">
      <c r="A1766" s="890"/>
    </row>
    <row r="1767" spans="1:1" ht="15.75" x14ac:dyDescent="0.25">
      <c r="A1767" s="890"/>
    </row>
    <row r="1768" spans="1:1" ht="15.75" x14ac:dyDescent="0.25">
      <c r="A1768" s="890"/>
    </row>
    <row r="1769" spans="1:1" ht="15.75" x14ac:dyDescent="0.25">
      <c r="A1769" s="890"/>
    </row>
    <row r="1770" spans="1:1" ht="15.75" x14ac:dyDescent="0.25">
      <c r="A1770" s="890"/>
    </row>
    <row r="1771" spans="1:1" ht="15.75" x14ac:dyDescent="0.25">
      <c r="A1771" s="890"/>
    </row>
    <row r="1772" spans="1:1" ht="15.75" x14ac:dyDescent="0.25">
      <c r="A1772" s="890"/>
    </row>
    <row r="1773" spans="1:1" ht="15.75" x14ac:dyDescent="0.25">
      <c r="A1773" s="890"/>
    </row>
    <row r="1774" spans="1:1" ht="15.75" x14ac:dyDescent="0.25">
      <c r="A1774" s="890"/>
    </row>
    <row r="1775" spans="1:1" ht="15.75" x14ac:dyDescent="0.25">
      <c r="A1775" s="890"/>
    </row>
    <row r="1776" spans="1:1" ht="15.75" x14ac:dyDescent="0.25">
      <c r="A1776" s="890"/>
    </row>
    <row r="1777" spans="1:1" ht="15.75" x14ac:dyDescent="0.25">
      <c r="A1777" s="890"/>
    </row>
    <row r="1778" spans="1:1" ht="15.75" x14ac:dyDescent="0.25">
      <c r="A1778" s="890"/>
    </row>
    <row r="1779" spans="1:1" ht="15.75" x14ac:dyDescent="0.25">
      <c r="A1779" s="890"/>
    </row>
    <row r="1780" spans="1:1" ht="15.75" x14ac:dyDescent="0.25">
      <c r="A1780" s="890"/>
    </row>
    <row r="1781" spans="1:1" ht="15.75" x14ac:dyDescent="0.25">
      <c r="A1781" s="890"/>
    </row>
    <row r="1782" spans="1:1" ht="15.75" x14ac:dyDescent="0.25">
      <c r="A1782" s="890"/>
    </row>
    <row r="1783" spans="1:1" ht="15.75" x14ac:dyDescent="0.25">
      <c r="A1783" s="890"/>
    </row>
    <row r="1784" spans="1:1" ht="15.75" x14ac:dyDescent="0.25">
      <c r="A1784" s="890"/>
    </row>
    <row r="1785" spans="1:1" ht="15.75" x14ac:dyDescent="0.25">
      <c r="A1785" s="890"/>
    </row>
    <row r="1786" spans="1:1" ht="15.75" x14ac:dyDescent="0.25">
      <c r="A1786" s="890"/>
    </row>
    <row r="1787" spans="1:1" ht="15.75" x14ac:dyDescent="0.25">
      <c r="A1787" s="890"/>
    </row>
    <row r="1788" spans="1:1" ht="15.75" x14ac:dyDescent="0.25">
      <c r="A1788" s="890"/>
    </row>
    <row r="1789" spans="1:1" ht="15.75" x14ac:dyDescent="0.25">
      <c r="A1789" s="890"/>
    </row>
    <row r="1790" spans="1:1" ht="15.75" x14ac:dyDescent="0.25">
      <c r="A1790" s="890"/>
    </row>
    <row r="1791" spans="1:1" ht="15.75" x14ac:dyDescent="0.25">
      <c r="A1791" s="890"/>
    </row>
    <row r="1792" spans="1:1" ht="15.75" x14ac:dyDescent="0.25">
      <c r="A1792" s="890"/>
    </row>
    <row r="1793" spans="1:1" ht="15.75" x14ac:dyDescent="0.25">
      <c r="A1793" s="890"/>
    </row>
    <row r="1794" spans="1:1" ht="15.75" x14ac:dyDescent="0.25">
      <c r="A1794" s="890"/>
    </row>
    <row r="1795" spans="1:1" ht="15.75" x14ac:dyDescent="0.25">
      <c r="A1795" s="890"/>
    </row>
    <row r="1796" spans="1:1" ht="15.75" x14ac:dyDescent="0.25">
      <c r="A1796" s="890"/>
    </row>
    <row r="1797" spans="1:1" ht="15.75" x14ac:dyDescent="0.25">
      <c r="A1797" s="890"/>
    </row>
    <row r="1798" spans="1:1" ht="15.75" x14ac:dyDescent="0.25">
      <c r="A1798" s="890"/>
    </row>
    <row r="1799" spans="1:1" ht="15.75" x14ac:dyDescent="0.25">
      <c r="A1799" s="890"/>
    </row>
    <row r="1800" spans="1:1" ht="15.75" x14ac:dyDescent="0.25">
      <c r="A1800" s="890"/>
    </row>
    <row r="1801" spans="1:1" ht="15.75" x14ac:dyDescent="0.25">
      <c r="A1801" s="890"/>
    </row>
    <row r="1802" spans="1:1" ht="15.75" x14ac:dyDescent="0.25">
      <c r="A1802" s="890"/>
    </row>
    <row r="1803" spans="1:1" ht="15.75" x14ac:dyDescent="0.25">
      <c r="A1803" s="890"/>
    </row>
    <row r="1804" spans="1:1" ht="15.75" x14ac:dyDescent="0.25">
      <c r="A1804" s="890"/>
    </row>
    <row r="1805" spans="1:1" ht="15.75" x14ac:dyDescent="0.25">
      <c r="A1805" s="890"/>
    </row>
    <row r="1806" spans="1:1" ht="15.75" x14ac:dyDescent="0.25">
      <c r="A1806" s="890"/>
    </row>
    <row r="1807" spans="1:1" ht="15.75" x14ac:dyDescent="0.25">
      <c r="A1807" s="890"/>
    </row>
    <row r="1808" spans="1:1" ht="15.75" x14ac:dyDescent="0.25">
      <c r="A1808" s="890"/>
    </row>
    <row r="1809" spans="1:1" ht="15.75" x14ac:dyDescent="0.25">
      <c r="A1809" s="890"/>
    </row>
    <row r="1810" spans="1:1" ht="15.75" x14ac:dyDescent="0.25">
      <c r="A1810" s="890"/>
    </row>
    <row r="1811" spans="1:1" ht="15.75" x14ac:dyDescent="0.25">
      <c r="A1811" s="890"/>
    </row>
    <row r="1812" spans="1:1" ht="15.75" x14ac:dyDescent="0.25">
      <c r="A1812" s="890"/>
    </row>
    <row r="1813" spans="1:1" ht="15.75" x14ac:dyDescent="0.25">
      <c r="A1813" s="890"/>
    </row>
    <row r="1814" spans="1:1" ht="15.75" x14ac:dyDescent="0.25">
      <c r="A1814" s="890"/>
    </row>
    <row r="1815" spans="1:1" ht="15.75" x14ac:dyDescent="0.25">
      <c r="A1815" s="890"/>
    </row>
    <row r="1816" spans="1:1" ht="15.75" x14ac:dyDescent="0.25">
      <c r="A1816" s="890"/>
    </row>
    <row r="1817" spans="1:1" ht="15.75" x14ac:dyDescent="0.25">
      <c r="A1817" s="890"/>
    </row>
    <row r="1818" spans="1:1" ht="15.75" x14ac:dyDescent="0.25">
      <c r="A1818" s="890"/>
    </row>
    <row r="1819" spans="1:1" ht="15.75" x14ac:dyDescent="0.25">
      <c r="A1819" s="890"/>
    </row>
    <row r="1820" spans="1:1" ht="15.75" x14ac:dyDescent="0.25">
      <c r="A1820" s="890"/>
    </row>
    <row r="1821" spans="1:1" ht="15.75" x14ac:dyDescent="0.25">
      <c r="A1821" s="890"/>
    </row>
    <row r="1822" spans="1:1" ht="15.75" x14ac:dyDescent="0.25">
      <c r="A1822" s="890"/>
    </row>
    <row r="1823" spans="1:1" ht="15.75" x14ac:dyDescent="0.25">
      <c r="A1823" s="890"/>
    </row>
    <row r="1824" spans="1:1" ht="15.75" x14ac:dyDescent="0.25">
      <c r="A1824" s="890"/>
    </row>
    <row r="1825" spans="1:1" ht="15.75" x14ac:dyDescent="0.25">
      <c r="A1825" s="890"/>
    </row>
    <row r="1826" spans="1:1" ht="15.75" x14ac:dyDescent="0.25">
      <c r="A1826" s="890"/>
    </row>
    <row r="1827" spans="1:1" ht="15.75" x14ac:dyDescent="0.25">
      <c r="A1827" s="890"/>
    </row>
    <row r="1828" spans="1:1" ht="15.75" x14ac:dyDescent="0.25">
      <c r="A1828" s="890"/>
    </row>
    <row r="1829" spans="1:1" ht="15.75" x14ac:dyDescent="0.25">
      <c r="A1829" s="890"/>
    </row>
    <row r="1830" spans="1:1" ht="15.75" x14ac:dyDescent="0.25">
      <c r="A1830" s="890"/>
    </row>
    <row r="1831" spans="1:1" ht="15.75" x14ac:dyDescent="0.25">
      <c r="A1831" s="890"/>
    </row>
    <row r="1832" spans="1:1" ht="15.75" x14ac:dyDescent="0.25">
      <c r="A1832" s="890"/>
    </row>
    <row r="1833" spans="1:1" ht="15.75" x14ac:dyDescent="0.25">
      <c r="A1833" s="890"/>
    </row>
    <row r="1834" spans="1:1" ht="15.75" x14ac:dyDescent="0.25">
      <c r="A1834" s="890"/>
    </row>
    <row r="1835" spans="1:1" ht="15.75" x14ac:dyDescent="0.25">
      <c r="A1835" s="890"/>
    </row>
    <row r="1836" spans="1:1" ht="15.75" x14ac:dyDescent="0.25">
      <c r="A1836" s="890"/>
    </row>
    <row r="1837" spans="1:1" ht="15.75" x14ac:dyDescent="0.25">
      <c r="A1837" s="890"/>
    </row>
    <row r="1838" spans="1:1" ht="15.75" x14ac:dyDescent="0.25">
      <c r="A1838" s="890"/>
    </row>
    <row r="1839" spans="1:1" ht="15.75" x14ac:dyDescent="0.25">
      <c r="A1839" s="890"/>
    </row>
    <row r="1840" spans="1:1" ht="15.75" x14ac:dyDescent="0.25">
      <c r="A1840" s="890"/>
    </row>
    <row r="1841" spans="1:1" ht="15.75" x14ac:dyDescent="0.25">
      <c r="A1841" s="890"/>
    </row>
    <row r="1842" spans="1:1" ht="15.75" x14ac:dyDescent="0.25">
      <c r="A1842" s="890"/>
    </row>
    <row r="1843" spans="1:1" ht="15.75" x14ac:dyDescent="0.25">
      <c r="A1843" s="890"/>
    </row>
    <row r="1844" spans="1:1" ht="15.75" x14ac:dyDescent="0.25">
      <c r="A1844" s="890"/>
    </row>
    <row r="1845" spans="1:1" ht="15.75" x14ac:dyDescent="0.25">
      <c r="A1845" s="890"/>
    </row>
    <row r="1846" spans="1:1" ht="15.75" x14ac:dyDescent="0.25">
      <c r="A1846" s="890"/>
    </row>
    <row r="1847" spans="1:1" ht="15.75" x14ac:dyDescent="0.25">
      <c r="A1847" s="890"/>
    </row>
    <row r="1848" spans="1:1" ht="15.75" x14ac:dyDescent="0.25">
      <c r="A1848" s="890"/>
    </row>
    <row r="1849" spans="1:1" ht="15.75" x14ac:dyDescent="0.25">
      <c r="A1849" s="890"/>
    </row>
    <row r="1850" spans="1:1" ht="15.75" x14ac:dyDescent="0.25">
      <c r="A1850" s="890"/>
    </row>
    <row r="1851" spans="1:1" ht="15.75" x14ac:dyDescent="0.25">
      <c r="A1851" s="890"/>
    </row>
    <row r="1852" spans="1:1" ht="15.75" x14ac:dyDescent="0.25">
      <c r="A1852" s="890"/>
    </row>
    <row r="1853" spans="1:1" ht="15.75" x14ac:dyDescent="0.25">
      <c r="A1853" s="890"/>
    </row>
    <row r="1854" spans="1:1" ht="15.75" x14ac:dyDescent="0.25">
      <c r="A1854" s="890"/>
    </row>
    <row r="1855" spans="1:1" ht="15.75" x14ac:dyDescent="0.25">
      <c r="A1855" s="890"/>
    </row>
    <row r="1856" spans="1:1" ht="15.75" x14ac:dyDescent="0.25">
      <c r="A1856" s="890"/>
    </row>
    <row r="1857" spans="1:1" ht="15.75" x14ac:dyDescent="0.25">
      <c r="A1857" s="890"/>
    </row>
    <row r="1858" spans="1:1" ht="15.75" x14ac:dyDescent="0.25">
      <c r="A1858" s="890"/>
    </row>
    <row r="1859" spans="1:1" ht="15.75" x14ac:dyDescent="0.25">
      <c r="A1859" s="890"/>
    </row>
    <row r="1860" spans="1:1" ht="15.75" x14ac:dyDescent="0.25">
      <c r="A1860" s="890"/>
    </row>
    <row r="1861" spans="1:1" ht="15.75" x14ac:dyDescent="0.25">
      <c r="A1861" s="890"/>
    </row>
    <row r="1862" spans="1:1" ht="15.75" x14ac:dyDescent="0.25">
      <c r="A1862" s="890"/>
    </row>
    <row r="1863" spans="1:1" ht="15.75" x14ac:dyDescent="0.25">
      <c r="A1863" s="890"/>
    </row>
    <row r="1864" spans="1:1" ht="15.75" x14ac:dyDescent="0.25">
      <c r="A1864" s="890"/>
    </row>
    <row r="1865" spans="1:1" ht="15.75" x14ac:dyDescent="0.25">
      <c r="A1865" s="890"/>
    </row>
    <row r="1866" spans="1:1" ht="15.75" x14ac:dyDescent="0.25">
      <c r="A1866" s="890"/>
    </row>
    <row r="1867" spans="1:1" ht="15.75" x14ac:dyDescent="0.25">
      <c r="A1867" s="890"/>
    </row>
    <row r="1868" spans="1:1" ht="15.75" x14ac:dyDescent="0.25">
      <c r="A1868" s="890"/>
    </row>
    <row r="1869" spans="1:1" ht="15.75" x14ac:dyDescent="0.25">
      <c r="A1869" s="890"/>
    </row>
    <row r="1870" spans="1:1" ht="15.75" x14ac:dyDescent="0.25">
      <c r="A1870" s="890"/>
    </row>
    <row r="1871" spans="1:1" ht="15.75" x14ac:dyDescent="0.25">
      <c r="A1871" s="890"/>
    </row>
    <row r="1872" spans="1:1" ht="15.75" x14ac:dyDescent="0.25">
      <c r="A1872" s="890"/>
    </row>
    <row r="1873" spans="1:1" ht="15.75" x14ac:dyDescent="0.25">
      <c r="A1873" s="890"/>
    </row>
    <row r="1874" spans="1:1" ht="15.75" x14ac:dyDescent="0.25">
      <c r="A1874" s="890"/>
    </row>
    <row r="1875" spans="1:1" ht="15.75" x14ac:dyDescent="0.25">
      <c r="A1875" s="890"/>
    </row>
    <row r="1876" spans="1:1" ht="15.75" x14ac:dyDescent="0.25">
      <c r="A1876" s="890"/>
    </row>
    <row r="1877" spans="1:1" ht="15.75" x14ac:dyDescent="0.25">
      <c r="A1877" s="890"/>
    </row>
    <row r="1878" spans="1:1" ht="15.75" x14ac:dyDescent="0.25">
      <c r="A1878" s="890"/>
    </row>
    <row r="1879" spans="1:1" ht="15.75" x14ac:dyDescent="0.25">
      <c r="A1879" s="890"/>
    </row>
    <row r="1880" spans="1:1" ht="15.75" x14ac:dyDescent="0.25">
      <c r="A1880" s="890"/>
    </row>
    <row r="1881" spans="1:1" ht="15.75" x14ac:dyDescent="0.25">
      <c r="A1881" s="890"/>
    </row>
    <row r="1882" spans="1:1" ht="15.75" x14ac:dyDescent="0.25">
      <c r="A1882" s="890"/>
    </row>
    <row r="1883" spans="1:1" ht="15.75" x14ac:dyDescent="0.25">
      <c r="A1883" s="890"/>
    </row>
    <row r="1884" spans="1:1" ht="15.75" x14ac:dyDescent="0.25">
      <c r="A1884" s="890"/>
    </row>
    <row r="1885" spans="1:1" ht="15.75" x14ac:dyDescent="0.25">
      <c r="A1885" s="890"/>
    </row>
    <row r="1886" spans="1:1" ht="15.75" x14ac:dyDescent="0.25">
      <c r="A1886" s="890"/>
    </row>
    <row r="1887" spans="1:1" ht="15.75" x14ac:dyDescent="0.25">
      <c r="A1887" s="890"/>
    </row>
    <row r="1888" spans="1:1" ht="15.75" x14ac:dyDescent="0.25">
      <c r="A1888" s="890"/>
    </row>
    <row r="1889" spans="1:1" ht="15.75" x14ac:dyDescent="0.25">
      <c r="A1889" s="890"/>
    </row>
    <row r="1890" spans="1:1" ht="15.75" x14ac:dyDescent="0.25">
      <c r="A1890" s="890"/>
    </row>
    <row r="1891" spans="1:1" ht="15.75" x14ac:dyDescent="0.25">
      <c r="A1891" s="890"/>
    </row>
    <row r="1892" spans="1:1" ht="15.75" x14ac:dyDescent="0.25">
      <c r="A1892" s="890"/>
    </row>
    <row r="1893" spans="1:1" ht="15.75" x14ac:dyDescent="0.25">
      <c r="A1893" s="890"/>
    </row>
    <row r="1894" spans="1:1" ht="15.75" x14ac:dyDescent="0.25">
      <c r="A1894" s="890"/>
    </row>
    <row r="1895" spans="1:1" ht="15.75" x14ac:dyDescent="0.25">
      <c r="A1895" s="890"/>
    </row>
    <row r="1896" spans="1:1" ht="15.75" x14ac:dyDescent="0.25">
      <c r="A1896" s="890"/>
    </row>
    <row r="1897" spans="1:1" ht="15.75" x14ac:dyDescent="0.25">
      <c r="A1897" s="890"/>
    </row>
    <row r="1898" spans="1:1" ht="15.75" x14ac:dyDescent="0.25">
      <c r="A1898" s="890"/>
    </row>
    <row r="1899" spans="1:1" ht="15.75" x14ac:dyDescent="0.25">
      <c r="A1899" s="890"/>
    </row>
    <row r="1900" spans="1:1" ht="15.75" x14ac:dyDescent="0.25">
      <c r="A1900" s="890"/>
    </row>
    <row r="1901" spans="1:1" ht="15.75" x14ac:dyDescent="0.25">
      <c r="A1901" s="890"/>
    </row>
    <row r="1902" spans="1:1" ht="15.75" x14ac:dyDescent="0.25">
      <c r="A1902" s="890"/>
    </row>
    <row r="1903" spans="1:1" ht="15.75" x14ac:dyDescent="0.25">
      <c r="A1903" s="890"/>
    </row>
    <row r="1904" spans="1:1" ht="15.75" x14ac:dyDescent="0.25">
      <c r="A1904" s="890"/>
    </row>
    <row r="1905" spans="1:1" ht="15.75" x14ac:dyDescent="0.25">
      <c r="A1905" s="890"/>
    </row>
    <row r="1906" spans="1:1" ht="15.75" x14ac:dyDescent="0.25">
      <c r="A1906" s="890"/>
    </row>
    <row r="1907" spans="1:1" ht="15.75" x14ac:dyDescent="0.25">
      <c r="A1907" s="890"/>
    </row>
    <row r="1908" spans="1:1" ht="15.75" x14ac:dyDescent="0.25">
      <c r="A1908" s="890"/>
    </row>
    <row r="1909" spans="1:1" ht="15.75" x14ac:dyDescent="0.25">
      <c r="A1909" s="890"/>
    </row>
    <row r="1910" spans="1:1" ht="15.75" x14ac:dyDescent="0.25">
      <c r="A1910" s="890"/>
    </row>
    <row r="1911" spans="1:1" ht="15.75" x14ac:dyDescent="0.25">
      <c r="A1911" s="890"/>
    </row>
    <row r="1912" spans="1:1" ht="15.75" x14ac:dyDescent="0.25">
      <c r="A1912" s="890"/>
    </row>
    <row r="1913" spans="1:1" ht="15.75" x14ac:dyDescent="0.25">
      <c r="A1913" s="890"/>
    </row>
    <row r="1914" spans="1:1" ht="15.75" x14ac:dyDescent="0.25">
      <c r="A1914" s="890"/>
    </row>
    <row r="1915" spans="1:1" ht="15.75" x14ac:dyDescent="0.25">
      <c r="A1915" s="890"/>
    </row>
    <row r="1916" spans="1:1" ht="15.75" x14ac:dyDescent="0.25">
      <c r="A1916" s="890"/>
    </row>
    <row r="1917" spans="1:1" ht="15.75" x14ac:dyDescent="0.25">
      <c r="A1917" s="890"/>
    </row>
    <row r="1918" spans="1:1" ht="15.75" x14ac:dyDescent="0.25">
      <c r="A1918" s="890"/>
    </row>
    <row r="1919" spans="1:1" ht="15.75" x14ac:dyDescent="0.25">
      <c r="A1919" s="890"/>
    </row>
    <row r="1920" spans="1:1" ht="15.75" x14ac:dyDescent="0.25">
      <c r="A1920" s="890"/>
    </row>
    <row r="1921" spans="1:1" ht="15.75" x14ac:dyDescent="0.25">
      <c r="A1921" s="890"/>
    </row>
    <row r="1922" spans="1:1" ht="15.75" x14ac:dyDescent="0.25">
      <c r="A1922" s="890"/>
    </row>
    <row r="1923" spans="1:1" ht="15.75" x14ac:dyDescent="0.25">
      <c r="A1923" s="890"/>
    </row>
    <row r="1924" spans="1:1" ht="15.75" x14ac:dyDescent="0.25">
      <c r="A1924" s="890"/>
    </row>
    <row r="1925" spans="1:1" ht="15.75" x14ac:dyDescent="0.25">
      <c r="A1925" s="890"/>
    </row>
    <row r="1926" spans="1:1" ht="15.75" x14ac:dyDescent="0.25">
      <c r="A1926" s="890"/>
    </row>
    <row r="1927" spans="1:1" ht="15.75" x14ac:dyDescent="0.25">
      <c r="A1927" s="890"/>
    </row>
    <row r="1928" spans="1:1" ht="15.75" x14ac:dyDescent="0.25">
      <c r="A1928" s="890"/>
    </row>
    <row r="1929" spans="1:1" ht="15.75" x14ac:dyDescent="0.25">
      <c r="A1929" s="890"/>
    </row>
    <row r="1930" spans="1:1" ht="15.75" x14ac:dyDescent="0.25">
      <c r="A1930" s="890"/>
    </row>
    <row r="1931" spans="1:1" ht="15.75" x14ac:dyDescent="0.25">
      <c r="A1931" s="890"/>
    </row>
    <row r="1932" spans="1:1" ht="15.75" x14ac:dyDescent="0.25">
      <c r="A1932" s="890"/>
    </row>
    <row r="1933" spans="1:1" ht="15.75" x14ac:dyDescent="0.25">
      <c r="A1933" s="890"/>
    </row>
    <row r="1934" spans="1:1" ht="15.75" x14ac:dyDescent="0.25">
      <c r="A1934" s="890"/>
    </row>
    <row r="1935" spans="1:1" ht="15.75" x14ac:dyDescent="0.25">
      <c r="A1935" s="890"/>
    </row>
    <row r="1936" spans="1:1" ht="15.75" x14ac:dyDescent="0.25">
      <c r="A1936" s="890"/>
    </row>
    <row r="1937" spans="1:1" ht="15.75" x14ac:dyDescent="0.25">
      <c r="A1937" s="890"/>
    </row>
    <row r="1938" spans="1:1" ht="15.75" x14ac:dyDescent="0.25">
      <c r="A1938" s="890"/>
    </row>
    <row r="1939" spans="1:1" ht="15.75" x14ac:dyDescent="0.25">
      <c r="A1939" s="890"/>
    </row>
    <row r="1940" spans="1:1" ht="15.75" x14ac:dyDescent="0.25">
      <c r="A1940" s="890"/>
    </row>
    <row r="1941" spans="1:1" ht="15.75" x14ac:dyDescent="0.25">
      <c r="A1941" s="890"/>
    </row>
    <row r="1942" spans="1:1" ht="15.75" x14ac:dyDescent="0.25">
      <c r="A1942" s="890"/>
    </row>
    <row r="1943" spans="1:1" ht="15.75" x14ac:dyDescent="0.25">
      <c r="A1943" s="890"/>
    </row>
    <row r="1944" spans="1:1" ht="15.75" x14ac:dyDescent="0.25">
      <c r="A1944" s="890"/>
    </row>
    <row r="1945" spans="1:1" ht="15.75" x14ac:dyDescent="0.25">
      <c r="A1945" s="890"/>
    </row>
    <row r="1946" spans="1:1" ht="15.75" x14ac:dyDescent="0.25">
      <c r="A1946" s="890"/>
    </row>
    <row r="1947" spans="1:1" ht="15.75" x14ac:dyDescent="0.25">
      <c r="A1947" s="890"/>
    </row>
    <row r="1948" spans="1:1" ht="15.75" x14ac:dyDescent="0.25">
      <c r="A1948" s="890"/>
    </row>
    <row r="1949" spans="1:1" ht="15.75" x14ac:dyDescent="0.25">
      <c r="A1949" s="890"/>
    </row>
    <row r="1950" spans="1:1" ht="15.75" x14ac:dyDescent="0.25">
      <c r="A1950" s="890"/>
    </row>
    <row r="1951" spans="1:1" ht="15.75" x14ac:dyDescent="0.25">
      <c r="A1951" s="890"/>
    </row>
    <row r="1952" spans="1:1" ht="15.75" x14ac:dyDescent="0.25">
      <c r="A1952" s="890"/>
    </row>
    <row r="1953" spans="1:1" ht="15.75" x14ac:dyDescent="0.25">
      <c r="A1953" s="890"/>
    </row>
    <row r="1954" spans="1:1" ht="15.75" x14ac:dyDescent="0.25">
      <c r="A1954" s="890"/>
    </row>
    <row r="1955" spans="1:1" ht="15.75" x14ac:dyDescent="0.25">
      <c r="A1955" s="890"/>
    </row>
    <row r="1956" spans="1:1" ht="15.75" x14ac:dyDescent="0.25">
      <c r="A1956" s="890"/>
    </row>
    <row r="1957" spans="1:1" ht="15.75" x14ac:dyDescent="0.25">
      <c r="A1957" s="890"/>
    </row>
    <row r="1958" spans="1:1" ht="15.75" x14ac:dyDescent="0.25">
      <c r="A1958" s="890"/>
    </row>
    <row r="1959" spans="1:1" ht="15.75" x14ac:dyDescent="0.25">
      <c r="A1959" s="890"/>
    </row>
    <row r="1960" spans="1:1" ht="15.75" x14ac:dyDescent="0.25">
      <c r="A1960" s="890"/>
    </row>
    <row r="1961" spans="1:1" ht="15.75" x14ac:dyDescent="0.25">
      <c r="A1961" s="890"/>
    </row>
    <row r="1962" spans="1:1" ht="15.75" x14ac:dyDescent="0.25">
      <c r="A1962" s="890"/>
    </row>
    <row r="1963" spans="1:1" ht="15.75" x14ac:dyDescent="0.25">
      <c r="A1963" s="890"/>
    </row>
    <row r="1964" spans="1:1" ht="15.75" x14ac:dyDescent="0.25">
      <c r="A1964" s="890"/>
    </row>
    <row r="1965" spans="1:1" ht="15.75" x14ac:dyDescent="0.25">
      <c r="A1965" s="890"/>
    </row>
    <row r="1966" spans="1:1" ht="15.75" x14ac:dyDescent="0.25">
      <c r="A1966" s="890"/>
    </row>
    <row r="1967" spans="1:1" ht="15.75" x14ac:dyDescent="0.25">
      <c r="A1967" s="890"/>
    </row>
    <row r="1968" spans="1:1" ht="15.75" x14ac:dyDescent="0.25">
      <c r="A1968" s="890"/>
    </row>
    <row r="1969" spans="1:1" ht="15.75" x14ac:dyDescent="0.25">
      <c r="A1969" s="890"/>
    </row>
    <row r="1970" spans="1:1" ht="15.75" x14ac:dyDescent="0.25">
      <c r="A1970" s="890"/>
    </row>
    <row r="1971" spans="1:1" ht="15.75" x14ac:dyDescent="0.25">
      <c r="A1971" s="890"/>
    </row>
    <row r="1972" spans="1:1" ht="15.75" x14ac:dyDescent="0.25">
      <c r="A1972" s="890"/>
    </row>
    <row r="1973" spans="1:1" ht="15.75" x14ac:dyDescent="0.25">
      <c r="A1973" s="890"/>
    </row>
    <row r="1974" spans="1:1" ht="15.75" x14ac:dyDescent="0.25">
      <c r="A1974" s="890"/>
    </row>
    <row r="1975" spans="1:1" ht="15.75" x14ac:dyDescent="0.25">
      <c r="A1975" s="890"/>
    </row>
    <row r="1976" spans="1:1" ht="15.75" x14ac:dyDescent="0.25">
      <c r="A1976" s="890"/>
    </row>
    <row r="1977" spans="1:1" ht="15.75" x14ac:dyDescent="0.25">
      <c r="A1977" s="890"/>
    </row>
    <row r="1978" spans="1:1" ht="15.75" x14ac:dyDescent="0.25">
      <c r="A1978" s="890"/>
    </row>
    <row r="1979" spans="1:1" ht="15.75" x14ac:dyDescent="0.25">
      <c r="A1979" s="890"/>
    </row>
    <row r="1980" spans="1:1" ht="15.75" x14ac:dyDescent="0.25">
      <c r="A1980" s="890"/>
    </row>
    <row r="1981" spans="1:1" ht="15.75" x14ac:dyDescent="0.25">
      <c r="A1981" s="890"/>
    </row>
    <row r="1982" spans="1:1" ht="15.75" x14ac:dyDescent="0.25">
      <c r="A1982" s="890"/>
    </row>
    <row r="1983" spans="1:1" ht="15.75" x14ac:dyDescent="0.25">
      <c r="A1983" s="890"/>
    </row>
    <row r="1984" spans="1:1" ht="15.75" x14ac:dyDescent="0.25">
      <c r="A1984" s="890"/>
    </row>
    <row r="1985" spans="1:1" ht="15.75" x14ac:dyDescent="0.25">
      <c r="A1985" s="890"/>
    </row>
    <row r="1986" spans="1:1" ht="15.75" x14ac:dyDescent="0.25">
      <c r="A1986" s="890"/>
    </row>
    <row r="1987" spans="1:1" ht="15.75" x14ac:dyDescent="0.25">
      <c r="A1987" s="890"/>
    </row>
    <row r="1988" spans="1:1" ht="15.75" x14ac:dyDescent="0.25">
      <c r="A1988" s="890"/>
    </row>
    <row r="1989" spans="1:1" ht="15.75" x14ac:dyDescent="0.25">
      <c r="A1989" s="890"/>
    </row>
    <row r="1990" spans="1:1" ht="15.75" x14ac:dyDescent="0.25">
      <c r="A1990" s="890"/>
    </row>
    <row r="1991" spans="1:1" ht="15.75" x14ac:dyDescent="0.25">
      <c r="A1991" s="890"/>
    </row>
    <row r="1992" spans="1:1" ht="15.75" x14ac:dyDescent="0.25">
      <c r="A1992" s="890"/>
    </row>
    <row r="1993" spans="1:1" ht="15.75" x14ac:dyDescent="0.25">
      <c r="A1993" s="890"/>
    </row>
    <row r="1994" spans="1:1" ht="15.75" x14ac:dyDescent="0.25">
      <c r="A1994" s="890"/>
    </row>
    <row r="1995" spans="1:1" ht="15.75" x14ac:dyDescent="0.25">
      <c r="A1995" s="890"/>
    </row>
    <row r="1996" spans="1:1" ht="15.75" x14ac:dyDescent="0.25">
      <c r="A1996" s="890"/>
    </row>
    <row r="1997" spans="1:1" ht="15.75" x14ac:dyDescent="0.25">
      <c r="A1997" s="890"/>
    </row>
    <row r="1998" spans="1:1" ht="15.75" x14ac:dyDescent="0.25">
      <c r="A1998" s="890"/>
    </row>
    <row r="1999" spans="1:1" ht="15.75" x14ac:dyDescent="0.25">
      <c r="A1999" s="890"/>
    </row>
    <row r="2000" spans="1:1" ht="15.75" x14ac:dyDescent="0.25">
      <c r="A2000" s="890"/>
    </row>
    <row r="2001" spans="1:1" ht="15.75" x14ac:dyDescent="0.25">
      <c r="A2001" s="890"/>
    </row>
    <row r="2002" spans="1:1" ht="15.75" x14ac:dyDescent="0.25">
      <c r="A2002" s="890"/>
    </row>
    <row r="2003" spans="1:1" ht="15.75" x14ac:dyDescent="0.25">
      <c r="A2003" s="890"/>
    </row>
    <row r="2004" spans="1:1" ht="15.75" x14ac:dyDescent="0.25">
      <c r="A2004" s="890"/>
    </row>
    <row r="2005" spans="1:1" ht="15.75" x14ac:dyDescent="0.25">
      <c r="A2005" s="890"/>
    </row>
    <row r="2006" spans="1:1" ht="15.75" x14ac:dyDescent="0.25">
      <c r="A2006" s="890"/>
    </row>
    <row r="2007" spans="1:1" ht="15.75" x14ac:dyDescent="0.25">
      <c r="A2007" s="890"/>
    </row>
    <row r="2008" spans="1:1" ht="15.75" x14ac:dyDescent="0.25">
      <c r="A2008" s="890"/>
    </row>
    <row r="2009" spans="1:1" ht="15.75" x14ac:dyDescent="0.25">
      <c r="A2009" s="890"/>
    </row>
    <row r="2010" spans="1:1" ht="15.75" x14ac:dyDescent="0.25">
      <c r="A2010" s="890"/>
    </row>
    <row r="2011" spans="1:1" ht="15.75" x14ac:dyDescent="0.25">
      <c r="A2011" s="890"/>
    </row>
    <row r="2012" spans="1:1" ht="15.75" x14ac:dyDescent="0.25">
      <c r="A2012" s="890"/>
    </row>
    <row r="2013" spans="1:1" ht="15.75" x14ac:dyDescent="0.25">
      <c r="A2013" s="890"/>
    </row>
    <row r="2014" spans="1:1" ht="15.75" x14ac:dyDescent="0.25">
      <c r="A2014" s="890"/>
    </row>
    <row r="2015" spans="1:1" ht="15.75" x14ac:dyDescent="0.25">
      <c r="A2015" s="890"/>
    </row>
    <row r="2016" spans="1:1" ht="15.75" x14ac:dyDescent="0.25">
      <c r="A2016" s="890"/>
    </row>
    <row r="2017" spans="1:1" ht="15.75" x14ac:dyDescent="0.25">
      <c r="A2017" s="890"/>
    </row>
    <row r="2018" spans="1:1" ht="15.75" x14ac:dyDescent="0.25">
      <c r="A2018" s="890"/>
    </row>
    <row r="2019" spans="1:1" ht="15.75" x14ac:dyDescent="0.25">
      <c r="A2019" s="890"/>
    </row>
    <row r="2020" spans="1:1" ht="15.75" x14ac:dyDescent="0.25">
      <c r="A2020" s="890"/>
    </row>
    <row r="2021" spans="1:1" ht="15.75" x14ac:dyDescent="0.25">
      <c r="A2021" s="890"/>
    </row>
    <row r="2022" spans="1:1" ht="15.75" x14ac:dyDescent="0.25">
      <c r="A2022" s="890"/>
    </row>
    <row r="2023" spans="1:1" ht="15.75" x14ac:dyDescent="0.25">
      <c r="A2023" s="890"/>
    </row>
    <row r="2024" spans="1:1" ht="15.75" x14ac:dyDescent="0.25">
      <c r="A2024" s="890"/>
    </row>
    <row r="2025" spans="1:1" ht="15.75" x14ac:dyDescent="0.25">
      <c r="A2025" s="890"/>
    </row>
    <row r="2026" spans="1:1" ht="15.75" x14ac:dyDescent="0.25">
      <c r="A2026" s="890"/>
    </row>
    <row r="2027" spans="1:1" ht="15.75" x14ac:dyDescent="0.25">
      <c r="A2027" s="890"/>
    </row>
    <row r="2028" spans="1:1" ht="15.75" x14ac:dyDescent="0.25">
      <c r="A2028" s="890"/>
    </row>
    <row r="2029" spans="1:1" ht="15.75" x14ac:dyDescent="0.25">
      <c r="A2029" s="890"/>
    </row>
    <row r="2030" spans="1:1" ht="15.75" x14ac:dyDescent="0.25">
      <c r="A2030" s="890"/>
    </row>
    <row r="2031" spans="1:1" ht="15.75" x14ac:dyDescent="0.25">
      <c r="A2031" s="890"/>
    </row>
    <row r="2032" spans="1:1" ht="15.75" x14ac:dyDescent="0.25">
      <c r="A2032" s="890"/>
    </row>
    <row r="2033" spans="1:1" ht="15.75" x14ac:dyDescent="0.25">
      <c r="A2033" s="890"/>
    </row>
    <row r="2034" spans="1:1" ht="15.75" x14ac:dyDescent="0.25">
      <c r="A2034" s="890"/>
    </row>
    <row r="2035" spans="1:1" ht="15.75" x14ac:dyDescent="0.25">
      <c r="A2035" s="890"/>
    </row>
    <row r="2036" spans="1:1" ht="15.75" x14ac:dyDescent="0.25">
      <c r="A2036" s="890"/>
    </row>
    <row r="2037" spans="1:1" ht="15.75" x14ac:dyDescent="0.25">
      <c r="A2037" s="890"/>
    </row>
    <row r="2038" spans="1:1" ht="15.75" x14ac:dyDescent="0.25">
      <c r="A2038" s="890"/>
    </row>
    <row r="2039" spans="1:1" ht="15.75" x14ac:dyDescent="0.25">
      <c r="A2039" s="890"/>
    </row>
    <row r="2040" spans="1:1" ht="15.75" x14ac:dyDescent="0.25">
      <c r="A2040" s="890"/>
    </row>
    <row r="2041" spans="1:1" ht="15.75" x14ac:dyDescent="0.25">
      <c r="A2041" s="890"/>
    </row>
    <row r="2042" spans="1:1" ht="15.75" x14ac:dyDescent="0.25">
      <c r="A2042" s="890"/>
    </row>
    <row r="2043" spans="1:1" ht="15.75" x14ac:dyDescent="0.25">
      <c r="A2043" s="890"/>
    </row>
    <row r="2044" spans="1:1" ht="15.75" x14ac:dyDescent="0.25">
      <c r="A2044" s="890"/>
    </row>
    <row r="2045" spans="1:1" ht="15.75" x14ac:dyDescent="0.25">
      <c r="A2045" s="890"/>
    </row>
    <row r="2046" spans="1:1" ht="15.75" x14ac:dyDescent="0.25">
      <c r="A2046" s="890"/>
    </row>
    <row r="2047" spans="1:1" ht="15.75" x14ac:dyDescent="0.25">
      <c r="A2047" s="890"/>
    </row>
    <row r="2048" spans="1:1" ht="15.75" x14ac:dyDescent="0.25">
      <c r="A2048" s="890"/>
    </row>
    <row r="2049" spans="1:1" ht="15.75" x14ac:dyDescent="0.25">
      <c r="A2049" s="890"/>
    </row>
    <row r="2050" spans="1:1" ht="15.75" x14ac:dyDescent="0.25">
      <c r="A2050" s="890"/>
    </row>
    <row r="2051" spans="1:1" ht="15.75" x14ac:dyDescent="0.25">
      <c r="A2051" s="890"/>
    </row>
    <row r="2052" spans="1:1" ht="15.75" x14ac:dyDescent="0.25">
      <c r="A2052" s="890"/>
    </row>
    <row r="2053" spans="1:1" ht="15.75" x14ac:dyDescent="0.25">
      <c r="A2053" s="890"/>
    </row>
    <row r="2054" spans="1:1" ht="15.75" x14ac:dyDescent="0.25">
      <c r="A2054" s="890"/>
    </row>
    <row r="2055" spans="1:1" ht="15.75" x14ac:dyDescent="0.25">
      <c r="A2055" s="890"/>
    </row>
    <row r="2056" spans="1:1" ht="15.75" x14ac:dyDescent="0.25">
      <c r="A2056" s="890"/>
    </row>
    <row r="2057" spans="1:1" ht="15.75" x14ac:dyDescent="0.25">
      <c r="A2057" s="890"/>
    </row>
    <row r="2058" spans="1:1" ht="15.75" x14ac:dyDescent="0.25">
      <c r="A2058" s="890"/>
    </row>
    <row r="2059" spans="1:1" ht="15.75" x14ac:dyDescent="0.25">
      <c r="A2059" s="890"/>
    </row>
    <row r="2060" spans="1:1" ht="15.75" x14ac:dyDescent="0.25">
      <c r="A2060" s="890"/>
    </row>
    <row r="2061" spans="1:1" ht="15.75" x14ac:dyDescent="0.25">
      <c r="A2061" s="890"/>
    </row>
    <row r="2062" spans="1:1" ht="15.75" x14ac:dyDescent="0.25">
      <c r="A2062" s="890"/>
    </row>
    <row r="2063" spans="1:1" ht="15.75" x14ac:dyDescent="0.25">
      <c r="A2063" s="890"/>
    </row>
    <row r="2064" spans="1:1" ht="15.75" x14ac:dyDescent="0.25">
      <c r="A2064" s="890"/>
    </row>
    <row r="2065" spans="1:1" ht="15.75" x14ac:dyDescent="0.25">
      <c r="A2065" s="890"/>
    </row>
    <row r="2066" spans="1:1" ht="15.75" x14ac:dyDescent="0.25">
      <c r="A2066" s="890"/>
    </row>
    <row r="2067" spans="1:1" ht="15.75" x14ac:dyDescent="0.25">
      <c r="A2067" s="890"/>
    </row>
    <row r="2068" spans="1:1" ht="15.75" x14ac:dyDescent="0.25">
      <c r="A2068" s="890"/>
    </row>
    <row r="2069" spans="1:1" ht="15.75" x14ac:dyDescent="0.25">
      <c r="A2069" s="890"/>
    </row>
    <row r="2070" spans="1:1" ht="15.75" x14ac:dyDescent="0.25">
      <c r="A2070" s="890"/>
    </row>
    <row r="2071" spans="1:1" ht="15.75" x14ac:dyDescent="0.25">
      <c r="A2071" s="890"/>
    </row>
    <row r="2072" spans="1:1" ht="15.75" x14ac:dyDescent="0.25">
      <c r="A2072" s="890"/>
    </row>
    <row r="2073" spans="1:1" ht="15.75" x14ac:dyDescent="0.25">
      <c r="A2073" s="890"/>
    </row>
    <row r="2074" spans="1:1" ht="15.75" x14ac:dyDescent="0.25">
      <c r="A2074" s="890"/>
    </row>
    <row r="2075" spans="1:1" ht="15.75" x14ac:dyDescent="0.25">
      <c r="A2075" s="890"/>
    </row>
    <row r="2076" spans="1:1" ht="15.75" x14ac:dyDescent="0.25">
      <c r="A2076" s="890"/>
    </row>
    <row r="2077" spans="1:1" ht="15.75" x14ac:dyDescent="0.25">
      <c r="A2077" s="890"/>
    </row>
    <row r="2078" spans="1:1" ht="15.75" x14ac:dyDescent="0.25">
      <c r="A2078" s="890"/>
    </row>
    <row r="2079" spans="1:1" ht="15.75" x14ac:dyDescent="0.25">
      <c r="A2079" s="890"/>
    </row>
    <row r="2080" spans="1:1" ht="15.75" x14ac:dyDescent="0.25">
      <c r="A2080" s="890"/>
    </row>
    <row r="2081" spans="1:1" ht="15.75" x14ac:dyDescent="0.25">
      <c r="A2081" s="890"/>
    </row>
    <row r="2082" spans="1:1" ht="15.75" x14ac:dyDescent="0.25">
      <c r="A2082" s="890"/>
    </row>
    <row r="2083" spans="1:1" ht="15.75" x14ac:dyDescent="0.25">
      <c r="A2083" s="890"/>
    </row>
    <row r="2084" spans="1:1" ht="15.75" x14ac:dyDescent="0.25">
      <c r="A2084" s="890"/>
    </row>
    <row r="2085" spans="1:1" ht="15.75" x14ac:dyDescent="0.25">
      <c r="A2085" s="890"/>
    </row>
    <row r="2086" spans="1:1" ht="15.75" x14ac:dyDescent="0.25">
      <c r="A2086" s="890"/>
    </row>
    <row r="2087" spans="1:1" ht="15.75" x14ac:dyDescent="0.25">
      <c r="A2087" s="890"/>
    </row>
    <row r="2088" spans="1:1" ht="15.75" x14ac:dyDescent="0.25">
      <c r="A2088" s="890"/>
    </row>
    <row r="2089" spans="1:1" ht="15.75" x14ac:dyDescent="0.25">
      <c r="A2089" s="890"/>
    </row>
    <row r="2090" spans="1:1" ht="15.75" x14ac:dyDescent="0.25">
      <c r="A2090" s="890"/>
    </row>
    <row r="2091" spans="1:1" ht="15.75" x14ac:dyDescent="0.25">
      <c r="A2091" s="890"/>
    </row>
    <row r="2092" spans="1:1" ht="15.75" x14ac:dyDescent="0.25">
      <c r="A2092" s="890"/>
    </row>
    <row r="2093" spans="1:1" ht="15.75" x14ac:dyDescent="0.25">
      <c r="A2093" s="890"/>
    </row>
    <row r="2094" spans="1:1" ht="15.75" x14ac:dyDescent="0.25">
      <c r="A2094" s="890"/>
    </row>
    <row r="2095" spans="1:1" ht="15.75" x14ac:dyDescent="0.25">
      <c r="A2095" s="890"/>
    </row>
    <row r="2096" spans="1:1" ht="15.75" x14ac:dyDescent="0.25">
      <c r="A2096" s="890"/>
    </row>
    <row r="2097" spans="1:1" ht="15.75" x14ac:dyDescent="0.25">
      <c r="A2097" s="890"/>
    </row>
    <row r="2098" spans="1:1" ht="15.75" x14ac:dyDescent="0.25">
      <c r="A2098" s="890"/>
    </row>
    <row r="2099" spans="1:1" ht="15.75" x14ac:dyDescent="0.25">
      <c r="A2099" s="890"/>
    </row>
    <row r="2100" spans="1:1" ht="15.75" x14ac:dyDescent="0.25">
      <c r="A2100" s="890"/>
    </row>
  </sheetData>
  <mergeCells count="7">
    <mergeCell ref="A1:M1"/>
    <mergeCell ref="L2:M2"/>
    <mergeCell ref="B2:C2"/>
    <mergeCell ref="D2:E2"/>
    <mergeCell ref="F2:G2"/>
    <mergeCell ref="H2:I2"/>
    <mergeCell ref="J2:K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>&amp;C
&amp;R&amp;"Times New Roman CE,Félkövér"9.melléklet a 40/2020. (XI.30.) önkormányzati rendelethez &amp;"Times New Roman CE,Normál"
9. melléklet az 5/2020. (II.17.)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19</vt:i4>
      </vt:variant>
      <vt:variant>
        <vt:lpstr>Névvel ellátott tartományok</vt:lpstr>
      </vt:variant>
      <vt:variant>
        <vt:i4>20</vt:i4>
      </vt:variant>
    </vt:vector>
  </HeadingPairs>
  <TitlesOfParts>
    <vt:vector size="39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6normatíva</vt:lpstr>
      <vt:lpstr>7 int. bevétel</vt:lpstr>
      <vt:lpstr>8 int kiadás</vt:lpstr>
      <vt:lpstr>9 álláshely</vt:lpstr>
      <vt:lpstr>10 ök kiadás</vt:lpstr>
      <vt:lpstr>11melléklet </vt:lpstr>
      <vt:lpstr>12 fejlesztés </vt:lpstr>
      <vt:lpstr>14 Ktg.szervek felúj.</vt:lpstr>
      <vt:lpstr>16működési és felhalm </vt:lpstr>
      <vt:lpstr>17előirányzat felhasz. </vt:lpstr>
      <vt:lpstr>18többéves</vt:lpstr>
      <vt:lpstr>21 kiemelt</vt:lpstr>
      <vt:lpstr>22 TFA</vt:lpstr>
      <vt:lpstr>23 Környezetvéd.alap</vt:lpstr>
      <vt:lpstr>'1 bevétel (kötelező,önként)'!Nyomtatási_cím</vt:lpstr>
      <vt:lpstr>'10 ök kiadás'!Nyomtatási_cím</vt:lpstr>
      <vt:lpstr>'11melléklet '!Nyomtatási_cím</vt:lpstr>
      <vt:lpstr>'12 fejlesztés '!Nyomtatási_cím</vt:lpstr>
      <vt:lpstr>'14 Ktg.szervek felúj.'!Nyomtatási_cím</vt:lpstr>
      <vt:lpstr>'2 kiadás (kötelező, önként)'!Nyomtatási_cím</vt:lpstr>
      <vt:lpstr>'3 bevétel(szűkített)'!Nyomtatási_cím</vt:lpstr>
      <vt:lpstr>'7 int. bevétel'!Nyomtatási_cím</vt:lpstr>
      <vt:lpstr>'8 int kiadás'!Nyomtatási_cím</vt:lpstr>
      <vt:lpstr>'1 bevétel (kötelező,önként)'!Nyomtatási_terület</vt:lpstr>
      <vt:lpstr>'10 ök kiadás'!Nyomtatási_terület</vt:lpstr>
      <vt:lpstr>'11melléklet '!Nyomtatási_terület</vt:lpstr>
      <vt:lpstr>'12 fejlesztés '!Nyomtatási_terület</vt:lpstr>
      <vt:lpstr>'17előirányzat felhasz. '!Nyomtatási_terület</vt:lpstr>
      <vt:lpstr>'18többéves'!Nyomtatási_terület</vt:lpstr>
      <vt:lpstr>'22 TFA'!Nyomtatási_terület</vt:lpstr>
      <vt:lpstr>'3 bevétel(szűkített)'!Nyomtatási_terület</vt:lpstr>
      <vt:lpstr>'4 kiadás(szűkített)'!Nyomtatási_terület</vt:lpstr>
      <vt:lpstr>'7 int. bevétel'!Nyomtatási_terület</vt:lpstr>
      <vt:lpstr>'8 int kiadás'!Nyomtatási_terület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Windows-felhasználó</cp:lastModifiedBy>
  <cp:lastPrinted>2020-11-30T07:56:11Z</cp:lastPrinted>
  <dcterms:created xsi:type="dcterms:W3CDTF">2003-05-23T09:53:33Z</dcterms:created>
  <dcterms:modified xsi:type="dcterms:W3CDTF">2020-11-30T07:56:12Z</dcterms:modified>
</cp:coreProperties>
</file>