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C:\Users\Pénzügy01\Desktop\Régi asztal\Timi anyagai\2020\Költségvetés 2020. város\módosítás_zárszámadásra_2020.12.31\"/>
    </mc:Choice>
  </mc:AlternateContent>
  <xr:revisionPtr revIDLastSave="0" documentId="13_ncr:1_{DAF76A6F-0676-458A-B2C6-A7355848E3E1}" xr6:coauthVersionLast="46" xr6:coauthVersionMax="46" xr10:uidLastSave="{00000000-0000-0000-0000-000000000000}"/>
  <bookViews>
    <workbookView xWindow="-120" yWindow="-120" windowWidth="29040" windowHeight="15840" firstSheet="10" activeTab="20" xr2:uid="{00000000-000D-0000-FFFF-FFFF00000000}"/>
  </bookViews>
  <sheets>
    <sheet name="Címrend" sheetId="20" r:id="rId1"/>
    <sheet name="2.sz.mell." sheetId="19" r:id="rId2"/>
    <sheet name="3.sz.mell." sheetId="2" r:id="rId3"/>
    <sheet name="4.sz.mell." sheetId="3" r:id="rId4"/>
    <sheet name="5.a sz.mell." sheetId="23" r:id="rId5"/>
    <sheet name="5 b.sz.mell." sheetId="24" r:id="rId6"/>
    <sheet name="6.sz.mell." sheetId="18" r:id="rId7"/>
    <sheet name="7.sz.mell." sheetId="5" r:id="rId8"/>
    <sheet name="8.sz.mell." sheetId="6" r:id="rId9"/>
    <sheet name="9.sz.mell." sheetId="7" r:id="rId10"/>
    <sheet name="10.sz.mell." sheetId="8" r:id="rId11"/>
    <sheet name="11.sz.mell." sheetId="10" r:id="rId12"/>
    <sheet name="12.sz.mell." sheetId="12" r:id="rId13"/>
    <sheet name="13.sz.mell" sheetId="11" r:id="rId14"/>
    <sheet name="14.sz.mell." sheetId="13" r:id="rId15"/>
    <sheet name="15. sz.mell." sheetId="14" r:id="rId16"/>
    <sheet name="16.sz.mell." sheetId="15" r:id="rId17"/>
    <sheet name="17.sz.m" sheetId="16" r:id="rId18"/>
    <sheet name="18.sz.m." sheetId="17" r:id="rId19"/>
    <sheet name="19.sz.m." sheetId="21" r:id="rId20"/>
    <sheet name="20.sz.mell" sheetId="22" r:id="rId21"/>
  </sheets>
  <definedNames>
    <definedName name="_xlnm.Print_Titles" localSheetId="1">'2.sz.mell.'!$1:$1</definedName>
    <definedName name="_xlnm.Print_Titles" localSheetId="2">'3.sz.mell.'!$1:$1</definedName>
    <definedName name="_xlnm.Print_Area" localSheetId="11">'11.sz.mell.'!$A$1:$O$20</definedName>
    <definedName name="_xlnm.Print_Area" localSheetId="12">'12.sz.mell.'!$A$1:$D$17</definedName>
    <definedName name="_xlnm.Print_Area" localSheetId="14">'14.sz.mell.'!$A$1:$F$56</definedName>
    <definedName name="_xlnm.Print_Area" localSheetId="15">'15. sz.mell.'!$A$1:$AA$25</definedName>
    <definedName name="_xlnm.Print_Area" localSheetId="16">'16.sz.mell.'!$A$1:$C$31</definedName>
    <definedName name="_xlnm.Print_Area" localSheetId="17">'17.sz.m'!$A$1:$D$41</definedName>
    <definedName name="_xlnm.Print_Area" localSheetId="18">'18.sz.m.'!$A$1:$G$35</definedName>
    <definedName name="_xlnm.Print_Area" localSheetId="19">'19.sz.m.'!$A$1:$F$28</definedName>
    <definedName name="_xlnm.Print_Area" localSheetId="1">'2.sz.mell.'!$A$1:$D$103</definedName>
    <definedName name="_xlnm.Print_Area" localSheetId="20">'20.sz.mell'!$A$1:$H$27</definedName>
    <definedName name="_xlnm.Print_Area" localSheetId="2">'3.sz.mell.'!$A$1:$F$48</definedName>
    <definedName name="_xlnm.Print_Area" localSheetId="3">'4.sz.mell.'!$A$1:$W$26</definedName>
    <definedName name="_xlnm.Print_Area" localSheetId="5">'5 b.sz.mell.'!$A$1:$S$62</definedName>
    <definedName name="_xlnm.Print_Area" localSheetId="4">'5.a sz.mell.'!$A$1:$AC$69</definedName>
    <definedName name="_xlnm.Print_Area" localSheetId="6">'6.sz.mell.'!$A$1:$E$55</definedName>
    <definedName name="_xlnm.Print_Area" localSheetId="7">'7.sz.mell.'!$A$1:$C$23</definedName>
    <definedName name="_xlnm.Print_Area" localSheetId="8">'8.sz.mell.'!$A$1:$E$58</definedName>
    <definedName name="_xlnm.Print_Area" localSheetId="9">'9.sz.mell.'!$A$1:$G$27</definedName>
  </definedNames>
  <calcPr calcId="181029"/>
</workbook>
</file>

<file path=xl/calcChain.xml><?xml version="1.0" encoding="utf-8"?>
<calcChain xmlns="http://schemas.openxmlformats.org/spreadsheetml/2006/main">
  <c r="C11" i="15" l="1"/>
  <c r="C23" i="15"/>
  <c r="B26" i="15"/>
  <c r="Y22" i="14"/>
  <c r="Y18" i="14"/>
  <c r="Y17" i="14"/>
  <c r="Y16" i="14"/>
  <c r="O16" i="14"/>
  <c r="Q16" i="14"/>
  <c r="W16" i="14"/>
  <c r="U16" i="14"/>
  <c r="S16" i="14"/>
  <c r="Y15" i="14"/>
  <c r="O14" i="14"/>
  <c r="Y14" i="14"/>
  <c r="W14" i="14"/>
  <c r="U14" i="14"/>
  <c r="S14" i="14"/>
  <c r="Q14" i="14"/>
  <c r="Y11" i="14"/>
  <c r="Y8" i="14"/>
  <c r="W8" i="14"/>
  <c r="U8" i="14"/>
  <c r="S8" i="14"/>
  <c r="Q8" i="14"/>
  <c r="Y7" i="14"/>
  <c r="W7" i="14"/>
  <c r="U7" i="14"/>
  <c r="S7" i="14"/>
  <c r="Q7" i="14"/>
  <c r="Q6" i="14"/>
  <c r="U6" i="14"/>
  <c r="W6" i="14"/>
  <c r="Y6" i="14"/>
  <c r="B9" i="11"/>
  <c r="D15" i="12"/>
  <c r="E39" i="6"/>
  <c r="E16" i="6"/>
  <c r="C19" i="5"/>
  <c r="C18" i="5"/>
  <c r="B18" i="5"/>
  <c r="A18" i="5"/>
  <c r="E19" i="5"/>
  <c r="C17" i="5"/>
  <c r="B17" i="5"/>
  <c r="A17" i="5"/>
  <c r="C16" i="5"/>
  <c r="B16" i="5"/>
  <c r="A16" i="5"/>
  <c r="E46" i="18"/>
  <c r="E28" i="18"/>
  <c r="E33" i="18"/>
  <c r="E23" i="18"/>
  <c r="E16" i="18"/>
  <c r="E21" i="18"/>
  <c r="R15" i="3"/>
  <c r="D59" i="19"/>
  <c r="D70" i="19"/>
  <c r="D16" i="19"/>
  <c r="D11" i="19"/>
  <c r="F9" i="19" s="1"/>
  <c r="Z26" i="23"/>
  <c r="AA26" i="23"/>
  <c r="AA27" i="23"/>
  <c r="Z33" i="23"/>
  <c r="AA33" i="23"/>
  <c r="Z34" i="23"/>
  <c r="AA34" i="23"/>
  <c r="P36" i="23"/>
  <c r="R36" i="24"/>
  <c r="S36" i="24"/>
  <c r="S7" i="24"/>
  <c r="S8" i="24"/>
  <c r="S9" i="24"/>
  <c r="S10" i="24"/>
  <c r="S11" i="24"/>
  <c r="S12" i="24"/>
  <c r="S13" i="24"/>
  <c r="S14" i="24"/>
  <c r="S15" i="24"/>
  <c r="S16" i="24"/>
  <c r="S17" i="24"/>
  <c r="S18" i="24"/>
  <c r="S19" i="24"/>
  <c r="S20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S33" i="24"/>
  <c r="S34" i="24"/>
  <c r="S35" i="24"/>
  <c r="S37" i="24"/>
  <c r="S38" i="24"/>
  <c r="S6" i="24"/>
  <c r="E68" i="23"/>
  <c r="G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W68" i="23"/>
  <c r="X68" i="23"/>
  <c r="Y68" i="23"/>
  <c r="AA59" i="23"/>
  <c r="AA60" i="23"/>
  <c r="AA61" i="23"/>
  <c r="AA62" i="23"/>
  <c r="AA63" i="23"/>
  <c r="AA64" i="23"/>
  <c r="AA66" i="23"/>
  <c r="AA67" i="23"/>
  <c r="AA58" i="23"/>
  <c r="Z58" i="23"/>
  <c r="S60" i="24"/>
  <c r="J39" i="24"/>
  <c r="K39" i="24"/>
  <c r="J44" i="24"/>
  <c r="K44" i="24"/>
  <c r="J47" i="24"/>
  <c r="K47" i="24"/>
  <c r="J51" i="24"/>
  <c r="K51" i="24"/>
  <c r="J61" i="24"/>
  <c r="K61" i="24"/>
  <c r="C26" i="15" l="1"/>
  <c r="K62" i="24"/>
  <c r="J62" i="24"/>
  <c r="W17" i="14"/>
  <c r="U17" i="14"/>
  <c r="S17" i="14"/>
  <c r="Q17" i="14"/>
  <c r="O17" i="14"/>
  <c r="U22" i="14"/>
  <c r="W18" i="14"/>
  <c r="U18" i="14"/>
  <c r="S18" i="14"/>
  <c r="Q18" i="14"/>
  <c r="O18" i="14"/>
  <c r="I15" i="14"/>
  <c r="O15" i="14"/>
  <c r="U15" i="14"/>
  <c r="S15" i="14"/>
  <c r="Q15" i="14"/>
  <c r="S6" i="14"/>
  <c r="O6" i="14"/>
  <c r="F17" i="7" l="1"/>
  <c r="F18" i="7" s="1"/>
  <c r="AC54" i="23"/>
  <c r="G18" i="7" s="1"/>
  <c r="D32" i="6"/>
  <c r="E54" i="18" l="1"/>
  <c r="D54" i="18"/>
  <c r="E53" i="18"/>
  <c r="D53" i="18"/>
  <c r="E21" i="19"/>
  <c r="F21" i="19"/>
  <c r="E34" i="18"/>
  <c r="E48" i="18" s="1"/>
  <c r="D33" i="18"/>
  <c r="G50" i="18"/>
  <c r="G33" i="18"/>
  <c r="D35" i="19"/>
  <c r="D36" i="19"/>
  <c r="G23" i="18"/>
  <c r="D38" i="19"/>
  <c r="E51" i="18" l="1"/>
  <c r="Z29" i="23"/>
  <c r="AA29" i="23"/>
  <c r="Z30" i="23"/>
  <c r="AA30" i="23"/>
  <c r="J57" i="23"/>
  <c r="K57" i="23"/>
  <c r="J54" i="23"/>
  <c r="K54" i="23"/>
  <c r="L54" i="23"/>
  <c r="J49" i="23"/>
  <c r="K49" i="23"/>
  <c r="L49" i="23"/>
  <c r="AA8" i="23"/>
  <c r="Z9" i="23"/>
  <c r="AA9" i="23"/>
  <c r="Z10" i="23"/>
  <c r="AA10" i="23"/>
  <c r="Z11" i="23"/>
  <c r="AA11" i="23"/>
  <c r="Z12" i="23"/>
  <c r="AA12" i="23"/>
  <c r="Z14" i="23"/>
  <c r="AA14" i="23"/>
  <c r="Z15" i="23"/>
  <c r="AA15" i="23"/>
  <c r="Z16" i="23"/>
  <c r="AA16" i="23"/>
  <c r="AA17" i="23"/>
  <c r="AA18" i="23"/>
  <c r="AA19" i="23"/>
  <c r="AA21" i="23"/>
  <c r="AA22" i="23"/>
  <c r="Z24" i="23"/>
  <c r="AA24" i="23"/>
  <c r="Z38" i="23"/>
  <c r="AA38" i="23"/>
  <c r="Z39" i="23"/>
  <c r="AA39" i="23"/>
  <c r="Z40" i="23"/>
  <c r="AA40" i="23"/>
  <c r="Z41" i="23"/>
  <c r="AA41" i="23"/>
  <c r="AA46" i="23"/>
  <c r="AA47" i="23"/>
  <c r="AA48" i="23"/>
  <c r="AA50" i="23"/>
  <c r="Z53" i="23"/>
  <c r="AA53" i="23"/>
  <c r="AA56" i="23"/>
  <c r="Z6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X44" i="23"/>
  <c r="Y44" i="23"/>
  <c r="F44" i="23"/>
  <c r="G44" i="23"/>
  <c r="AB36" i="23"/>
  <c r="F36" i="23"/>
  <c r="G36" i="23"/>
  <c r="J36" i="23"/>
  <c r="K36" i="23"/>
  <c r="M36" i="23"/>
  <c r="P45" i="23"/>
  <c r="Q36" i="23"/>
  <c r="Q45" i="23" s="1"/>
  <c r="R36" i="23"/>
  <c r="S36" i="23"/>
  <c r="T36" i="23"/>
  <c r="U36" i="23"/>
  <c r="U45" i="23" s="1"/>
  <c r="AC36" i="23"/>
  <c r="S46" i="24"/>
  <c r="M45" i="23" l="1"/>
  <c r="S45" i="23"/>
  <c r="R45" i="23"/>
  <c r="J45" i="23"/>
  <c r="J69" i="23" s="1"/>
  <c r="T45" i="23"/>
  <c r="K45" i="23"/>
  <c r="K69" i="23" s="1"/>
  <c r="D26" i="22"/>
  <c r="D23" i="22"/>
  <c r="C10" i="22"/>
  <c r="D27" i="22"/>
  <c r="D14" i="22"/>
  <c r="D12" i="22"/>
  <c r="D10" i="22"/>
  <c r="C21" i="21"/>
  <c r="E21" i="14"/>
  <c r="M18" i="14"/>
  <c r="K18" i="14"/>
  <c r="I18" i="14"/>
  <c r="G18" i="14"/>
  <c r="E18" i="14"/>
  <c r="C18" i="14"/>
  <c r="M16" i="14"/>
  <c r="K16" i="14"/>
  <c r="I16" i="14"/>
  <c r="G16" i="14"/>
  <c r="G23" i="14" s="1"/>
  <c r="E16" i="14"/>
  <c r="C16" i="14"/>
  <c r="W15" i="14"/>
  <c r="M15" i="14"/>
  <c r="K15" i="14"/>
  <c r="G15" i="14"/>
  <c r="E15" i="14"/>
  <c r="C15" i="14"/>
  <c r="M14" i="14"/>
  <c r="K14" i="14"/>
  <c r="I14" i="14"/>
  <c r="G14" i="14"/>
  <c r="E14" i="14"/>
  <c r="C14" i="14"/>
  <c r="W11" i="14"/>
  <c r="U11" i="14"/>
  <c r="U12" i="14" s="1"/>
  <c r="S11" i="14"/>
  <c r="Q11" i="14"/>
  <c r="O11" i="14"/>
  <c r="M11" i="14"/>
  <c r="K11" i="14"/>
  <c r="I11" i="14"/>
  <c r="G11" i="14"/>
  <c r="E11" i="14"/>
  <c r="D11" i="14"/>
  <c r="C11" i="14"/>
  <c r="M9" i="14"/>
  <c r="K9" i="14"/>
  <c r="S22" i="14" s="1"/>
  <c r="S23" i="14" s="1"/>
  <c r="M6" i="14"/>
  <c r="K6" i="14"/>
  <c r="I6" i="14"/>
  <c r="G6" i="14"/>
  <c r="E6" i="14"/>
  <c r="C6" i="14"/>
  <c r="O7" i="14"/>
  <c r="M7" i="14"/>
  <c r="K7" i="14"/>
  <c r="I7" i="14"/>
  <c r="G7" i="14"/>
  <c r="E7" i="14"/>
  <c r="C7" i="14"/>
  <c r="AF10" i="14"/>
  <c r="AG10" i="14" s="1"/>
  <c r="AF13" i="14"/>
  <c r="W23" i="14"/>
  <c r="W12" i="14"/>
  <c r="U23" i="14"/>
  <c r="S12" i="14"/>
  <c r="Q23" i="14"/>
  <c r="Q12" i="14"/>
  <c r="O23" i="14"/>
  <c r="O12" i="14"/>
  <c r="M23" i="14"/>
  <c r="K23" i="14"/>
  <c r="I23" i="14"/>
  <c r="G12" i="14"/>
  <c r="E23" i="14"/>
  <c r="E12" i="14"/>
  <c r="C6" i="11"/>
  <c r="M8" i="10"/>
  <c r="O9" i="10"/>
  <c r="O8" i="10"/>
  <c r="C12" i="10"/>
  <c r="E12" i="10" s="1"/>
  <c r="C11" i="10"/>
  <c r="I11" i="10" s="1"/>
  <c r="C10" i="10"/>
  <c r="I10" i="10" s="1"/>
  <c r="E10" i="10" l="1"/>
  <c r="G11" i="10"/>
  <c r="E11" i="10"/>
  <c r="L11" i="10"/>
  <c r="M11" i="10" s="1"/>
  <c r="F36" i="2"/>
  <c r="D89" i="19"/>
  <c r="C89" i="19"/>
  <c r="E36" i="2"/>
  <c r="K10" i="10"/>
  <c r="D16" i="22"/>
  <c r="N10" i="10"/>
  <c r="O10" i="10" s="1"/>
  <c r="L12" i="10"/>
  <c r="M12" i="10" s="1"/>
  <c r="Y23" i="14"/>
  <c r="E24" i="14"/>
  <c r="C23" i="14"/>
  <c r="W24" i="14"/>
  <c r="U24" i="14"/>
  <c r="Q24" i="14"/>
  <c r="O24" i="14"/>
  <c r="G24" i="14"/>
  <c r="M12" i="14"/>
  <c r="M24" i="14" s="1"/>
  <c r="K12" i="14"/>
  <c r="K24" i="14" s="1"/>
  <c r="I12" i="14"/>
  <c r="I24" i="14" s="1"/>
  <c r="Y12" i="14"/>
  <c r="Y24" i="14" s="1"/>
  <c r="S24" i="14"/>
  <c r="C12" i="14"/>
  <c r="I12" i="10"/>
  <c r="K12" i="10"/>
  <c r="K11" i="10"/>
  <c r="G10" i="10"/>
  <c r="M10" i="10"/>
  <c r="G12" i="10"/>
  <c r="G10" i="8"/>
  <c r="E10" i="8"/>
  <c r="G7" i="8"/>
  <c r="E7" i="8"/>
  <c r="E33" i="6"/>
  <c r="E32" i="6"/>
  <c r="L38" i="6"/>
  <c r="K40" i="6"/>
  <c r="K32" i="6"/>
  <c r="X17" i="23"/>
  <c r="I32" i="6"/>
  <c r="H32" i="6"/>
  <c r="E56" i="6"/>
  <c r="E55" i="6"/>
  <c r="C15" i="5"/>
  <c r="C14" i="5"/>
  <c r="C13" i="5"/>
  <c r="B15" i="5"/>
  <c r="D56" i="6" s="1"/>
  <c r="A15" i="5"/>
  <c r="B56" i="6" s="1"/>
  <c r="P20" i="3"/>
  <c r="J12" i="3"/>
  <c r="F11" i="3"/>
  <c r="D19" i="19"/>
  <c r="C14" i="21"/>
  <c r="E61" i="24"/>
  <c r="D11" i="3" s="1"/>
  <c r="F61" i="24"/>
  <c r="G61" i="24"/>
  <c r="H11" i="3" s="1"/>
  <c r="H61" i="24"/>
  <c r="I61" i="24"/>
  <c r="L61" i="24"/>
  <c r="M61" i="24"/>
  <c r="N11" i="3" s="1"/>
  <c r="O61" i="24"/>
  <c r="L11" i="3" s="1"/>
  <c r="P61" i="24"/>
  <c r="Q61" i="24"/>
  <c r="E39" i="24"/>
  <c r="G39" i="24"/>
  <c r="H39" i="24"/>
  <c r="I39" i="24"/>
  <c r="L39" i="24"/>
  <c r="M7" i="3" s="1"/>
  <c r="M39" i="24"/>
  <c r="N7" i="3" s="1"/>
  <c r="N39" i="24"/>
  <c r="O39" i="24"/>
  <c r="L7" i="3" s="1"/>
  <c r="P39" i="24"/>
  <c r="Q39" i="24"/>
  <c r="F7" i="3" s="1"/>
  <c r="R30" i="24"/>
  <c r="E51" i="24"/>
  <c r="D10" i="3" s="1"/>
  <c r="F51" i="24"/>
  <c r="G51" i="24"/>
  <c r="H10" i="3" s="1"/>
  <c r="H51" i="24"/>
  <c r="I51" i="24"/>
  <c r="L51" i="24"/>
  <c r="M51" i="24"/>
  <c r="N10" i="3" s="1"/>
  <c r="N51" i="24"/>
  <c r="O51" i="24"/>
  <c r="L10" i="3" s="1"/>
  <c r="P51" i="24"/>
  <c r="Q51" i="24"/>
  <c r="F10" i="3" s="1"/>
  <c r="E47" i="24"/>
  <c r="D9" i="3" s="1"/>
  <c r="F47" i="24"/>
  <c r="G47" i="24"/>
  <c r="H9" i="3" s="1"/>
  <c r="H47" i="24"/>
  <c r="I47" i="24"/>
  <c r="L47" i="24"/>
  <c r="M47" i="24"/>
  <c r="N9" i="3" s="1"/>
  <c r="N47" i="24"/>
  <c r="O47" i="24"/>
  <c r="L9" i="3" s="1"/>
  <c r="P47" i="24"/>
  <c r="Q47" i="24"/>
  <c r="F9" i="3" s="1"/>
  <c r="E44" i="24"/>
  <c r="D8" i="3" s="1"/>
  <c r="F44" i="24"/>
  <c r="G44" i="24"/>
  <c r="H8" i="3" s="1"/>
  <c r="H44" i="24"/>
  <c r="I44" i="24"/>
  <c r="L44" i="24"/>
  <c r="M44" i="24"/>
  <c r="N8" i="3" s="1"/>
  <c r="N44" i="24"/>
  <c r="O44" i="24"/>
  <c r="L8" i="3" s="1"/>
  <c r="P44" i="24"/>
  <c r="Q44" i="24"/>
  <c r="F8" i="3" s="1"/>
  <c r="AA20" i="23"/>
  <c r="H62" i="24" l="1"/>
  <c r="D19" i="5" s="1"/>
  <c r="I62" i="24"/>
  <c r="P62" i="24"/>
  <c r="Q62" i="24"/>
  <c r="F15" i="3" s="1"/>
  <c r="L62" i="24"/>
  <c r="AE9" i="14"/>
  <c r="F70" i="19"/>
  <c r="O62" i="24"/>
  <c r="M62" i="24"/>
  <c r="G62" i="24"/>
  <c r="E62" i="24"/>
  <c r="G59" i="19" s="1"/>
  <c r="D7" i="3"/>
  <c r="H7" i="3"/>
  <c r="H12" i="3" s="1"/>
  <c r="C24" i="14"/>
  <c r="P8" i="3"/>
  <c r="R8" i="3" s="1"/>
  <c r="P9" i="3"/>
  <c r="P11" i="3"/>
  <c r="R11" i="3" s="1"/>
  <c r="P10" i="3"/>
  <c r="R10" i="3" s="1"/>
  <c r="N12" i="3"/>
  <c r="L12" i="3"/>
  <c r="F12" i="3"/>
  <c r="Y57" i="23"/>
  <c r="Y54" i="23"/>
  <c r="Y49" i="23"/>
  <c r="Y13" i="23"/>
  <c r="W57" i="23"/>
  <c r="W54" i="23"/>
  <c r="W49" i="23"/>
  <c r="W42" i="23"/>
  <c r="W35" i="23"/>
  <c r="P24" i="3"/>
  <c r="U57" i="23"/>
  <c r="P23" i="3" s="1"/>
  <c r="U54" i="23"/>
  <c r="P22" i="3" s="1"/>
  <c r="U49" i="23"/>
  <c r="P21" i="3" s="1"/>
  <c r="S57" i="23"/>
  <c r="S54" i="23"/>
  <c r="S49" i="23"/>
  <c r="Q57" i="23"/>
  <c r="Q54" i="23"/>
  <c r="Q49" i="23"/>
  <c r="O57" i="23"/>
  <c r="O54" i="23"/>
  <c r="O49" i="23"/>
  <c r="O31" i="23"/>
  <c r="M57" i="23"/>
  <c r="M54" i="23"/>
  <c r="J22" i="3" s="1"/>
  <c r="M49" i="23"/>
  <c r="J21" i="3" s="1"/>
  <c r="J20" i="3"/>
  <c r="I65" i="23"/>
  <c r="I55" i="23"/>
  <c r="AA55" i="23" s="1"/>
  <c r="I52" i="23"/>
  <c r="AA52" i="23" s="1"/>
  <c r="I51" i="23"/>
  <c r="I49" i="23"/>
  <c r="H21" i="3" s="1"/>
  <c r="I37" i="23"/>
  <c r="AA32" i="23"/>
  <c r="AA28" i="23"/>
  <c r="AA23" i="23"/>
  <c r="I13" i="23"/>
  <c r="I7" i="23"/>
  <c r="AA7" i="23" s="1"/>
  <c r="F24" i="3"/>
  <c r="G57" i="23"/>
  <c r="F23" i="3" s="1"/>
  <c r="G54" i="23"/>
  <c r="F22" i="3" s="1"/>
  <c r="G49" i="23"/>
  <c r="F21" i="3" s="1"/>
  <c r="G45" i="23"/>
  <c r="D24" i="3"/>
  <c r="E57" i="23"/>
  <c r="D23" i="3" s="1"/>
  <c r="E54" i="23"/>
  <c r="D22" i="3" s="1"/>
  <c r="E49" i="23"/>
  <c r="E42" i="23"/>
  <c r="E25" i="23"/>
  <c r="E36" i="23" s="1"/>
  <c r="D25" i="16"/>
  <c r="D18" i="16"/>
  <c r="D20" i="16" s="1"/>
  <c r="D11" i="16"/>
  <c r="D12" i="16" s="1"/>
  <c r="D39" i="16" s="1"/>
  <c r="D8" i="16"/>
  <c r="D9" i="16" s="1"/>
  <c r="C31" i="15"/>
  <c r="AA24" i="14"/>
  <c r="AA23" i="14"/>
  <c r="AA22" i="14"/>
  <c r="AA21" i="14"/>
  <c r="AA20" i="14"/>
  <c r="AA19" i="14"/>
  <c r="AA18" i="14"/>
  <c r="AA17" i="14"/>
  <c r="AA16" i="14"/>
  <c r="AA15" i="14"/>
  <c r="AA14" i="14"/>
  <c r="AA12" i="14"/>
  <c r="AA11" i="14"/>
  <c r="AA10" i="14"/>
  <c r="AA9" i="14"/>
  <c r="AA8" i="14"/>
  <c r="AA7" i="14"/>
  <c r="AA6" i="14"/>
  <c r="I68" i="23" l="1"/>
  <c r="AA68" i="23" s="1"/>
  <c r="AA65" i="23"/>
  <c r="P25" i="3"/>
  <c r="AE7" i="14"/>
  <c r="AF7" i="14" s="1"/>
  <c r="AG7" i="14" s="1"/>
  <c r="F46" i="19"/>
  <c r="G46" i="19"/>
  <c r="J14" i="3"/>
  <c r="F59" i="19"/>
  <c r="AE8" i="14"/>
  <c r="AF8" i="14" s="1"/>
  <c r="AG8" i="14" s="1"/>
  <c r="F14" i="3"/>
  <c r="AE6" i="14"/>
  <c r="AF6" i="14" s="1"/>
  <c r="AG6" i="14" s="1"/>
  <c r="G39" i="19"/>
  <c r="F39" i="19"/>
  <c r="P7" i="3"/>
  <c r="R7" i="3" s="1"/>
  <c r="AE11" i="14"/>
  <c r="AF11" i="14" s="1"/>
  <c r="AG11" i="14" s="1"/>
  <c r="N15" i="3"/>
  <c r="F71" i="19"/>
  <c r="N14" i="3"/>
  <c r="L15" i="3"/>
  <c r="L27" i="3"/>
  <c r="L20" i="3"/>
  <c r="L25" i="3" s="1"/>
  <c r="AF9" i="14"/>
  <c r="AG9" i="14" s="1"/>
  <c r="H15" i="3"/>
  <c r="D15" i="3"/>
  <c r="I44" i="23"/>
  <c r="AA37" i="23"/>
  <c r="O36" i="23"/>
  <c r="O45" i="23" s="1"/>
  <c r="O69" i="23" s="1"/>
  <c r="AA31" i="23"/>
  <c r="E44" i="23"/>
  <c r="E45" i="23" s="1"/>
  <c r="AA25" i="23"/>
  <c r="AA35" i="23"/>
  <c r="W36" i="23"/>
  <c r="I54" i="23"/>
  <c r="H22" i="3" s="1"/>
  <c r="T22" i="3" s="1"/>
  <c r="V22" i="3" s="1"/>
  <c r="AA51" i="23"/>
  <c r="AA42" i="23"/>
  <c r="W44" i="23"/>
  <c r="AA54" i="23"/>
  <c r="I36" i="23"/>
  <c r="AA6" i="23"/>
  <c r="H24" i="3"/>
  <c r="T24" i="3" s="1"/>
  <c r="V24" i="3" s="1"/>
  <c r="AA43" i="23"/>
  <c r="I57" i="23"/>
  <c r="H23" i="3" s="1"/>
  <c r="T23" i="3" s="1"/>
  <c r="V23" i="3" s="1"/>
  <c r="J25" i="3"/>
  <c r="AA13" i="23"/>
  <c r="Y36" i="23"/>
  <c r="D21" i="3"/>
  <c r="T21" i="3" s="1"/>
  <c r="V21" i="3" s="1"/>
  <c r="AA49" i="23"/>
  <c r="D12" i="3"/>
  <c r="F20" i="3"/>
  <c r="F25" i="3" s="1"/>
  <c r="R9" i="3"/>
  <c r="U69" i="23"/>
  <c r="S69" i="23"/>
  <c r="Q69" i="23"/>
  <c r="M69" i="23"/>
  <c r="G69" i="23"/>
  <c r="J17" i="11"/>
  <c r="J18" i="11"/>
  <c r="J19" i="11"/>
  <c r="J20" i="11"/>
  <c r="J16" i="11"/>
  <c r="D6" i="11"/>
  <c r="D9" i="11" s="1"/>
  <c r="C9" i="11"/>
  <c r="D16" i="12"/>
  <c r="D14" i="12"/>
  <c r="D13" i="12"/>
  <c r="D12" i="12"/>
  <c r="D11" i="12"/>
  <c r="D10" i="12"/>
  <c r="D9" i="12"/>
  <c r="G25" i="7"/>
  <c r="G24" i="7"/>
  <c r="G23" i="7"/>
  <c r="G22" i="7"/>
  <c r="G21" i="7"/>
  <c r="G19" i="7"/>
  <c r="G17" i="7"/>
  <c r="G15" i="7"/>
  <c r="G16" i="7" s="1"/>
  <c r="G13" i="7"/>
  <c r="G12" i="7"/>
  <c r="G11" i="7"/>
  <c r="G10" i="7"/>
  <c r="G9" i="7"/>
  <c r="G8" i="7"/>
  <c r="E34" i="6"/>
  <c r="E38" i="6"/>
  <c r="E36" i="6" s="1"/>
  <c r="E13" i="6"/>
  <c r="E12" i="6"/>
  <c r="E7" i="6"/>
  <c r="C20" i="5"/>
  <c r="C21" i="5" s="1"/>
  <c r="C9" i="5"/>
  <c r="E52" i="18"/>
  <c r="E49" i="18"/>
  <c r="E50" i="18" s="1"/>
  <c r="E22" i="18"/>
  <c r="E20" i="18"/>
  <c r="E19" i="18"/>
  <c r="E18" i="18"/>
  <c r="E17" i="18"/>
  <c r="E15" i="18"/>
  <c r="E13" i="18"/>
  <c r="E11" i="6" l="1"/>
  <c r="E57" i="6" s="1"/>
  <c r="AA36" i="23"/>
  <c r="I45" i="23"/>
  <c r="H20" i="3" s="1"/>
  <c r="H25" i="3" s="1"/>
  <c r="P12" i="3"/>
  <c r="AA57" i="23"/>
  <c r="R12" i="3"/>
  <c r="D20" i="3"/>
  <c r="D25" i="3" s="1"/>
  <c r="E69" i="23"/>
  <c r="F31" i="2" s="1"/>
  <c r="Y45" i="23"/>
  <c r="AE17" i="14"/>
  <c r="AF17" i="14" s="1"/>
  <c r="AG17" i="14" s="1"/>
  <c r="N20" i="3"/>
  <c r="N25" i="3" s="1"/>
  <c r="AE21" i="14"/>
  <c r="AF21" i="14" s="1"/>
  <c r="AG21" i="14" s="1"/>
  <c r="D92" i="19"/>
  <c r="C26" i="21"/>
  <c r="D19" i="12"/>
  <c r="AA44" i="23"/>
  <c r="W45" i="23"/>
  <c r="W69" i="23" s="1"/>
  <c r="F44" i="2" s="1"/>
  <c r="I69" i="23"/>
  <c r="D82" i="19" s="1"/>
  <c r="C20" i="21" s="1"/>
  <c r="N27" i="3"/>
  <c r="AE19" i="14"/>
  <c r="AF19" i="14" s="1"/>
  <c r="AG19" i="14" s="1"/>
  <c r="R27" i="3"/>
  <c r="R20" i="3"/>
  <c r="AE20" i="14"/>
  <c r="AF20" i="14" s="1"/>
  <c r="AG20" i="14" s="1"/>
  <c r="P27" i="3"/>
  <c r="AE18" i="14"/>
  <c r="AF18" i="14" s="1"/>
  <c r="AG18" i="14" s="1"/>
  <c r="F87" i="19"/>
  <c r="J27" i="3"/>
  <c r="AE15" i="14"/>
  <c r="AF15" i="14" s="1"/>
  <c r="AG15" i="14" s="1"/>
  <c r="F27" i="3"/>
  <c r="E14" i="18"/>
  <c r="E55" i="18" s="1"/>
  <c r="G14" i="8"/>
  <c r="G26" i="7"/>
  <c r="G14" i="7"/>
  <c r="G16" i="19"/>
  <c r="F40" i="2"/>
  <c r="F38" i="2"/>
  <c r="F37" i="2"/>
  <c r="F35" i="2"/>
  <c r="F32" i="2"/>
  <c r="D88" i="19"/>
  <c r="D86" i="19"/>
  <c r="D85" i="19"/>
  <c r="C24" i="21" s="1"/>
  <c r="D83" i="19"/>
  <c r="C22" i="21" s="1"/>
  <c r="D81" i="19"/>
  <c r="C19" i="21" s="1"/>
  <c r="D71" i="19"/>
  <c r="D72" i="19" s="1"/>
  <c r="C15" i="21" s="1"/>
  <c r="D61" i="19"/>
  <c r="C12" i="21" s="1"/>
  <c r="D46" i="19"/>
  <c r="D37" i="19"/>
  <c r="D34" i="19"/>
  <c r="D33" i="19"/>
  <c r="D32" i="19"/>
  <c r="D31" i="19"/>
  <c r="D30" i="19"/>
  <c r="G51" i="18" s="1"/>
  <c r="H51" i="18" s="1"/>
  <c r="D29" i="19"/>
  <c r="D28" i="19"/>
  <c r="D27" i="19"/>
  <c r="F12" i="2" s="1"/>
  <c r="S59" i="24"/>
  <c r="S58" i="24"/>
  <c r="S57" i="24"/>
  <c r="S56" i="24"/>
  <c r="S55" i="24"/>
  <c r="S54" i="24"/>
  <c r="S53" i="24"/>
  <c r="S52" i="24"/>
  <c r="S50" i="24"/>
  <c r="S49" i="24"/>
  <c r="S48" i="24"/>
  <c r="S45" i="24"/>
  <c r="S43" i="24"/>
  <c r="S42" i="24"/>
  <c r="S41" i="24"/>
  <c r="S40" i="24"/>
  <c r="AC68" i="23"/>
  <c r="AC45" i="23"/>
  <c r="F9" i="2" l="1"/>
  <c r="C10" i="21"/>
  <c r="AC69" i="23"/>
  <c r="D94" i="19"/>
  <c r="AE16" i="14"/>
  <c r="AF16" i="14" s="1"/>
  <c r="AG16" i="14" s="1"/>
  <c r="H27" i="3"/>
  <c r="F33" i="2"/>
  <c r="D27" i="3"/>
  <c r="AE14" i="14"/>
  <c r="AF14" i="14" s="1"/>
  <c r="AG14" i="14" s="1"/>
  <c r="D80" i="19"/>
  <c r="C18" i="21" s="1"/>
  <c r="Y69" i="23"/>
  <c r="AE22" i="14" s="1"/>
  <c r="AF22" i="14" s="1"/>
  <c r="AG22" i="14" s="1"/>
  <c r="AA45" i="23"/>
  <c r="G27" i="7"/>
  <c r="R25" i="3"/>
  <c r="T25" i="3" s="1"/>
  <c r="V25" i="3" s="1"/>
  <c r="T20" i="3"/>
  <c r="V20" i="3" s="1"/>
  <c r="F39" i="2"/>
  <c r="C25" i="21"/>
  <c r="D87" i="19"/>
  <c r="F20" i="2"/>
  <c r="F24" i="2" s="1"/>
  <c r="C24" i="5" s="1"/>
  <c r="C10" i="5"/>
  <c r="F13" i="2"/>
  <c r="D93" i="19"/>
  <c r="D8" i="12"/>
  <c r="D17" i="12" s="1"/>
  <c r="D39" i="19"/>
  <c r="S39" i="24"/>
  <c r="F41" i="2"/>
  <c r="S44" i="24"/>
  <c r="S51" i="24"/>
  <c r="S47" i="24"/>
  <c r="S61" i="24"/>
  <c r="E10" i="16"/>
  <c r="C11" i="16" s="1"/>
  <c r="C26" i="22"/>
  <c r="F27" i="21"/>
  <c r="E27" i="21"/>
  <c r="D27" i="21"/>
  <c r="G61" i="19" l="1"/>
  <c r="C11" i="21"/>
  <c r="D90" i="19"/>
  <c r="F43" i="2"/>
  <c r="F46" i="2" s="1"/>
  <c r="D95" i="19"/>
  <c r="D97" i="19" s="1"/>
  <c r="C27" i="21" s="1"/>
  <c r="AA69" i="23"/>
  <c r="E59" i="6"/>
  <c r="E63" i="6" s="1"/>
  <c r="F11" i="2"/>
  <c r="C9" i="21"/>
  <c r="C23" i="21"/>
  <c r="E26" i="15"/>
  <c r="F26" i="15" s="1"/>
  <c r="F34" i="2"/>
  <c r="F42" i="2" s="1"/>
  <c r="C22" i="5"/>
  <c r="F61" i="19"/>
  <c r="F8" i="2"/>
  <c r="S62" i="24"/>
  <c r="G73" i="19" s="1"/>
  <c r="D18" i="14"/>
  <c r="X16" i="14"/>
  <c r="X15" i="14"/>
  <c r="X14" i="14"/>
  <c r="X8" i="14"/>
  <c r="X7" i="14"/>
  <c r="X6" i="14"/>
  <c r="D10" i="13"/>
  <c r="E12" i="13"/>
  <c r="E10" i="13"/>
  <c r="D12" i="13"/>
  <c r="B13" i="13"/>
  <c r="B10" i="13"/>
  <c r="B12" i="13"/>
  <c r="C55" i="13"/>
  <c r="B6" i="11"/>
  <c r="I20" i="11"/>
  <c r="I19" i="11"/>
  <c r="L8" i="10"/>
  <c r="J8" i="10"/>
  <c r="H8" i="10"/>
  <c r="K9" i="10"/>
  <c r="M9" i="10"/>
  <c r="L9" i="10"/>
  <c r="H9" i="10"/>
  <c r="F9" i="10"/>
  <c r="F8" i="10"/>
  <c r="F47" i="2" l="1"/>
  <c r="C28" i="21"/>
  <c r="F98" i="19"/>
  <c r="AE23" i="14"/>
  <c r="AF23" i="14" s="1"/>
  <c r="AG23" i="14" s="1"/>
  <c r="T27" i="3"/>
  <c r="V27" i="3"/>
  <c r="D98" i="19"/>
  <c r="AE12" i="14"/>
  <c r="AF12" i="14" s="1"/>
  <c r="AG12" i="14" s="1"/>
  <c r="F73" i="19"/>
  <c r="P15" i="3"/>
  <c r="C14" i="12"/>
  <c r="C13" i="12"/>
  <c r="C12" i="12"/>
  <c r="C11" i="12"/>
  <c r="C10" i="12"/>
  <c r="C9" i="12"/>
  <c r="F13" i="7"/>
  <c r="D40" i="6"/>
  <c r="D34" i="6"/>
  <c r="D39" i="6"/>
  <c r="D38" i="6"/>
  <c r="D36" i="6"/>
  <c r="D16" i="6"/>
  <c r="D13" i="6"/>
  <c r="D12" i="6"/>
  <c r="D34" i="18"/>
  <c r="D48" i="18" s="1"/>
  <c r="D49" i="18"/>
  <c r="H13" i="2"/>
  <c r="C46" i="2"/>
  <c r="C34" i="2"/>
  <c r="C42" i="2" s="1"/>
  <c r="C47" i="2" s="1"/>
  <c r="C20" i="2"/>
  <c r="C24" i="2" s="1"/>
  <c r="C25" i="2" s="1"/>
  <c r="C16" i="2"/>
  <c r="C11" i="2"/>
  <c r="C10" i="2"/>
  <c r="C48" i="19"/>
  <c r="C50" i="19"/>
  <c r="C56" i="19"/>
  <c r="C53" i="19"/>
  <c r="C37" i="19"/>
  <c r="C30" i="19"/>
  <c r="D40" i="24"/>
  <c r="F46" i="23"/>
  <c r="D48" i="23"/>
  <c r="Z48" i="23" s="1"/>
  <c r="D47" i="23"/>
  <c r="Z47" i="23" s="1"/>
  <c r="D46" i="23"/>
  <c r="N52" i="24"/>
  <c r="N61" i="24" s="1"/>
  <c r="N62" i="24" s="1"/>
  <c r="D60" i="24"/>
  <c r="R60" i="24" s="1"/>
  <c r="D57" i="24"/>
  <c r="D56" i="24"/>
  <c r="D59" i="24"/>
  <c r="V59" i="23"/>
  <c r="V61" i="23"/>
  <c r="H62" i="23"/>
  <c r="Z62" i="23" s="1"/>
  <c r="H67" i="23"/>
  <c r="H66" i="23"/>
  <c r="Z66" i="23" s="1"/>
  <c r="H65" i="23"/>
  <c r="Z65" i="23" s="1"/>
  <c r="H61" i="23"/>
  <c r="H63" i="23"/>
  <c r="H60" i="23"/>
  <c r="H59" i="23"/>
  <c r="F61" i="23"/>
  <c r="F68" i="23" s="1"/>
  <c r="D63" i="23"/>
  <c r="D67" i="23"/>
  <c r="D61" i="23"/>
  <c r="D60" i="23"/>
  <c r="D59" i="23"/>
  <c r="C59" i="19" l="1"/>
  <c r="Z67" i="23"/>
  <c r="H68" i="23"/>
  <c r="V68" i="23"/>
  <c r="D68" i="23"/>
  <c r="Z63" i="23"/>
  <c r="Z46" i="23"/>
  <c r="Z61" i="23"/>
  <c r="Z60" i="23"/>
  <c r="Z59" i="23"/>
  <c r="H52" i="23"/>
  <c r="H51" i="23"/>
  <c r="Z51" i="23" s="1"/>
  <c r="H50" i="23"/>
  <c r="Z50" i="23" s="1"/>
  <c r="D52" i="23"/>
  <c r="H56" i="23"/>
  <c r="Z56" i="23" s="1"/>
  <c r="H55" i="23"/>
  <c r="Z55" i="23" s="1"/>
  <c r="Z68" i="23" l="1"/>
  <c r="Z52" i="23"/>
  <c r="H8" i="23"/>
  <c r="D18" i="24"/>
  <c r="D16" i="24"/>
  <c r="R16" i="24" s="1"/>
  <c r="D8" i="24"/>
  <c r="D21" i="24"/>
  <c r="C15" i="19"/>
  <c r="V35" i="23"/>
  <c r="Z35" i="23" s="1"/>
  <c r="H28" i="23"/>
  <c r="D28" i="23"/>
  <c r="H43" i="23"/>
  <c r="D43" i="23"/>
  <c r="V42" i="23"/>
  <c r="H42" i="23"/>
  <c r="D42" i="23"/>
  <c r="H32" i="23"/>
  <c r="Z32" i="23" s="1"/>
  <c r="H25" i="23"/>
  <c r="D25" i="23"/>
  <c r="H23" i="23"/>
  <c r="D23" i="23"/>
  <c r="H37" i="23"/>
  <c r="H22" i="23"/>
  <c r="Z22" i="23" s="1"/>
  <c r="H21" i="23"/>
  <c r="D21" i="23"/>
  <c r="H20" i="23"/>
  <c r="Z20" i="23" s="1"/>
  <c r="H19" i="23"/>
  <c r="Z19" i="23" s="1"/>
  <c r="H18" i="23"/>
  <c r="Z18" i="23" s="1"/>
  <c r="R17" i="24"/>
  <c r="V17" i="23"/>
  <c r="H17" i="23"/>
  <c r="X13" i="23"/>
  <c r="H13" i="23"/>
  <c r="L27" i="23"/>
  <c r="Z27" i="23" s="1"/>
  <c r="X8" i="23"/>
  <c r="H7" i="23"/>
  <c r="Z7" i="23" s="1"/>
  <c r="H6" i="23"/>
  <c r="E14" i="19" l="1"/>
  <c r="D15" i="19"/>
  <c r="H36" i="23"/>
  <c r="Z6" i="23"/>
  <c r="Z23" i="23"/>
  <c r="Z43" i="23"/>
  <c r="Z8" i="23"/>
  <c r="X36" i="23"/>
  <c r="Z13" i="23"/>
  <c r="Z21" i="23"/>
  <c r="D44" i="23"/>
  <c r="L36" i="23"/>
  <c r="L45" i="23" s="1"/>
  <c r="V36" i="23"/>
  <c r="Z17" i="23"/>
  <c r="H44" i="23"/>
  <c r="Z37" i="23"/>
  <c r="Z25" i="23"/>
  <c r="V44" i="23"/>
  <c r="Z42" i="23"/>
  <c r="Z28" i="23"/>
  <c r="D36" i="23"/>
  <c r="D39" i="24"/>
  <c r="H26" i="22"/>
  <c r="G26" i="22"/>
  <c r="F26" i="22"/>
  <c r="E26" i="22"/>
  <c r="H14" i="22"/>
  <c r="G14" i="22"/>
  <c r="F14" i="22"/>
  <c r="E14" i="22"/>
  <c r="C14" i="22"/>
  <c r="C12" i="22"/>
  <c r="F13" i="17"/>
  <c r="F12" i="17"/>
  <c r="C8" i="16"/>
  <c r="C9" i="16" s="1"/>
  <c r="C25" i="16"/>
  <c r="C18" i="16"/>
  <c r="Z20" i="14"/>
  <c r="D11" i="13"/>
  <c r="C10" i="13"/>
  <c r="C11" i="13" s="1"/>
  <c r="B11" i="13"/>
  <c r="C12" i="13"/>
  <c r="B19" i="11"/>
  <c r="N9" i="11"/>
  <c r="H19" i="11"/>
  <c r="C16" i="12"/>
  <c r="I9" i="10"/>
  <c r="I8" i="10"/>
  <c r="G9" i="10"/>
  <c r="G8" i="10"/>
  <c r="F15" i="7"/>
  <c r="F16" i="7" s="1"/>
  <c r="F12" i="7"/>
  <c r="F11" i="7"/>
  <c r="F10" i="7"/>
  <c r="F9" i="7"/>
  <c r="F8" i="7"/>
  <c r="D11" i="6"/>
  <c r="D26" i="19" l="1"/>
  <c r="H26" i="19" s="1"/>
  <c r="F14" i="19"/>
  <c r="G48" i="18" s="1"/>
  <c r="H48" i="18" s="1"/>
  <c r="V45" i="23"/>
  <c r="X45" i="23"/>
  <c r="Z44" i="23"/>
  <c r="H45" i="23"/>
  <c r="F14" i="7"/>
  <c r="D13" i="13"/>
  <c r="F23" i="22" s="1"/>
  <c r="C23" i="22"/>
  <c r="F10" i="13"/>
  <c r="F12" i="13"/>
  <c r="E11" i="13"/>
  <c r="F11" i="13" s="1"/>
  <c r="E57" i="18" l="1"/>
  <c r="E59" i="18" s="1"/>
  <c r="C8" i="21"/>
  <c r="C16" i="21" s="1"/>
  <c r="F10" i="2"/>
  <c r="F16" i="2" s="1"/>
  <c r="F25" i="2" s="1"/>
  <c r="D73" i="19"/>
  <c r="E13" i="13"/>
  <c r="G23" i="22" s="1"/>
  <c r="K8" i="10"/>
  <c r="B20" i="5"/>
  <c r="B14" i="5"/>
  <c r="D55" i="6" s="1"/>
  <c r="B13" i="5"/>
  <c r="D53" i="6" s="1"/>
  <c r="B9" i="5"/>
  <c r="A14" i="5"/>
  <c r="B55" i="6" s="1"/>
  <c r="A13" i="5"/>
  <c r="B53" i="6" s="1"/>
  <c r="A10" i="5"/>
  <c r="A9" i="5"/>
  <c r="D22" i="18"/>
  <c r="D21" i="18"/>
  <c r="D20" i="18"/>
  <c r="D19" i="18"/>
  <c r="D18" i="18"/>
  <c r="D17" i="18"/>
  <c r="D16" i="18"/>
  <c r="D15" i="18"/>
  <c r="D13" i="18"/>
  <c r="D14" i="18" l="1"/>
  <c r="C88" i="19"/>
  <c r="C38" i="19"/>
  <c r="F51" i="18" l="1"/>
  <c r="D51" i="18"/>
  <c r="E8" i="3"/>
  <c r="D44" i="24"/>
  <c r="C63" i="19" l="1"/>
  <c r="C70" i="19" s="1"/>
  <c r="D45" i="23"/>
  <c r="B10" i="5" l="1"/>
  <c r="B19" i="5" s="1"/>
  <c r="H49" i="23"/>
  <c r="N49" i="23"/>
  <c r="P49" i="23"/>
  <c r="R49" i="23"/>
  <c r="T49" i="23"/>
  <c r="V49" i="23"/>
  <c r="X49" i="23"/>
  <c r="F49" i="23"/>
  <c r="D49" i="23"/>
  <c r="AB68" i="23"/>
  <c r="X57" i="23"/>
  <c r="V57" i="23"/>
  <c r="T57" i="23"/>
  <c r="R57" i="23"/>
  <c r="P57" i="23"/>
  <c r="N57" i="23"/>
  <c r="L57" i="23"/>
  <c r="F57" i="23"/>
  <c r="E23" i="3" s="1"/>
  <c r="D57" i="23"/>
  <c r="X54" i="23"/>
  <c r="V54" i="23"/>
  <c r="T54" i="23"/>
  <c r="R54" i="23"/>
  <c r="P54" i="23"/>
  <c r="N54" i="23"/>
  <c r="F54" i="23"/>
  <c r="D54" i="23"/>
  <c r="N31" i="23"/>
  <c r="Z49" i="23" l="1"/>
  <c r="N36" i="23"/>
  <c r="Z36" i="23" s="1"/>
  <c r="Z31" i="23"/>
  <c r="AB45" i="23"/>
  <c r="AB69" i="23" s="1"/>
  <c r="E14" i="8"/>
  <c r="H57" i="23"/>
  <c r="Z57" i="23" s="1"/>
  <c r="N45" i="23" l="1"/>
  <c r="H54" i="23"/>
  <c r="Z54" i="23" s="1"/>
  <c r="D16" i="2" l="1"/>
  <c r="D24" i="2"/>
  <c r="D25" i="2" l="1"/>
  <c r="F20" i="21"/>
  <c r="E20" i="21"/>
  <c r="D20" i="21"/>
  <c r="B21" i="21" l="1"/>
  <c r="E28" i="21"/>
  <c r="F28" i="21"/>
  <c r="D28" i="21"/>
  <c r="D16" i="21"/>
  <c r="E16" i="21"/>
  <c r="F16" i="21"/>
  <c r="D56" i="13"/>
  <c r="C56" i="13"/>
  <c r="E19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20" i="13"/>
  <c r="C13" i="13"/>
  <c r="E23" i="22" s="1"/>
  <c r="I12" i="3"/>
  <c r="E37" i="2"/>
  <c r="F13" i="13" l="1"/>
  <c r="E56" i="13"/>
  <c r="C46" i="19"/>
  <c r="O24" i="3" l="1"/>
  <c r="O23" i="3"/>
  <c r="O22" i="3"/>
  <c r="O21" i="3"/>
  <c r="Z9" i="14" l="1"/>
  <c r="F25" i="7"/>
  <c r="F24" i="7"/>
  <c r="F23" i="7"/>
  <c r="F22" i="7"/>
  <c r="F21" i="7"/>
  <c r="F19" i="7"/>
  <c r="B21" i="5"/>
  <c r="D52" i="18"/>
  <c r="D50" i="18"/>
  <c r="D23" i="18"/>
  <c r="C26" i="19"/>
  <c r="D57" i="18" s="1"/>
  <c r="C61" i="19"/>
  <c r="B12" i="21" s="1"/>
  <c r="B10" i="21"/>
  <c r="D61" i="24"/>
  <c r="C11" i="3" s="1"/>
  <c r="G11" i="3"/>
  <c r="E11" i="3"/>
  <c r="D51" i="24"/>
  <c r="C10" i="3" s="1"/>
  <c r="G10" i="3"/>
  <c r="M10" i="3"/>
  <c r="E10" i="3"/>
  <c r="D47" i="24"/>
  <c r="C9" i="3" s="1"/>
  <c r="G9" i="3"/>
  <c r="M9" i="3"/>
  <c r="E9" i="3"/>
  <c r="C8" i="3"/>
  <c r="G8" i="3"/>
  <c r="M8" i="3"/>
  <c r="K7" i="3"/>
  <c r="E7" i="3"/>
  <c r="C23" i="3"/>
  <c r="G23" i="3"/>
  <c r="K10" i="3"/>
  <c r="K11" i="3"/>
  <c r="K9" i="3"/>
  <c r="D55" i="18" l="1"/>
  <c r="D58" i="18" s="1"/>
  <c r="M11" i="3"/>
  <c r="O11" i="3" s="1"/>
  <c r="C71" i="19"/>
  <c r="E13" i="2" s="1"/>
  <c r="B8" i="21"/>
  <c r="F37" i="24"/>
  <c r="F39" i="24" s="1"/>
  <c r="F62" i="24" s="1"/>
  <c r="R48" i="24"/>
  <c r="AB9" i="14"/>
  <c r="M15" i="3"/>
  <c r="K20" i="3"/>
  <c r="O10" i="3"/>
  <c r="S23" i="3"/>
  <c r="O9" i="3"/>
  <c r="E10" i="2"/>
  <c r="E9" i="2"/>
  <c r="K8" i="3"/>
  <c r="O8" i="3" s="1"/>
  <c r="D62" i="24"/>
  <c r="C7" i="3"/>
  <c r="B22" i="5"/>
  <c r="D7" i="6"/>
  <c r="D57" i="6" s="1"/>
  <c r="F26" i="7"/>
  <c r="F27" i="7" s="1"/>
  <c r="C34" i="19"/>
  <c r="C33" i="19"/>
  <c r="C32" i="19"/>
  <c r="C31" i="19"/>
  <c r="C29" i="19"/>
  <c r="C28" i="19"/>
  <c r="C27" i="19"/>
  <c r="R54" i="24"/>
  <c r="R55" i="24"/>
  <c r="R56" i="24"/>
  <c r="R57" i="24"/>
  <c r="R58" i="24"/>
  <c r="R59" i="24"/>
  <c r="R53" i="24"/>
  <c r="R52" i="24"/>
  <c r="R49" i="24"/>
  <c r="R50" i="24"/>
  <c r="R46" i="24"/>
  <c r="R45" i="24"/>
  <c r="R41" i="24"/>
  <c r="R42" i="24"/>
  <c r="R43" i="24"/>
  <c r="R40" i="24"/>
  <c r="R7" i="24"/>
  <c r="R8" i="24"/>
  <c r="R9" i="24"/>
  <c r="R10" i="24"/>
  <c r="R11" i="24"/>
  <c r="R12" i="24"/>
  <c r="R13" i="24"/>
  <c r="R14" i="24"/>
  <c r="R15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1" i="24"/>
  <c r="R32" i="24"/>
  <c r="R33" i="24"/>
  <c r="R34" i="24"/>
  <c r="R35" i="24"/>
  <c r="R38" i="24"/>
  <c r="AC9" i="14" l="1"/>
  <c r="AD9" i="14"/>
  <c r="C15" i="3"/>
  <c r="E59" i="19"/>
  <c r="K27" i="3"/>
  <c r="K15" i="3"/>
  <c r="E46" i="19"/>
  <c r="E15" i="3"/>
  <c r="C39" i="19"/>
  <c r="R37" i="24"/>
  <c r="E12" i="2"/>
  <c r="R44" i="24"/>
  <c r="R51" i="24"/>
  <c r="E70" i="19"/>
  <c r="G70" i="19" s="1"/>
  <c r="R61" i="24"/>
  <c r="E14" i="3"/>
  <c r="AB8" i="14"/>
  <c r="AD8" i="14" s="1"/>
  <c r="AB7" i="14"/>
  <c r="AD7" i="14" s="1"/>
  <c r="I14" i="3"/>
  <c r="AB11" i="14"/>
  <c r="AD11" i="14" s="1"/>
  <c r="B11" i="21"/>
  <c r="E8" i="2"/>
  <c r="E20" i="2"/>
  <c r="B14" i="21"/>
  <c r="E71" i="19"/>
  <c r="R47" i="24"/>
  <c r="B9" i="21" l="1"/>
  <c r="E11" i="2"/>
  <c r="B23" i="14" l="1"/>
  <c r="D23" i="14"/>
  <c r="F23" i="14"/>
  <c r="H23" i="14"/>
  <c r="N23" i="14"/>
  <c r="P23" i="14"/>
  <c r="R23" i="14"/>
  <c r="T23" i="14"/>
  <c r="V23" i="14"/>
  <c r="Z22" i="14" l="1"/>
  <c r="L23" i="14"/>
  <c r="J23" i="14"/>
  <c r="Z18" i="14"/>
  <c r="X23" i="14"/>
  <c r="Z15" i="14"/>
  <c r="Z16" i="14"/>
  <c r="Z19" i="14"/>
  <c r="Z21" i="14"/>
  <c r="Z14" i="14"/>
  <c r="B12" i="14"/>
  <c r="B24" i="14" s="1"/>
  <c r="D12" i="14"/>
  <c r="D24" i="14" s="1"/>
  <c r="F12" i="14"/>
  <c r="F24" i="14" s="1"/>
  <c r="H12" i="14"/>
  <c r="H24" i="14" s="1"/>
  <c r="J12" i="14"/>
  <c r="L12" i="14"/>
  <c r="N12" i="14"/>
  <c r="N24" i="14" s="1"/>
  <c r="P12" i="14"/>
  <c r="P24" i="14" s="1"/>
  <c r="T12" i="14"/>
  <c r="T24" i="14" s="1"/>
  <c r="V12" i="14"/>
  <c r="V24" i="14" s="1"/>
  <c r="X12" i="14"/>
  <c r="Z10" i="14"/>
  <c r="AC10" i="14" s="1"/>
  <c r="R12" i="14"/>
  <c r="R24" i="14" s="1"/>
  <c r="Z7" i="14"/>
  <c r="AC7" i="14" s="1"/>
  <c r="Z8" i="14"/>
  <c r="AC8" i="14" s="1"/>
  <c r="Z6" i="14"/>
  <c r="B31" i="15"/>
  <c r="X24" i="14" l="1"/>
  <c r="Z23" i="14"/>
  <c r="L24" i="14"/>
  <c r="Z11" i="14"/>
  <c r="AC11" i="14" s="1"/>
  <c r="Z17" i="14"/>
  <c r="J24" i="14"/>
  <c r="Z12" i="14"/>
  <c r="M12" i="3"/>
  <c r="E16" i="2"/>
  <c r="E40" i="2"/>
  <c r="U23" i="3"/>
  <c r="K25" i="3"/>
  <c r="Z24" i="14" l="1"/>
  <c r="Q8" i="3"/>
  <c r="Q9" i="3"/>
  <c r="Q10" i="3"/>
  <c r="Q11" i="3"/>
  <c r="C12" i="3"/>
  <c r="E12" i="3"/>
  <c r="K12" i="3"/>
  <c r="E24" i="2"/>
  <c r="B24" i="5" s="1"/>
  <c r="C72" i="19"/>
  <c r="E21" i="3"/>
  <c r="C21" i="3"/>
  <c r="G21" i="3"/>
  <c r="I21" i="3"/>
  <c r="C24" i="3"/>
  <c r="E24" i="3"/>
  <c r="G24" i="3"/>
  <c r="C22" i="3"/>
  <c r="E22" i="3"/>
  <c r="G22" i="3"/>
  <c r="I22" i="3"/>
  <c r="S24" i="3" l="1"/>
  <c r="U24" i="3" s="1"/>
  <c r="S22" i="3"/>
  <c r="U22" i="3" s="1"/>
  <c r="S21" i="3"/>
  <c r="U21" i="3" s="1"/>
  <c r="C73" i="19"/>
  <c r="B15" i="21"/>
  <c r="B16" i="21" s="1"/>
  <c r="E61" i="19"/>
  <c r="E25" i="2"/>
  <c r="C20" i="16" l="1"/>
  <c r="D42" i="2"/>
  <c r="F22" i="17"/>
  <c r="E9" i="10"/>
  <c r="E8" i="10"/>
  <c r="E27" i="22"/>
  <c r="F27" i="22"/>
  <c r="G27" i="22"/>
  <c r="H27" i="22"/>
  <c r="C27" i="22"/>
  <c r="E16" i="22"/>
  <c r="F16" i="22"/>
  <c r="G16" i="22"/>
  <c r="H16" i="22"/>
  <c r="C16" i="22"/>
  <c r="D46" i="2"/>
  <c r="F16" i="17"/>
  <c r="F18" i="17" s="1"/>
  <c r="C12" i="16"/>
  <c r="C39" i="16" s="1"/>
  <c r="G19" i="11"/>
  <c r="F19" i="11"/>
  <c r="E19" i="11"/>
  <c r="D19" i="11"/>
  <c r="C19" i="11"/>
  <c r="M9" i="11"/>
  <c r="L9" i="11"/>
  <c r="K9" i="11"/>
  <c r="J9" i="11"/>
  <c r="I9" i="11"/>
  <c r="H9" i="11"/>
  <c r="G9" i="11"/>
  <c r="F9" i="11"/>
  <c r="E9" i="11"/>
  <c r="D47" i="2" l="1"/>
  <c r="C20" i="3" l="1"/>
  <c r="C25" i="3" s="1"/>
  <c r="D69" i="23" l="1"/>
  <c r="C27" i="3" l="1"/>
  <c r="E31" i="2"/>
  <c r="AB14" i="14"/>
  <c r="C80" i="19"/>
  <c r="B18" i="21" s="1"/>
  <c r="F45" i="23" l="1"/>
  <c r="Z45" i="23" s="1"/>
  <c r="AC14" i="14"/>
  <c r="AD14" i="14"/>
  <c r="E20" i="3" l="1"/>
  <c r="E25" i="3" s="1"/>
  <c r="F69" i="23"/>
  <c r="C81" i="19" l="1"/>
  <c r="B19" i="21" s="1"/>
  <c r="E32" i="2"/>
  <c r="E27" i="3"/>
  <c r="AB15" i="14"/>
  <c r="G20" i="3"/>
  <c r="G25" i="3" s="1"/>
  <c r="H69" i="23"/>
  <c r="AC15" i="14" l="1"/>
  <c r="AD15" i="14"/>
  <c r="G27" i="3"/>
  <c r="AB16" i="14"/>
  <c r="E33" i="2"/>
  <c r="C82" i="19"/>
  <c r="AC16" i="14" l="1"/>
  <c r="AD16" i="14"/>
  <c r="B20" i="21"/>
  <c r="L69" i="23" l="1"/>
  <c r="I20" i="3"/>
  <c r="I25" i="3" s="1"/>
  <c r="E87" i="19" l="1"/>
  <c r="AB18" i="14"/>
  <c r="AC18" i="14" s="1"/>
  <c r="I27" i="3"/>
  <c r="C87" i="19" l="1"/>
  <c r="E34" i="2" s="1"/>
  <c r="AD18" i="14"/>
  <c r="B23" i="21" l="1"/>
  <c r="D26" i="15"/>
  <c r="E27" i="15" s="1"/>
  <c r="N69" i="23"/>
  <c r="M27" i="3" l="1"/>
  <c r="M20" i="3"/>
  <c r="M25" i="3" s="1"/>
  <c r="E35" i="2"/>
  <c r="AB17" i="14"/>
  <c r="C83" i="19"/>
  <c r="B22" i="21" s="1"/>
  <c r="P69" i="23" l="1"/>
  <c r="AD17" i="14"/>
  <c r="AC17" i="14"/>
  <c r="C19" i="12" l="1"/>
  <c r="C92" i="19"/>
  <c r="AB21" i="14"/>
  <c r="AC21" i="14" s="1"/>
  <c r="R69" i="23" l="1"/>
  <c r="C8" i="12"/>
  <c r="C17" i="12" s="1"/>
  <c r="B26" i="21"/>
  <c r="C93" i="19"/>
  <c r="E41" i="2"/>
  <c r="AB20" i="14" l="1"/>
  <c r="AC20" i="14" s="1"/>
  <c r="AD20" i="14" s="1"/>
  <c r="E38" i="2"/>
  <c r="C85" i="19"/>
  <c r="B24" i="21" s="1"/>
  <c r="Q27" i="3"/>
  <c r="AB19" i="14"/>
  <c r="AC19" i="14" s="1"/>
  <c r="Q20" i="3"/>
  <c r="T69" i="23"/>
  <c r="Q25" i="3" l="1"/>
  <c r="O20" i="3"/>
  <c r="S20" i="3" s="1"/>
  <c r="O27" i="3"/>
  <c r="C86" i="19"/>
  <c r="U20" i="3" l="1"/>
  <c r="O25" i="3"/>
  <c r="S25" i="3" s="1"/>
  <c r="U25" i="3" s="1"/>
  <c r="E39" i="2"/>
  <c r="E42" i="2" s="1"/>
  <c r="B25" i="21"/>
  <c r="C90" i="19"/>
  <c r="X69" i="23" l="1"/>
  <c r="V69" i="23" l="1"/>
  <c r="Z69" i="23" s="1"/>
  <c r="E43" i="2"/>
  <c r="C95" i="19"/>
  <c r="AB22" i="14" l="1"/>
  <c r="AC22" i="14" s="1"/>
  <c r="D59" i="6"/>
  <c r="D61" i="6" s="1"/>
  <c r="S27" i="3"/>
  <c r="C94" i="19"/>
  <c r="C97" i="19" s="1"/>
  <c r="E44" i="2"/>
  <c r="E46" i="2" s="1"/>
  <c r="E47" i="2" s="1"/>
  <c r="R6" i="24"/>
  <c r="R39" i="24" s="1"/>
  <c r="B27" i="21" l="1"/>
  <c r="B28" i="21" s="1"/>
  <c r="E61" i="6"/>
  <c r="C98" i="19"/>
  <c r="C100" i="19" s="1"/>
  <c r="E98" i="19"/>
  <c r="AB23" i="14"/>
  <c r="AC23" i="14" s="1"/>
  <c r="U27" i="3"/>
  <c r="R62" i="24"/>
  <c r="T40" i="24"/>
  <c r="G7" i="3"/>
  <c r="G15" i="3" l="1"/>
  <c r="E39" i="19"/>
  <c r="O15" i="3"/>
  <c r="L64" i="24"/>
  <c r="L66" i="24" s="1"/>
  <c r="V14" i="3"/>
  <c r="E73" i="19"/>
  <c r="C74" i="19" s="1"/>
  <c r="AB12" i="14"/>
  <c r="AC12" i="14" s="1"/>
  <c r="T14" i="3"/>
  <c r="G12" i="3"/>
  <c r="O7" i="3"/>
  <c r="AB6" i="14"/>
  <c r="M14" i="3"/>
  <c r="AD6" i="14" l="1"/>
  <c r="AC6" i="14"/>
  <c r="O12" i="3"/>
  <c r="Q15" i="3"/>
  <c r="Q7" i="3"/>
  <c r="Q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Pénzügy01</author>
    <author>Kadarkút PM. Hivatal</author>
  </authors>
  <commentList>
    <comment ref="H8" authorId="0" shapeId="0" xr:uid="{812688EA-88B9-4E9D-9ED7-4107F75CF0B4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EV mérés anyag 400 e
REKi tanker 6.054.803+1634797 áfa 
EV mérés díja 550 e + jav 400 e + 300 e áfa 
</t>
        </r>
      </text>
    </comment>
    <comment ref="I8" authorId="0" shapeId="0" xr:uid="{3990EA6E-BACD-4A81-9B3C-8B80A498EA7D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EV mérés anyag 400 e
REKi tanker 6.054.803+1634797 áfa 
EV mérés díja 550 e + jav 400 e + 300 e áfa 
</t>
        </r>
      </text>
    </comment>
    <comment ref="P8" authorId="0" shapeId="0" xr:uid="{38C092D1-C797-4E6A-B1ED-D700AD278F2E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önk bérlakás 8.266.429
letéti 78.000
</t>
        </r>
      </text>
    </comment>
    <comment ref="Q8" authorId="0" shapeId="0" xr:uid="{50499414-2CEC-4F36-8EA8-BBD3F2C68B8D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önk bérlakás 8.266.429
letéti 78.000
</t>
        </r>
      </text>
    </comment>
    <comment ref="V8" authorId="0" shapeId="0" xr:uid="{A0655BB6-2FA3-4E6E-A0B6-6CDBEB623558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2.400.000 Ft körmeni utca
1.000.000 Ft ipari park
</t>
        </r>
      </text>
    </comment>
    <comment ref="W8" authorId="0" shapeId="0" xr:uid="{A07AE293-EC40-44D7-851E-40C3BFB88858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2.400.000 Ft körmeni utca
1.000.000 Ft ipari park
</t>
        </r>
      </text>
    </comment>
    <comment ref="X8" authorId="0" shapeId="0" xr:uid="{3828D150-BA3F-44A3-936F-BA92F8D41FA5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műv ház álmennyezet
</t>
        </r>
      </text>
    </comment>
    <comment ref="Y8" authorId="0" shapeId="0" xr:uid="{3C9E07D8-BA8B-4347-8461-4E95DD5FAC52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műv ház álmennyezet
</t>
        </r>
      </text>
    </comment>
    <comment ref="X13" authorId="0" shapeId="0" xr:uid="{096B9EF3-5531-4625-8057-3027ACA9C426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körmendi u. padka Radák 1.520.000 + 410.400 áfa
pipacs u. járda 4.500.000 tám + 1.215.000 Ft áfa önerő
</t>
        </r>
      </text>
    </comment>
    <comment ref="Y13" authorId="0" shapeId="0" xr:uid="{C2303B1D-D06F-4AA8-94BC-BA6A579A0F37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körmendi u. padka Radák 1.520.000 + 410.400 áfa
pipacs u. járda 4.500.000 tám + 1.215.000 Ft áfa önerő
</t>
        </r>
      </text>
    </comment>
    <comment ref="P16" authorId="0" shapeId="0" xr:uid="{3A91DDB1-B366-434C-A518-4ECAEDF9F580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
 díj számla
céltartalék
</t>
        </r>
      </text>
    </comment>
    <comment ref="Q16" authorId="0" shapeId="0" xr:uid="{7193EE5E-E7AE-4B7E-A4F4-FE88DC94B854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
 díj számla
céltartalék
</t>
        </r>
      </text>
    </comment>
    <comment ref="X16" authorId="0" shapeId="0" xr:uid="{179DBCB8-351C-46F6-ACE6-C73F88F90B7D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Ady E. u árok 12.000.000 + 3.240.000 áfa
</t>
        </r>
      </text>
    </comment>
    <comment ref="Y16" authorId="0" shapeId="0" xr:uid="{1BA1958A-DBC8-40C8-9C62-A0D6E338094D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Ady E. u árok 12.000.000 + 3.240.000 áfa
</t>
        </r>
      </text>
    </comment>
    <comment ref="D17" authorId="0" shapeId="0" xr:uid="{B8AAD319-80BC-41DC-8ECF-EA2A7CD9D623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Kaposi Máté magyar falu
</t>
        </r>
      </text>
    </comment>
    <comment ref="E17" authorId="0" shapeId="0" xr:uid="{5C598006-47BA-4ABE-B3A0-EEA6EDAB7C9B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Kaposi Máté magyar falu
</t>
        </r>
      </text>
    </comment>
    <comment ref="H17" authorId="0" shapeId="0" xr:uid="{EAB8CBBB-317D-4B38-BE38-201D13947D91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Művház magyar falu
</t>
        </r>
      </text>
    </comment>
    <comment ref="I17" authorId="0" shapeId="0" xr:uid="{EA5FFD49-DA15-4A9D-A6C2-1D756C8C4BC2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Művház magyar falu
</t>
        </r>
      </text>
    </comment>
    <comment ref="V17" authorId="0" shapeId="0" xr:uid="{AD1F0D18-FC0B-43AE-8130-B5125B39AED9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Magyar Falu orvosi eszköz
</t>
        </r>
      </text>
    </comment>
    <comment ref="W17" authorId="0" shapeId="0" xr:uid="{AE8F7F43-1530-4A76-8229-485F90D94C2E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Magyar Falu orvosi eszköz
</t>
        </r>
      </text>
    </comment>
    <comment ref="X17" authorId="0" shapeId="0" xr:uid="{C656A106-D3DB-46F9-BF47-91368C98CCD7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Pipacs u. járda 4.999.736 támogatás + 1.350.000 Ft önerő 
Művház magyar falu 11.811.022. + 3.188.976
Magyar falu temető 66.869 + 18055 áfa
</t>
        </r>
      </text>
    </comment>
    <comment ref="Y17" authorId="0" shapeId="0" xr:uid="{872EDBFC-C8F6-4AE4-B0AF-9D388412F9EC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Pipacs u. járda 4.999.736 támogatás + 1.350.000 Ft önerő 
Művház magyar falu 11.811.022. + 3.188.976
Magyar falu temető 66.869 + 18055 áfa
</t>
        </r>
      </text>
    </comment>
    <comment ref="P18" authorId="0" shapeId="0" xr:uid="{A1ABAD29-4C3E-418A-876D-21FC020DC0E8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szla
</t>
        </r>
      </text>
    </comment>
    <comment ref="Q18" authorId="0" shapeId="0" xr:uid="{3092D421-9945-4967-A5DA-6BDF11A7196D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szla
</t>
        </r>
      </text>
    </comment>
    <comment ref="P20" authorId="0" shapeId="0" xr:uid="{AF612BF5-A5BF-4F11-AE93-A4A419F1A1C1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 szla
</t>
        </r>
      </text>
    </comment>
    <comment ref="Q20" authorId="0" shapeId="0" xr:uid="{91542E09-533B-425A-82AE-35430FD2775F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 szla
</t>
        </r>
      </text>
    </comment>
    <comment ref="V25" authorId="0" shapeId="0" xr:uid="{37D443D2-EF68-4508-8FFF-741040BBF972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focipálya kerítés
</t>
        </r>
      </text>
    </comment>
    <comment ref="W25" authorId="0" shapeId="0" xr:uid="{743A574E-7B0E-48E1-98E0-8E3C3EAA253B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focipálya kerítés
</t>
        </r>
      </text>
    </comment>
    <comment ref="L27" authorId="0" shapeId="0" xr:uid="{A2D9AE13-E2B1-47F8-A0C4-EB9811FFC7BF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1.080.098 minibölcsi visszafizetés
116.450 fogászati ügyelet
siketek 10.000, 
vakok 20.000, 
TÖOSZ 64250,
polgárőrök 200.000,
 kisosz 20.000, 
Zselici lámpások 180.000,
légimentők 20.000, 
Sportkör támogatás 3 M, 
Tűzoltóság 3 M
alapítvány létrehozása 1 M</t>
        </r>
      </text>
    </comment>
    <comment ref="M27" authorId="0" shapeId="0" xr:uid="{0A87B307-80D6-48BA-B46C-D59B289AC120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1.080.098 minibölcsi visszafizetés
116.450 fogászati ügyelet
siketek 10.000, 
vakok 20.000, 
TÖOSZ 64250,
polgárőrök 200.000,
 kisosz 20.000, 
Zselici lámpások 180.000,
légimentők 20.000, 
Sportkör támogatás 3 M, 
Tűzoltóság 3 M
alapítvány létrehozása 1 M</t>
        </r>
      </text>
    </comment>
    <comment ref="X28" authorId="0" shapeId="0" xr:uid="{AD067410-0ABF-46D6-9B7A-9CD091099ED1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Y28" authorId="0" shapeId="0" xr:uid="{B71F213E-FF42-464C-B47D-6737E9B75A4D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P29" authorId="0" shapeId="0" xr:uid="{7D121207-5F8F-4E01-A530-60D82D0C31F7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Q29" authorId="0" shapeId="0" xr:uid="{5527B801-3D1F-419E-A586-04BDD45FCD4C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V32" authorId="0" shapeId="0" xr:uid="{7949627A-643D-4609-9DF9-57BD551C1A8D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 növelő
2019. évi 1.835.000 + 1.100.000 önerő
2020. évi 700.000 önerő
</t>
        </r>
      </text>
    </comment>
    <comment ref="W32" authorId="0" shapeId="0" xr:uid="{180CCDE4-A657-45C4-8405-543D15B51F60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 növelő
2019. évi 1.835.000 + 1.100.000 önerő
2020. évi 700.000 önerő
</t>
        </r>
      </text>
    </comment>
    <comment ref="A46" authorId="1" shapeId="0" xr:uid="{561EDD1D-EB1D-4A85-8C6A-1CE328947F2E}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Pénzügy01</author>
    <author>Kadarkút PM. Hivatal</author>
  </authors>
  <commentList>
    <comment ref="F6" authorId="0" shapeId="0" xr:uid="{B26F614C-892F-4174-9BC9-4F9267E2A171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
</t>
        </r>
      </text>
    </comment>
    <comment ref="L8" authorId="0" shapeId="0" xr:uid="{F3D44582-D603-4800-8A38-AC912E7BFB41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8.266.429
letéti számla-óvadék
78.000
SZASZK REKI 4.000.000
</t>
        </r>
      </text>
    </comment>
    <comment ref="L11" authorId="0" shapeId="0" xr:uid="{41CC5B8A-D87C-449B-9EFA-260FBC7246BC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L12" authorId="0" shapeId="0" xr:uid="{AC08BC22-D6E7-459D-9644-111E63D45C8B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"közfogi" maradvány
</t>
        </r>
      </text>
    </comment>
    <comment ref="L16" authorId="0" shapeId="0" xr:uid="{673846CB-9D90-491E-9925-FF88F017761B}">
      <text>
        <r>
          <rPr>
            <b/>
            <sz val="9"/>
            <color indexed="81"/>
            <rFont val="Tahoma"/>
            <family val="2"/>
            <charset val="238"/>
          </rPr>
          <t xml:space="preserve">VKT </t>
        </r>
        <r>
          <rPr>
            <sz val="9"/>
            <color indexed="81"/>
            <rFont val="Tahoma"/>
            <family val="2"/>
            <charset val="238"/>
          </rPr>
          <t xml:space="preserve">számla maradványa
</t>
        </r>
      </text>
    </comment>
    <comment ref="L17" authorId="0" shapeId="0" xr:uid="{D37A420D-FAB5-4DE5-879C-38AE172A9468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Magyar falu
* járda 4.999.736
* temető 84.924
* orvosi eszköz 2.999.999
* művház felőjítás 14.999.998
* művház műk 4.909.997
művház bér 2.108.925
</t>
        </r>
      </text>
    </comment>
    <comment ref="L18" authorId="0" shapeId="0" xr:uid="{4F71F201-0D59-4C09-A260-3180ACAFE429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számla 
maradvány
</t>
        </r>
      </text>
    </comment>
    <comment ref="L20" authorId="0" shapeId="0" xr:uid="{41DC1E07-E5DB-4F6B-8457-03631FC7B124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környezetvdelmi alap
</t>
        </r>
      </text>
    </comment>
    <comment ref="L21" authorId="0" shapeId="0" xr:uid="{3B757352-52BB-42F7-8517-45CC257CA0A3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4.279.265 szoc tüzifa
8.481.000 garantált bérkieg
5.306.100 közfogi bértám
22.307.818 költségvetési szla egyenleg
335.840 pénztár
10.751.039 2020 megelőlegezés
4.498.478 nettó fin
478.455 tb , cst támog
</t>
        </r>
      </text>
    </comment>
    <comment ref="H27" authorId="0" shapeId="0" xr:uid="{4BB66A18-B8BF-45CA-B856-029689286FCE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3-9-2 efop: 3.275.011
1-5-3 efop: 1.821.018
</t>
        </r>
      </text>
    </comment>
    <comment ref="L30" authorId="0" shapeId="0" xr:uid="{DDC186AB-FB81-4487-94FE-0EE3416E9EF9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</t>
        </r>
      </text>
    </comment>
    <comment ref="L35" authorId="0" shapeId="0" xr:uid="{1593F918-CF28-4D49-B281-7082A2C7F392}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2019
 évi
</t>
        </r>
      </text>
    </comment>
    <comment ref="A40" authorId="1" shapeId="0" xr:uid="{86894792-16DF-4ED9-B32D-93C051EF9BE7}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<sst xmlns="http://schemas.openxmlformats.org/spreadsheetml/2006/main" count="1101" uniqueCount="717">
  <si>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</si>
  <si>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</si>
  <si>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</si>
  <si>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</si>
  <si>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</si>
  <si>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</si>
  <si>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</si>
  <si>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</si>
  <si>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</si>
  <si>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</si>
  <si>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</si>
  <si>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</si>
  <si>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</si>
  <si>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</si>
  <si>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</si>
  <si>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</si>
  <si>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</si>
  <si>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</si>
  <si>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</si>
  <si>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</si>
  <si>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</si>
  <si>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</si>
  <si>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</si>
  <si>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</si>
  <si>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</si>
  <si>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</si>
  <si>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</si>
  <si>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</si>
  <si>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</si>
  <si>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</si>
  <si>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</si>
  <si>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</si>
  <si>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</si>
  <si>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</si>
  <si>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</si>
  <si>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</si>
  <si>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</si>
  <si>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</si>
  <si>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</si>
  <si>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</si>
  <si>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</si>
  <si>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</si>
  <si>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</si>
  <si>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</si>
  <si>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</si>
  <si>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</si>
  <si>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</si>
  <si>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</si>
  <si>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</si>
  <si>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</si>
  <si>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</si>
  <si>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</si>
  <si>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</si>
  <si>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</si>
  <si>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</si>
  <si>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</si>
  <si>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</si>
  <si>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</si>
  <si>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</si>
  <si>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</si>
  <si>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</si>
  <si>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</si>
  <si>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</si>
  <si>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</si>
  <si>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</si>
  <si>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</si>
  <si>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</si>
  <si>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</si>
  <si>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</si>
  <si>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</si>
  <si>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</si>
  <si>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</si>
  <si>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</si>
  <si>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</si>
  <si>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</si>
  <si>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</si>
  <si>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</si>
  <si>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</si>
  <si>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</si>
  <si>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</si>
  <si>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</si>
  <si>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</si>
  <si>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</si>
  <si>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</si>
  <si>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</si>
  <si>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</si>
  <si>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</si>
  <si>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</si>
  <si>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</si>
  <si>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</si>
  <si>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</si>
  <si>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</si>
  <si>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</si>
  <si>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</si>
  <si>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</si>
  <si>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</si>
  <si>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</si>
  <si>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</si>
  <si>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</si>
  <si>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</si>
  <si>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</si>
  <si>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</si>
  <si>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</si>
  <si>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</si>
  <si>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</si>
  <si>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</si>
  <si>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</si>
  <si>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</si>
  <si>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</si>
  <si>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</si>
  <si>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</si>
  <si>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</si>
  <si>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</si>
  <si>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</si>
  <si>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</si>
  <si>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</si>
  <si>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Kötelező feladatokhoz támogatás</t>
  </si>
  <si>
    <t>Fogászati  és hétvégi ügyelet</t>
  </si>
  <si>
    <t>Hulladékkezelési rekultivációs program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</si>
  <si>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</si>
  <si>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</si>
  <si>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</si>
  <si>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</si>
  <si>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</si>
  <si>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</si>
  <si>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</si>
  <si>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</si>
  <si>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</si>
  <si>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</si>
  <si>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</si>
  <si>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</si>
  <si>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</si>
  <si>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</si>
  <si>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</si>
  <si>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</si>
  <si>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</si>
  <si>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</si>
  <si>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</si>
  <si>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</si>
  <si>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</si>
  <si>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</si>
  <si>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</si>
  <si>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</si>
  <si>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</si>
  <si>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</si>
  <si>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</si>
  <si>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</si>
  <si>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</si>
  <si>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</si>
  <si>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</si>
  <si>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</si>
  <si>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</si>
  <si>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</si>
  <si>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</si>
  <si>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</si>
  <si>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</si>
  <si>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</si>
  <si>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</si>
  <si>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</si>
  <si>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</si>
  <si>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</si>
  <si>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</si>
  <si>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</si>
  <si>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</si>
  <si>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</si>
  <si>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</si>
  <si>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</si>
  <si>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</si>
  <si>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</si>
  <si>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</si>
  <si>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</si>
  <si>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</si>
  <si>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</si>
  <si>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</si>
  <si>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</si>
  <si>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</si>
  <si>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</si>
  <si>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</si>
  <si>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</si>
  <si>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</si>
  <si>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</si>
  <si>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</si>
  <si>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</si>
  <si>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</si>
  <si>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</si>
  <si>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</si>
  <si>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</si>
  <si>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</si>
  <si>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</si>
  <si>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</si>
  <si>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</si>
  <si>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</si>
  <si>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</si>
  <si>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</si>
  <si>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</si>
  <si>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</si>
  <si>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</si>
  <si>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</si>
  <si>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</si>
  <si>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</si>
  <si>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</si>
  <si>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</si>
  <si>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</si>
  <si>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</si>
  <si>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</si>
  <si>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</si>
  <si>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</si>
  <si>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</si>
  <si>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</si>
  <si>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</si>
  <si>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</si>
  <si>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</si>
  <si>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</si>
  <si>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</si>
  <si>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</si>
  <si>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</si>
  <si>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</si>
  <si>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</si>
  <si>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</si>
  <si>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</si>
  <si>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</si>
  <si>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</si>
  <si>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</si>
  <si>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</si>
  <si>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</si>
  <si>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</si>
  <si>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</si>
  <si>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</si>
  <si>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</si>
  <si>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</si>
  <si>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</si>
  <si>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</si>
  <si>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</si>
  <si>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</si>
  <si>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</si>
  <si>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</si>
  <si>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Id. Kapoli Antal Művelődési Központ</t>
  </si>
  <si>
    <t>IRÁNYÍTÓ SZERVI TÁMOGATÁS</t>
  </si>
  <si>
    <t>IRÁNYÍTÓ SZERVI TÁMOGATÁS FOLYÓSÍTÁSA</t>
  </si>
  <si>
    <t>Eredeti ei.</t>
  </si>
  <si>
    <t>ÖSSZES KIADÁS (IRÁNYÍTÓ SZERVI TÁMOGATÁS NÉLKÜL)</t>
  </si>
  <si>
    <t>Egyéb felhalmozási célú kiadások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</si>
  <si>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</si>
  <si>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</si>
  <si>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</si>
  <si>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</si>
  <si>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</si>
  <si>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</si>
  <si>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</si>
  <si>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</si>
  <si>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</si>
  <si>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</si>
  <si>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</si>
  <si>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</si>
  <si>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</si>
  <si>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</si>
  <si>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</si>
  <si>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</si>
  <si>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</si>
  <si>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</si>
  <si>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</si>
  <si>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</si>
  <si>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</si>
  <si>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</si>
  <si>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</si>
  <si>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</si>
  <si>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</si>
  <si>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</si>
  <si>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</si>
  <si>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</si>
  <si>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</si>
  <si>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</si>
  <si>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</si>
  <si>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</si>
  <si>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</si>
  <si>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</si>
  <si>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</si>
  <si>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</si>
  <si>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</si>
  <si>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</si>
  <si>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</si>
  <si>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</si>
  <si>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</si>
  <si>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</si>
  <si>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</si>
  <si>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</si>
  <si>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</si>
  <si>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</si>
  <si>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</si>
  <si>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</si>
  <si>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</si>
  <si>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</si>
  <si>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</si>
  <si>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</si>
  <si>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</si>
  <si>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</si>
  <si>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</si>
  <si>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</si>
  <si>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</si>
  <si>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</si>
  <si>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</si>
  <si>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</si>
  <si>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</si>
  <si>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</si>
  <si>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</si>
  <si>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</si>
  <si>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</si>
  <si>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</si>
  <si>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</si>
  <si>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</si>
  <si>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</si>
  <si>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</si>
  <si>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</si>
  <si>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</si>
  <si>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Kormányzati funkció</t>
  </si>
  <si>
    <t>Működési célú költségvetési támogatás</t>
  </si>
  <si>
    <t xml:space="preserve"> Ft-ban</t>
  </si>
  <si>
    <t>Ellátottak pénzbeli juttatásai</t>
  </si>
  <si>
    <t>Államháztartáson belüli megelőlegezés visszafizetése</t>
  </si>
  <si>
    <t>Közhatalmi bevétel</t>
  </si>
  <si>
    <t>Működési célú átvett pénzeszköz, kölcsöntörl.</t>
  </si>
  <si>
    <t>2036.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</si>
  <si>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</si>
  <si>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</si>
  <si>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</si>
  <si>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</si>
  <si>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</si>
  <si>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</si>
  <si>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</si>
  <si>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</si>
  <si>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</si>
  <si>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</si>
  <si>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</si>
  <si>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4 havi támogatása 5 fő</t>
  </si>
  <si>
    <t>Helyi önkormányzatok és többcélú kistérségi társulások egyes költségvetési kapcsolatokból számított bevételei összesen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</si>
  <si>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</si>
  <si>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</si>
  <si>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</si>
  <si>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</si>
  <si>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</si>
  <si>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</si>
  <si>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</si>
  <si>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</si>
  <si>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</si>
  <si>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</si>
  <si>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
 eredeti előirányzat</t>
  </si>
  <si>
    <t>Polgármesteri illetmény támogatása</t>
  </si>
  <si>
    <t xml:space="preserve">Alapfokozatú végzettségű pedagógus II. kategóriába sorolt óvodapedagógus kiegészítő támogatása 2 fő </t>
  </si>
  <si>
    <t>I.1.a) Önkormányzati hivatal működésének támogatása 15,44 fő</t>
  </si>
  <si>
    <t>2018. évi támogatási előleg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</si>
  <si>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</si>
  <si>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</si>
  <si>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</si>
  <si>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</si>
  <si>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</si>
  <si>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</si>
  <si>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</si>
  <si>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</si>
  <si>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</si>
  <si>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</si>
  <si>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</si>
  <si>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</si>
  <si>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>Koncessziós díj bevétel számla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</si>
  <si>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</si>
  <si>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2/2 oldal</t>
  </si>
  <si>
    <t>041236</t>
  </si>
  <si>
    <t>Országos közfoglakoztatási program</t>
  </si>
  <si>
    <t>ÖSSZESEN
EREDETI EI</t>
  </si>
  <si>
    <t>EREDETI EI</t>
  </si>
  <si>
    <t>084070 / 084020</t>
  </si>
  <si>
    <t>ÖSSZES BEVÉTEL</t>
  </si>
  <si>
    <t>fő</t>
  </si>
  <si>
    <t xml:space="preserve"> összege
Eredeti Ei.</t>
  </si>
  <si>
    <t>mértéke
Eredeti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</si>
  <si>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</si>
  <si>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</si>
  <si>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</si>
  <si>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</si>
  <si>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</si>
  <si>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</si>
  <si>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</si>
  <si>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</si>
  <si>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</si>
  <si>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</si>
  <si>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</si>
  <si>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</si>
  <si>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</si>
  <si>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</si>
  <si>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</si>
  <si>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</si>
  <si>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</si>
  <si>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</si>
  <si>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</si>
  <si>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</si>
  <si>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</si>
  <si>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</si>
  <si>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</si>
  <si>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</si>
  <si>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</si>
  <si>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</si>
  <si>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</si>
  <si>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</si>
  <si>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</si>
  <si>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</si>
  <si>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</si>
  <si>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</si>
  <si>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</si>
  <si>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</si>
  <si>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</si>
  <si>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</si>
  <si>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</si>
  <si>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</si>
  <si>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</si>
  <si>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</si>
  <si>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</si>
  <si>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Önkormányzatok elszámolásai a központi költségvetéssel</t>
  </si>
  <si>
    <t>Támogatási célú finansz. Műveletek</t>
  </si>
  <si>
    <t>Költségvetési maradvány
 (098)
EREDETI EI</t>
  </si>
  <si>
    <t>Bevételek</t>
  </si>
  <si>
    <t>KADARKÚT VÁROS ÖNKORMÁNYZATA</t>
  </si>
  <si>
    <t>900020</t>
  </si>
  <si>
    <t>Önkormányzati funkcióra nem sorolt bevét</t>
  </si>
  <si>
    <t>Központi irányítószervi támogatás
 (098)
EREDETI EI</t>
  </si>
  <si>
    <t>Gyermekvédelmi és pénzbeli term.beli ellátások</t>
  </si>
  <si>
    <t>Működési célú önkormányzati támogatás  (B115)</t>
  </si>
  <si>
    <t>Felhalmozási célú bevételek összesen: (B21,B23, B25)</t>
  </si>
  <si>
    <t>Elszámolásból származó bevételek (B116)</t>
  </si>
  <si>
    <t>Beruházás (K61,K62, K63, K64, K67)</t>
  </si>
  <si>
    <t>EREDETI EI
Összeg</t>
  </si>
  <si>
    <t>059.
ÁLLAMHÁZTAR- TÁSON BELÜLI MEGELŐLEGEZÉS VISSZAFIZETÉSE
EREDETI EI</t>
  </si>
  <si>
    <t>055121.
ELLÁTOTTAK PÉNZBENI PÉNZBENI  JUTTATÁSAI
EREDETI EI</t>
  </si>
  <si>
    <t>059.
PÉNZÜGYI LÍZING KIADÁS
EREDETI EI</t>
  </si>
  <si>
    <t>055.
MŰKÖDÉSI C. ÁTADOTT PÉNZESZK.
EREDETI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</si>
  <si>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</si>
  <si>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</si>
  <si>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</si>
  <si>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</si>
  <si>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</si>
  <si>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Nyári diákmunka támogatása (B16)</t>
  </si>
  <si>
    <t>EFOP program támogatása (B25)</t>
  </si>
  <si>
    <t>Biztosítók által fizetett kártérítés (B410)</t>
  </si>
  <si>
    <t>Működési bevétel helyi önkormányzatoktól   (B16)</t>
  </si>
  <si>
    <t>Működési bevétel Megyei Könyvtártól  (B16)</t>
  </si>
  <si>
    <t>Működési bevétel államháztartáson belülről- ASP bevezetés többlet feladat  (B16)</t>
  </si>
  <si>
    <t xml:space="preserve">Dologi kiadások (K311,K312,K312,K321,K322, K331, K332, K333, K334, K335, K336, K337,  K341, K351,K352, K353, K354, K355, </t>
  </si>
  <si>
    <t>Műk.célú pénzeszk átadás Áht kivűlre (K512)</t>
  </si>
  <si>
    <t>Műk.célú pénzeszk átadás Áht belülre  (K506)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</si>
  <si>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</si>
  <si>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</si>
  <si>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</si>
  <si>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</si>
  <si>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</si>
  <si>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</si>
  <si>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</si>
  <si>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</si>
  <si>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</si>
  <si>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</si>
  <si>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</si>
  <si>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</si>
  <si>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</si>
  <si>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</si>
  <si>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</si>
  <si>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</si>
  <si>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</si>
  <si>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</si>
  <si>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Penzügyi lízing Kiadásai</t>
  </si>
  <si>
    <t>Pénzügyi Lízing kiadásai</t>
  </si>
  <si>
    <t>Helyi önk. Előző évi elszám. Szárm kiad</t>
  </si>
  <si>
    <t>052. 
MUNK. TERH. JÁRULÉK
EREDETI EI</t>
  </si>
  <si>
    <t>053.  
DOLOGI KIADÁS
EREDETI EI</t>
  </si>
  <si>
    <t xml:space="preserve">
055.
TARTALÉK
EREDETI EI</t>
  </si>
  <si>
    <t>051.
SZEMÉLYI JUTTATÁS
EREDETI EI</t>
  </si>
  <si>
    <t xml:space="preserve">
056.
BERUHÁZÁS
EREDETI EI
</t>
  </si>
  <si>
    <t xml:space="preserve">
057.
FELÚJÍTÁS
EREDETI EI</t>
  </si>
  <si>
    <t>Kadarkút Város Önkormányzat 2019. évi tartaléka</t>
  </si>
  <si>
    <t>Támogatási célú fin. Műv (Katasztrófavédelem, fogászat, vakok és gyengénlátók)</t>
  </si>
  <si>
    <t>900060</t>
  </si>
  <si>
    <t>Pénzügyi műveletek kiadásai (Szaszk autó)</t>
  </si>
  <si>
    <t>082092</t>
  </si>
  <si>
    <t>Közművelődés-hagyományos közösségi kulturális érték gondozás</t>
  </si>
  <si>
    <t>082093</t>
  </si>
  <si>
    <t>Közművelődés egész életre iterjedő tanulás</t>
  </si>
  <si>
    <t>082094</t>
  </si>
  <si>
    <t>Közművelődés kulturális alapú gazdfaság fejlesztés</t>
  </si>
  <si>
    <t>104031</t>
  </si>
  <si>
    <t>gyermekek bölcsődében és minibölcsödében történő ellátása</t>
  </si>
  <si>
    <t>ÖSSZESEN
EREDETI  EI</t>
  </si>
  <si>
    <t>általános támogatás</t>
  </si>
  <si>
    <t>Működési bevételek
(094)
EREDETI EI</t>
  </si>
  <si>
    <t xml:space="preserve"> Működési támogatások 
(091)
EREDETI EI</t>
  </si>
  <si>
    <t>Felhalmozási célú támogatások 
(092)
EREDETI EI</t>
  </si>
  <si>
    <t>Közhatalmi bevételek
 (093)
EREDETI EI</t>
  </si>
  <si>
    <t>Traktor beszerzés támogatás (ÁHT-n belül) (B25)</t>
  </si>
  <si>
    <t>Működési célú önkormányzati támogatás (REKI)</t>
  </si>
  <si>
    <t>+ int finansz</t>
  </si>
  <si>
    <t>Óvodapedagógusok 8 havi támogatása 10,3 fő</t>
  </si>
  <si>
    <t>Óvodapedagógusok 4 havi támogatása 10,5 fő</t>
  </si>
  <si>
    <t>Óvodaműködtetési támogatás - 4 hónap 105 fő</t>
  </si>
  <si>
    <t xml:space="preserve">Alapfokozatú végzettségű pedagógus II. kategóriába sorolt óvodapedagógus, akik a minősítést  2018.01.01-i átsorolással szerezték meg  5 fő </t>
  </si>
  <si>
    <t>Házi segytségnyújtás-szociális segítés 6 fő</t>
  </si>
  <si>
    <t>Időskorúak nappali intézményi ellátása 17 fő</t>
  </si>
  <si>
    <t>Bölcsődei elismert szakmai létszáma 2,5 fő</t>
  </si>
  <si>
    <t>Bölcsőde üzemeltetési támogatása</t>
  </si>
  <si>
    <t>-melyből EFOP 3-9-2 program támogatása</t>
  </si>
  <si>
    <t>-melyből EFOP 1-5-3 program támogatása</t>
  </si>
  <si>
    <t>ÖSSZEG
EREDETI Ei.</t>
  </si>
  <si>
    <t>EFOP-3-9-2 óvoda vizesblok és rekortánpálya világítása</t>
  </si>
  <si>
    <t>Orvosi rendelő építés új építési terv készítés</t>
  </si>
  <si>
    <t>2019. évi engedélyezett létszám ( fő)
EREDETI EI</t>
  </si>
  <si>
    <t>EREDETI</t>
  </si>
  <si>
    <t>Beruházás teljes  költsége
 (2018-2020)</t>
  </si>
  <si>
    <t>2018. évi tény kiadás összege
Eredeti Ei</t>
  </si>
  <si>
    <t>2019. évi támogatási előleg</t>
  </si>
  <si>
    <t>Megszűnt viziközmű társulattól átvett pénzeszköz számla (2018.12.31. napi egyenleg csökkentve a 2019. évi beruházások összegével)</t>
  </si>
  <si>
    <t>2038.</t>
  </si>
  <si>
    <t>Vakok és gyengénlátómk támogatása</t>
  </si>
  <si>
    <t>Sportegyesület támogatása (labdarúgó)</t>
  </si>
  <si>
    <t xml:space="preserve">Szkanderszövetség éves támogatása </t>
  </si>
  <si>
    <t>Ilyen kedvezmény nyújtását a 2019. évi költségvetésben nem terveztük.</t>
  </si>
  <si>
    <t>1. melléklet az …../2020.(………...) önkormányzati rendelethez</t>
  </si>
  <si>
    <t>14. melléklet az .../2020.(…………..) önkormányzati rendelethez) önkormányzati rendelethez</t>
  </si>
  <si>
    <t>17. melléklet az .../2020.(…………..) önkormányzati rendelethez önkormányzati rendelethez</t>
  </si>
  <si>
    <t>18. melléklet az .../2020.(…………..) önkormányzati rendelethez önkormányzati rendelethez</t>
  </si>
  <si>
    <t>20. melléklet az .../2020.(…………..) önkormányzati rendelethez önkormányzati rendelethez</t>
  </si>
  <si>
    <t>Kadarkút Város Önkormányzat 2020. évi kiadásai kormányzati funkciók szerinti bontásban</t>
  </si>
  <si>
    <t>062020</t>
  </si>
  <si>
    <t>Településfejlesztési projektek és támogatásuk</t>
  </si>
  <si>
    <t>szoc támogatás</t>
  </si>
  <si>
    <t>Szolgáltatások bevétele, tárgyi eszköz bérbeadásából származó bevétel (B402)</t>
  </si>
  <si>
    <t>2019. évi
 eredeti előirányzat</t>
  </si>
  <si>
    <t>Kadarkút Város Önkormányzatának 
összevont mérlege  2018., 2019., 2020 években</t>
  </si>
  <si>
    <t>Kadarkút Város Önkormányzatának működési bevételei és kiadásai 2020. évben</t>
  </si>
  <si>
    <t>A helyi önkormányzatok központilag szabályzott bevételei 2020. évben</t>
  </si>
  <si>
    <t>Lakos 2019. jan.1.</t>
  </si>
  <si>
    <t>Szociális étkeztetés 85 fő</t>
  </si>
  <si>
    <t>Házi segítségnyújtás-személyi gondozás 18 fő</t>
  </si>
  <si>
    <t>A finanszirozás szemp.elismert dolgozók bértámogatása 9,27 fő</t>
  </si>
  <si>
    <t>A rászoruló gyermekek  szünidei étkeztetésének támogatása 1636 adaG</t>
  </si>
  <si>
    <t>eredeti Ei.</t>
  </si>
  <si>
    <t xml:space="preserve">          Kadarkút Város Önkormányzatának 2020. évi felhalmozási bevételei</t>
  </si>
  <si>
    <t>Kadarkút Város Önkormányzatának 
2020. évi felhalmozási kiadásai</t>
  </si>
  <si>
    <t xml:space="preserve">Focipálya kerítés építés </t>
  </si>
  <si>
    <t xml:space="preserve">Orvosi eszköz beszerzés - Magyar Falu </t>
  </si>
  <si>
    <t>EFOP-3-9-2 informatikai eszköz beszerzés</t>
  </si>
  <si>
    <t xml:space="preserve">2019. Közművelődési érdekeltség növelő pályázat , melyből
- támogatás 1835.000 Ft 
- önerő 1.100.000 Ft </t>
  </si>
  <si>
    <t>2020. Közművelődési érdekeltség növelő pályázat  önerő</t>
  </si>
  <si>
    <t xml:space="preserve">Körmendi utcai ingatlan visszavásárlása </t>
  </si>
  <si>
    <t>Ipari park létesítése</t>
  </si>
  <si>
    <t>Temető kerítés felújítás- Magyar Falu program</t>
  </si>
  <si>
    <t>Körmendi utca padka javítás</t>
  </si>
  <si>
    <t>Ady Endre utca árok felújítás</t>
  </si>
  <si>
    <t>Közös Hivatal légkondi beszerzés</t>
  </si>
  <si>
    <t>Könyvtár molnárkocsi beszerzás</t>
  </si>
  <si>
    <t xml:space="preserve">SZASZK kerékpár beszerzés (4 db) </t>
  </si>
  <si>
    <t>SZASZK laptop + nyomtató beszerzés</t>
  </si>
  <si>
    <t>SZASZK autó pénzügyi lízing kiadása</t>
  </si>
  <si>
    <t>Biztos Kezdet gyerekház bejárati ajtó beszerzés</t>
  </si>
  <si>
    <t>Szociális bérlakás felújítás</t>
  </si>
  <si>
    <t>Kadarkút Város Önkormányzat 2020. évi létszámkerete kormányzati funkció szerinti bontásban</t>
  </si>
  <si>
    <t>Kadarkút Város Önkormányzat 2020. évi közfoglalkoztatási létszámkerete</t>
  </si>
  <si>
    <t>Kadarkút Város Önkormányzat 2020. évi tartaléka</t>
  </si>
  <si>
    <t>Környezetvédelmi alap számla 2019.12.31. napi egyelege</t>
  </si>
  <si>
    <t>Szociális bérlakás számla (2019.12.31. napi egyenleg csökkentve a 2020. évi beruházások összegével)</t>
  </si>
  <si>
    <t>Önkormányzati bérlakás számla (2019.12.31. napi egyenleg csökkentve a 2020. évi beruházások összegével) + Letéti számla kaució összege</t>
  </si>
  <si>
    <t>Közfoglalkoztatási program számla (2019.12.31. napi egyenleg csökkentve a 2020. évi kiadások összegével)</t>
  </si>
  <si>
    <t>Kadarkút Város Önkormányzat által biztosított közvetlen támogatások 2020. évben</t>
  </si>
  <si>
    <t>Siketek támogatása</t>
  </si>
  <si>
    <t xml:space="preserve">Légimentők támogatása </t>
  </si>
  <si>
    <t xml:space="preserve">Alapítvány létrehozása </t>
  </si>
  <si>
    <t>Jóga oktatás támogatása</t>
  </si>
  <si>
    <t>Kadarkút Város Önkormányzata által nyújtott közvetett támogatásokról 2020.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</si>
  <si>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2020.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</si>
  <si>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2019. évi tény kiadás összege</t>
  </si>
  <si>
    <t>2020. évi TERV kiadás összege</t>
  </si>
  <si>
    <t>2039.</t>
  </si>
  <si>
    <t>Kadarkút Város Önkormányzat 2020. évi bevételei kormányzati funkciók szerinti bontásban</t>
  </si>
  <si>
    <t>Kadarkút Város Önkormányzat 2020 . évi bevételei és kiadásai alakulásáról</t>
  </si>
  <si>
    <t>Kadarkút Város Önkormányzat 2020. évi bevételei és kiadásai alakulásáról</t>
  </si>
  <si>
    <t>051.
SZEMÉLYI JUTTATÁS
MÓDOSÍTOTT EI</t>
  </si>
  <si>
    <t>052. 
MUNK. TERH. JÁRULÉK
MÓDOSÍTOTT EI</t>
  </si>
  <si>
    <t>053.  
DOLOGI KIADÁS
MÓDOSÍTOTT EI</t>
  </si>
  <si>
    <t>055.
MŰKÖDÉSI C. ÁTADOTT PÉNZESZK.
MÓDOSÍTOTT EI</t>
  </si>
  <si>
    <t>055121.
ELLÁTOTTAK PÉNZBENI PÉNZBENI  JUTTATÁSAI
MÓDOSÍTOTT EI</t>
  </si>
  <si>
    <t xml:space="preserve">
055.
TARTALÉK
MÓDOSÍTOTT EI</t>
  </si>
  <si>
    <t>059.
ÁLLAMHÁZTAR- TÁSON BELÜLI MEGELŐLEGEZÉS VISSZAFIZETÉSE
MÓDOSÍTOTT EI</t>
  </si>
  <si>
    <t>059.
PÉNZÜGYI LÍZING KIADÁS
MÓDOSÍTOTT EI</t>
  </si>
  <si>
    <t xml:space="preserve">
056.
BERUHÁZÁS
MÓDOSÍTOTT EI</t>
  </si>
  <si>
    <t xml:space="preserve">
057.
FELÚJÍTÁS
MÓDOSÍTOTT EI</t>
  </si>
  <si>
    <t>ÖSSZESEN MÓDOSÍTOTT EI</t>
  </si>
  <si>
    <t xml:space="preserve">LÉTSZÁM
EREDETI
 (FŐ)
</t>
  </si>
  <si>
    <t xml:space="preserve">LÉTSZÁM
MÓDOSÍTOTT
 (FŐ)
</t>
  </si>
  <si>
    <t>Működési bevételek
(094)
MÓDOSÍTOTT EI</t>
  </si>
  <si>
    <t xml:space="preserve"> Működési támogatások 
(091)
MÓDOSÍTOTT EI</t>
  </si>
  <si>
    <t>Felhalmozási célú támogatások 
(092)
MÓDOSÍTOTT EI</t>
  </si>
  <si>
    <t>Költségvetési maradvány
 (098)
MÓDOSÍTOTT EI</t>
  </si>
  <si>
    <t>Központi irányítószervi támogatás
 (098)
MÓDOSÍTOTT EI</t>
  </si>
  <si>
    <t>Közhatalmi bevételek
 (093)
MÓDOSÍTOTT EI</t>
  </si>
  <si>
    <t>ÖSSZESEN
MÓDOSÍTOTT EI</t>
  </si>
  <si>
    <t>2020. évi eredeti ei</t>
  </si>
  <si>
    <t>2020. évi módosított ei</t>
  </si>
  <si>
    <t>2020. évi
 eredeti ei</t>
  </si>
  <si>
    <t>2020. évi
 módosított ei</t>
  </si>
  <si>
    <t>2020. évi
módosított ei</t>
  </si>
  <si>
    <t xml:space="preserve"> köv mód 5 sor + 2873435</t>
  </si>
  <si>
    <t>Eredeti</t>
  </si>
  <si>
    <t>módosított</t>
  </si>
  <si>
    <t>MÓDOSÍTOTT EI
Összeg</t>
  </si>
  <si>
    <t>Módosított Ei.</t>
  </si>
  <si>
    <t>ÖSSZEG
MÓDOSÍTOTT Ei.</t>
  </si>
  <si>
    <t>2019. évi engedélyezett létszám ( fő)
MÓDOSÍTOTT EI</t>
  </si>
  <si>
    <t>MÓDOSÍTOTT</t>
  </si>
  <si>
    <t>MÓDOSÍTOTT EI</t>
  </si>
  <si>
    <t>2020. MÓDOSÍTOTT</t>
  </si>
  <si>
    <t>2020. EREDETI</t>
  </si>
  <si>
    <t>104035</t>
  </si>
  <si>
    <t>Gyermekétkeztetés bölcsődében</t>
  </si>
  <si>
    <t>047410</t>
  </si>
  <si>
    <t>Ár- és belvízvédelemmel összefüggő tevékenységek</t>
  </si>
  <si>
    <t>074040</t>
  </si>
  <si>
    <t>Fertőző megbetegedések megelőzése, járványügyi ellátás</t>
  </si>
  <si>
    <t>Orvosi rendelő építés pályázati támogatás (B25)</t>
  </si>
  <si>
    <t>Kamerarendszer kiépítésének támogatása (B25)</t>
  </si>
  <si>
    <t>Rákóczi utca vízelvezetés támogatása (B25)</t>
  </si>
  <si>
    <t>018010 cofog 091 rovat</t>
  </si>
  <si>
    <t>Módosított ei.</t>
  </si>
  <si>
    <t>előző évi elszámolás bevét</t>
  </si>
  <si>
    <t>Művelődési Ház villámvédelem kivitelezési munkái</t>
  </si>
  <si>
    <t xml:space="preserve">Pipacs u. járda 4.999.736 támogatás + 1.350.000 Ft önerő </t>
  </si>
  <si>
    <t>Művház magyar falu 11.811.022. + 3.188.976</t>
  </si>
  <si>
    <t>Magyar falu temető 66.869 + 18055 áfa</t>
  </si>
  <si>
    <r>
      <t xml:space="preserve">Pipacs utca járda felújítás , </t>
    </r>
    <r>
      <rPr>
        <sz val="12"/>
        <rFont val="Times New Roman"/>
        <family val="1"/>
        <charset val="238"/>
      </rPr>
      <t xml:space="preserve">
- munkadíj 4.500.000 Ft + 1.215.000 Ft áfa </t>
    </r>
  </si>
  <si>
    <t>Művelődési Ház felújítás Magyar Falu program felújítás</t>
  </si>
  <si>
    <t>Művelődési Ház felújítás Magyar Falu program eszköz beszerzés</t>
  </si>
  <si>
    <t xml:space="preserve">Pipacs utca járda felújítás , 
- pályázati  támogatás 4.999.736 Ft 
- önerő (anyag áfa) 1.350.000 Ft 
</t>
  </si>
  <si>
    <t>Orvosi rendelő építése - TOP-4.1.1.</t>
  </si>
  <si>
    <t>Rákóczi u. vízelvezetés támogatása</t>
  </si>
  <si>
    <t xml:space="preserve">Kamera rendszer építése </t>
  </si>
  <si>
    <t>2021. évi TERV kiadás összege</t>
  </si>
  <si>
    <t>Módosított</t>
  </si>
  <si>
    <t>Helyi adóból származó bevételek (komm. Adó, hipa)</t>
  </si>
  <si>
    <t>Rezsicsökkentés fel nem használt támogatás visszafizetés</t>
  </si>
  <si>
    <t>Minibölcsőde normatív támogatás kamat visszafizetés</t>
  </si>
  <si>
    <t>1/2 oldal</t>
  </si>
  <si>
    <t>054. Egyéb pénzbeli és természetbeli ellátások (gyermekvédelmi pénzbeli) 
EREDETI EI</t>
  </si>
  <si>
    <t>054. Egyéb pénzbeli és természetbeli ellátások (gyermekvédelmi pénzbeli) 
MÓDOSÍTOTT EI</t>
  </si>
  <si>
    <t>Lakásfenntartással, lakhatással összefüggő elltásások</t>
  </si>
  <si>
    <t>Bölcsődei kiegészítő támogatás</t>
  </si>
  <si>
    <t>Foglalkoztatás támogatása- TOP pályázat SZASZK  (B16)</t>
  </si>
  <si>
    <t>Foglalkoztatás támogatása- TOP pályázMűv.Ház  (B16)</t>
  </si>
  <si>
    <t>Szülőföldem 2020 pályázati támogatás (B16)</t>
  </si>
  <si>
    <t>Egyéb pénzbeli és és természetbeni ellátások (gyermekvédelmi) K42</t>
  </si>
  <si>
    <t>felhalmozási</t>
  </si>
  <si>
    <t>Köznevelési támogatás kiegészítés</t>
  </si>
  <si>
    <t xml:space="preserve">Szoc. És gyermekjóléti feladatok kiegészítő támogatása </t>
  </si>
  <si>
    <t xml:space="preserve">Gyermekétkeztetés kiegészítő támogatása </t>
  </si>
  <si>
    <t>Szociális tüzifa támogatás</t>
  </si>
  <si>
    <t>Elszámolásból származó bevételek</t>
  </si>
  <si>
    <t>Rendkívüli önkormányzati támogatás</t>
  </si>
  <si>
    <t xml:space="preserve">Szaszk Mosógép beszerzés </t>
  </si>
  <si>
    <t xml:space="preserve">Közös Hivatal billentyűzet, egér, monitor beszerzés </t>
  </si>
  <si>
    <t>Közös Hivatal bojler beszerzés</t>
  </si>
  <si>
    <t>Mosogató beépítés iskola konyha SZASZK</t>
  </si>
  <si>
    <t>Martina, Nelli, Ibolya</t>
  </si>
  <si>
    <t>11. melléklet az .../2020.(…………..) önkormányzati rendelethez önkormányzati rendelethez</t>
  </si>
  <si>
    <t>Minibölcsőde normatív támogatás visszafizetés (018030 cofog)</t>
  </si>
  <si>
    <t>Minibölcsőde normatív támogatás visszafizetés (018010 cofog)</t>
  </si>
  <si>
    <t>Orvosi rendelő telfonközpont kiépítás</t>
  </si>
  <si>
    <t>Felhalmozási bevétel
(095)
EREDETI EI</t>
  </si>
  <si>
    <t>Felhalmozási bevétel
(095)
MÓDOSÍTOTT EI</t>
  </si>
  <si>
    <t>074410</t>
  </si>
  <si>
    <t>Ár és belvízvédelemmel összefüggő tevékenységek</t>
  </si>
  <si>
    <t>Önkormányzatok elszámolásai a központi ktg-vetéssel, (előző évi elszám)</t>
  </si>
  <si>
    <t>A települési önkormányzatok szociális feladatainak egyéb támogatása (B1131)</t>
  </si>
  <si>
    <t>Szociális és gyerekjóléti feladatok  (B1131)</t>
  </si>
  <si>
    <t>Bölcsődei dajkák, középfokú végzettségű kisgyermek nevelők (B1131)</t>
  </si>
  <si>
    <t>Bölcsődei üzemeltetés támogatása (B1131)</t>
  </si>
  <si>
    <t>Gyermekétkeztetési feladatok támogatása  (B1132)</t>
  </si>
  <si>
    <t>Gyermekétkeztetés üzemeltetési támogatása  (B1132)</t>
  </si>
  <si>
    <t>A rászoruló gyermekek intézményen kívüli szünidei étkeztetésének támogatása  (B1132)</t>
  </si>
  <si>
    <t>Szociális tüzifa támogatás  (B115)</t>
  </si>
  <si>
    <t>Ingatlanok értékesítése (B52)</t>
  </si>
  <si>
    <t>Egyéb tárgyi eszköz értékesítése (B53)</t>
  </si>
  <si>
    <t>Visszatérítendő támogatások államháztartáson kívülről (B74)</t>
  </si>
  <si>
    <t>2020. évi közművelődési érdekeltségnövelő támogatás</t>
  </si>
  <si>
    <t>1. melléklet az …../2021.(………...) önkormányzati rendelethez</t>
  </si>
  <si>
    <t>4.a  melléklet az .../2021.(…………..) önkormányzati rendelethez önkormányzati rendelethez</t>
  </si>
  <si>
    <t>4.b  melléklet az .../2021.(…………..) önkormányzati rendelethez önkormányzati rendelethez</t>
  </si>
  <si>
    <t>2. melléklet .../2021.(…………..) önkormányzati rendelethez</t>
  </si>
  <si>
    <t>3. melléklet az .../2021.(…………..) önkormányzati rendelethez önkormányzati rendelethez</t>
  </si>
  <si>
    <t>5. melléklet az .../2021.(…………..) önkormányzati rendelethez önkormányzati rendelethez</t>
  </si>
  <si>
    <t>Segítők 8 havi támogatása 6 fő</t>
  </si>
  <si>
    <t>Óvodaműködtetési támogatás - 8 hónap 102,7 fő</t>
  </si>
  <si>
    <t>6.  melléklet az .../2021.(…………..) önkormányzati rendelethez önkormányzati rendelethez</t>
  </si>
  <si>
    <t>7. melléklet az .../2021.(…………..) önkormányzati rendelethez önkormányzati rendelethez</t>
  </si>
  <si>
    <t xml:space="preserve">SZASZK ózongenerátor beszerzés </t>
  </si>
  <si>
    <t>2019. évi közművelődési támogatás terhére
- számítógép beszerzés</t>
  </si>
  <si>
    <t>- erősítő beszerzés</t>
  </si>
  <si>
    <t>- tolóajtós hűtő beszerzés</t>
  </si>
  <si>
    <t>- mikrofon. Mikrofon állvány beszerzés</t>
  </si>
  <si>
    <t>- függöny beszerzés</t>
  </si>
  <si>
    <t>3 db telefonkészülék beszerzés</t>
  </si>
  <si>
    <t>Közfoglalkoztatási programba
- bakhát készítő beszerzés</t>
  </si>
  <si>
    <t>- burgonyafelszedő beszerzés</t>
  </si>
  <si>
    <t xml:space="preserve">-szalagfűrész beszerzés </t>
  </si>
  <si>
    <t xml:space="preserve">-műtrágyaszóró beszerzés </t>
  </si>
  <si>
    <t>Szennyvíz szivattyú beszerzés</t>
  </si>
  <si>
    <t>- álmennyezet építés</t>
  </si>
  <si>
    <t xml:space="preserve">- álványfej beszerzés </t>
  </si>
  <si>
    <t xml:space="preserve">Önkormányzati bérlakások felújítása </t>
  </si>
  <si>
    <t>8. melléklet az .../2021.(…………..) önkormányzati rendelethez önkormányzati rendelethez</t>
  </si>
  <si>
    <t>9.  melléklet az .../2021.(…………..) önkormányzati rendelethezönkormányzati rendelethez</t>
  </si>
  <si>
    <t>10. melléklet az .../2021.(…………..) önkormányzati rendelethez önkormányzati rendelethez</t>
  </si>
  <si>
    <t>Úthasználati hozzájárulás</t>
  </si>
  <si>
    <t>12. melléklet az .../2021.(…………..) önkormányzati rendelethez önkormányzati rendelethez</t>
  </si>
  <si>
    <t>11. melléklet az .../2021.(…………..) önkormányzati rendelethez önkormányzati rendelethez</t>
  </si>
  <si>
    <t>13. melléklet az .../2021.(…………..) önkormányzati rendelethez önkormányzati rendelethez</t>
  </si>
  <si>
    <t>Kadarkút Város Önkormányzatának előirányzat felhasználási és likviditási ütemterve 2020.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</si>
</sst>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_-* #,##0\ _F_t_-;\-* #,##0\ _F_t_-;_-* &quot;-&quot;??\ _F_t_-;_-@_-"/>
    <numFmt numFmtId="166" formatCode="#,##0.000"/>
    <numFmt numFmtId="167" formatCode="#,##0_ ;\-#,##0\ "/>
    <numFmt numFmtId="168" formatCode="_-* #,##0\ [$Ft-40E]_-;\-* #,##0\ [$Ft-40E]_-;_-* &quot;-&quot;??\ [$Ft-40E]_-;_-@_-"/>
  </numFmts>
  <fonts count="9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1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 CE"/>
      <charset val="238"/>
    </font>
    <font>
      <sz val="11"/>
      <color rgb="FFFF000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0066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27" fillId="0" borderId="0" applyFont="0" applyFill="0" applyBorder="0" applyAlignment="0" applyProtection="0"/>
    <xf numFmtId="0" fontId="1" fillId="0" borderId="0"/>
    <xf numFmtId="0" fontId="35" fillId="0" borderId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2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/>
    <xf numFmtId="0" fontId="10" fillId="2" borderId="9" xfId="2" applyFont="1" applyFill="1" applyBorder="1" applyAlignment="1"/>
    <xf numFmtId="0" fontId="22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3" fontId="19" fillId="0" borderId="0" xfId="2" applyNumberFormat="1" applyFont="1" applyFill="1" applyAlignment="1"/>
    <xf numFmtId="0" fontId="26" fillId="0" borderId="0" xfId="2" applyFont="1" applyFill="1"/>
    <xf numFmtId="3" fontId="10" fillId="0" borderId="0" xfId="2" applyNumberFormat="1" applyFont="1" applyFill="1" applyAlignment="1">
      <alignment horizontal="right"/>
    </xf>
    <xf numFmtId="3" fontId="19" fillId="0" borderId="0" xfId="2" applyNumberFormat="1" applyFont="1" applyFill="1" applyAlignment="1">
      <alignment horizontal="right"/>
    </xf>
    <xf numFmtId="3" fontId="19" fillId="0" borderId="0" xfId="2" applyNumberFormat="1" applyFont="1" applyFill="1"/>
    <xf numFmtId="0" fontId="19" fillId="0" borderId="0" xfId="2" applyFont="1" applyFill="1" applyAlignment="1">
      <alignment horizontal="left"/>
    </xf>
    <xf numFmtId="0" fontId="19" fillId="0" borderId="0" xfId="2" applyFont="1" applyAlignment="1"/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9" fillId="0" borderId="0" xfId="2" applyNumberFormat="1" applyFont="1" applyAlignment="1">
      <alignment horizontal="center"/>
    </xf>
    <xf numFmtId="3" fontId="19" fillId="0" borderId="0" xfId="2" applyNumberFormat="1" applyFont="1"/>
    <xf numFmtId="0" fontId="19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9" fillId="0" borderId="9" xfId="2" applyFont="1" applyBorder="1"/>
    <xf numFmtId="0" fontId="19" fillId="0" borderId="10" xfId="2" applyFont="1" applyBorder="1" applyAlignment="1">
      <alignment horizontal="center"/>
    </xf>
    <xf numFmtId="0" fontId="19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20" fillId="0" borderId="0" xfId="2" applyFont="1" applyAlignment="1">
      <alignment vertical="center"/>
    </xf>
    <xf numFmtId="0" fontId="20" fillId="0" borderId="0" xfId="2" applyFont="1"/>
    <xf numFmtId="0" fontId="25" fillId="0" borderId="0" xfId="2" applyFont="1" applyAlignment="1">
      <alignment vertical="center" wrapText="1"/>
    </xf>
    <xf numFmtId="3" fontId="19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0" fontId="16" fillId="0" borderId="0" xfId="2" applyFont="1"/>
    <xf numFmtId="0" fontId="32" fillId="0" borderId="0" xfId="2" applyFont="1" applyAlignment="1">
      <alignment horizontal="right"/>
    </xf>
    <xf numFmtId="0" fontId="34" fillId="0" borderId="0" xfId="2" applyFont="1"/>
    <xf numFmtId="0" fontId="35" fillId="0" borderId="0" xfId="2" applyFont="1" applyAlignment="1">
      <alignment horizontal="right"/>
    </xf>
    <xf numFmtId="0" fontId="33" fillId="0" borderId="12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9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 applyFill="1"/>
    <xf numFmtId="166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6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6" fontId="20" fillId="0" borderId="0" xfId="3" applyNumberFormat="1" applyFont="1" applyFill="1" applyAlignment="1">
      <alignment horizontal="center" vertical="center"/>
    </xf>
    <xf numFmtId="0" fontId="19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166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1" fillId="0" borderId="0" xfId="0" applyFont="1" applyAlignment="1">
      <alignment horizontal="right"/>
    </xf>
    <xf numFmtId="0" fontId="25" fillId="0" borderId="0" xfId="2" applyFont="1" applyAlignment="1">
      <alignment vertical="center"/>
    </xf>
    <xf numFmtId="3" fontId="39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9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9" fillId="0" borderId="0" xfId="2" applyNumberFormat="1" applyFont="1" applyAlignment="1">
      <alignment horizontal="right"/>
    </xf>
    <xf numFmtId="0" fontId="42" fillId="0" borderId="0" xfId="2" applyFont="1" applyAlignment="1">
      <alignment wrapText="1"/>
    </xf>
    <xf numFmtId="0" fontId="42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9" fillId="0" borderId="9" xfId="2" applyFont="1" applyBorder="1" applyAlignment="1">
      <alignment vertical="center"/>
    </xf>
    <xf numFmtId="0" fontId="19" fillId="0" borderId="9" xfId="2" applyFont="1" applyBorder="1" applyAlignment="1"/>
    <xf numFmtId="0" fontId="10" fillId="0" borderId="9" xfId="2" applyFont="1" applyBorder="1" applyAlignment="1"/>
    <xf numFmtId="0" fontId="25" fillId="0" borderId="0" xfId="2" applyFont="1" applyAlignment="1"/>
    <xf numFmtId="0" fontId="16" fillId="0" borderId="0" xfId="2" applyFont="1" applyAlignment="1"/>
    <xf numFmtId="0" fontId="19" fillId="0" borderId="0" xfId="2" applyFont="1" applyBorder="1" applyAlignment="1"/>
    <xf numFmtId="0" fontId="20" fillId="0" borderId="0" xfId="2" applyFont="1" applyBorder="1" applyAlignment="1"/>
    <xf numFmtId="0" fontId="22" fillId="0" borderId="0" xfId="2" applyFont="1" applyAlignment="1"/>
    <xf numFmtId="0" fontId="19" fillId="0" borderId="9" xfId="2" applyFont="1" applyBorder="1" applyAlignment="1">
      <alignment wrapText="1"/>
    </xf>
    <xf numFmtId="3" fontId="1" fillId="0" borderId="0" xfId="2" applyNumberFormat="1"/>
    <xf numFmtId="0" fontId="23" fillId="0" borderId="0" xfId="2" applyFont="1" applyAlignment="1">
      <alignment horizontal="center"/>
    </xf>
    <xf numFmtId="0" fontId="47" fillId="0" borderId="0" xfId="2" applyFont="1" applyAlignment="1">
      <alignment vertical="center"/>
    </xf>
    <xf numFmtId="0" fontId="49" fillId="0" borderId="0" xfId="2" applyFont="1" applyAlignment="1">
      <alignment horizontal="left" vertical="center"/>
    </xf>
    <xf numFmtId="0" fontId="5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6" fillId="0" borderId="0" xfId="2" applyFont="1" applyAlignment="1">
      <alignment horizontal="center" vertical="center"/>
    </xf>
    <xf numFmtId="0" fontId="46" fillId="0" borderId="0" xfId="2" applyFont="1" applyBorder="1" applyAlignment="1">
      <alignment horizontal="center" vertical="center"/>
    </xf>
    <xf numFmtId="0" fontId="51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 applyAlignment="1"/>
    <xf numFmtId="0" fontId="54" fillId="0" borderId="0" xfId="2" applyFont="1"/>
    <xf numFmtId="0" fontId="24" fillId="0" borderId="0" xfId="2" applyFont="1" applyBorder="1" applyAlignment="1">
      <alignment vertical="center" wrapText="1"/>
    </xf>
    <xf numFmtId="0" fontId="55" fillId="0" borderId="0" xfId="2" applyFont="1" applyBorder="1" applyAlignment="1">
      <alignment horizontal="center" vertical="center" wrapText="1"/>
    </xf>
    <xf numFmtId="3" fontId="16" fillId="0" borderId="19" xfId="2" applyNumberFormat="1" applyFont="1" applyBorder="1" applyAlignment="1">
      <alignment horizontal="center" vertical="center" wrapText="1"/>
    </xf>
    <xf numFmtId="0" fontId="20" fillId="0" borderId="0" xfId="2" applyFont="1" applyBorder="1"/>
    <xf numFmtId="0" fontId="20" fillId="0" borderId="2" xfId="2" applyFont="1" applyBorder="1" applyAlignment="1">
      <alignment horizontal="left" vertical="center"/>
    </xf>
    <xf numFmtId="0" fontId="16" fillId="0" borderId="0" xfId="2" applyFont="1" applyBorder="1"/>
    <xf numFmtId="0" fontId="54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6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right"/>
    </xf>
    <xf numFmtId="9" fontId="20" fillId="0" borderId="0" xfId="5" applyFont="1" applyBorder="1"/>
    <xf numFmtId="0" fontId="32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5" fillId="0" borderId="0" xfId="2" applyNumberFormat="1" applyFont="1" applyAlignment="1">
      <alignment horizontal="left" vertical="center"/>
    </xf>
    <xf numFmtId="0" fontId="41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3" fillId="0" borderId="0" xfId="2" applyFont="1" applyBorder="1"/>
    <xf numFmtId="3" fontId="23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 wrapText="1"/>
    </xf>
    <xf numFmtId="3" fontId="20" fillId="0" borderId="0" xfId="2" applyNumberFormat="1" applyFont="1" applyBorder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0" fillId="2" borderId="16" xfId="2" applyFont="1" applyFill="1" applyBorder="1" applyAlignment="1">
      <alignment vertical="center"/>
    </xf>
    <xf numFmtId="0" fontId="28" fillId="0" borderId="0" xfId="0" applyFont="1"/>
    <xf numFmtId="0" fontId="0" fillId="0" borderId="9" xfId="0" applyBorder="1"/>
    <xf numFmtId="0" fontId="28" fillId="0" borderId="9" xfId="0" applyFont="1" applyBorder="1"/>
    <xf numFmtId="0" fontId="0" fillId="0" borderId="9" xfId="0" applyBorder="1" applyAlignment="1">
      <alignment wrapText="1"/>
    </xf>
    <xf numFmtId="0" fontId="28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20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vertical="center"/>
    </xf>
    <xf numFmtId="0" fontId="10" fillId="0" borderId="25" xfId="2" applyFont="1" applyFill="1" applyBorder="1" applyAlignment="1">
      <alignment vertical="center"/>
    </xf>
    <xf numFmtId="49" fontId="19" fillId="0" borderId="9" xfId="2" applyNumberFormat="1" applyFont="1" applyBorder="1" applyAlignment="1">
      <alignment horizontal="center"/>
    </xf>
    <xf numFmtId="49" fontId="19" fillId="0" borderId="10" xfId="2" applyNumberFormat="1" applyFont="1" applyBorder="1" applyAlignment="1">
      <alignment horizontal="center"/>
    </xf>
    <xf numFmtId="49" fontId="19" fillId="0" borderId="9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0" fontId="29" fillId="0" borderId="0" xfId="2" applyFont="1" applyAlignment="1">
      <alignment vertical="center"/>
    </xf>
    <xf numFmtId="49" fontId="14" fillId="0" borderId="16" xfId="2" applyNumberFormat="1" applyFont="1" applyBorder="1" applyAlignment="1">
      <alignment horizontal="left" vertical="center"/>
    </xf>
    <xf numFmtId="49" fontId="19" fillId="3" borderId="16" xfId="2" applyNumberFormat="1" applyFont="1" applyFill="1" applyBorder="1" applyAlignment="1">
      <alignment horizontal="left" vertical="center"/>
    </xf>
    <xf numFmtId="0" fontId="19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2" fillId="0" borderId="18" xfId="2" applyFont="1" applyBorder="1" applyAlignment="1">
      <alignment vertical="center"/>
    </xf>
    <xf numFmtId="0" fontId="21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7" fillId="0" borderId="0" xfId="2" applyFont="1" applyAlignment="1">
      <alignment wrapText="1"/>
    </xf>
    <xf numFmtId="0" fontId="19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Fill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19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31" xfId="2" applyNumberFormat="1" applyFont="1" applyFill="1" applyBorder="1" applyAlignment="1">
      <alignment horizontal="right" indent="1"/>
    </xf>
    <xf numFmtId="3" fontId="6" fillId="0" borderId="32" xfId="2" applyNumberFormat="1" applyFont="1" applyFill="1" applyBorder="1" applyAlignment="1">
      <alignment horizontal="right" indent="1"/>
    </xf>
    <xf numFmtId="3" fontId="6" fillId="0" borderId="33" xfId="2" applyNumberFormat="1" applyFont="1" applyFill="1" applyBorder="1" applyAlignment="1">
      <alignment horizontal="right" indent="1"/>
    </xf>
    <xf numFmtId="3" fontId="6" fillId="0" borderId="34" xfId="2" applyNumberFormat="1" applyFont="1" applyFill="1" applyBorder="1" applyAlignment="1">
      <alignment horizontal="right" indent="1"/>
    </xf>
    <xf numFmtId="3" fontId="7" fillId="0" borderId="16" xfId="2" applyNumberFormat="1" applyFont="1" applyFill="1" applyBorder="1" applyAlignment="1">
      <alignment horizontal="right" indent="1"/>
    </xf>
    <xf numFmtId="3" fontId="7" fillId="0" borderId="30" xfId="2" applyNumberFormat="1" applyFont="1" applyFill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6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7" fillId="0" borderId="39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0" fontId="28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0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1" xfId="2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0" fontId="67" fillId="0" borderId="42" xfId="2" applyFont="1" applyBorder="1" applyAlignment="1">
      <alignment horizontal="center"/>
    </xf>
    <xf numFmtId="0" fontId="67" fillId="0" borderId="44" xfId="2" applyFont="1" applyBorder="1" applyAlignment="1">
      <alignment horizontal="center"/>
    </xf>
    <xf numFmtId="167" fontId="34" fillId="0" borderId="45" xfId="1" applyNumberFormat="1" applyFont="1" applyBorder="1" applyAlignment="1">
      <alignment horizontal="right" vertical="center" wrapText="1"/>
    </xf>
    <xf numFmtId="167" fontId="67" fillId="0" borderId="12" xfId="1" applyNumberFormat="1" applyFont="1" applyBorder="1" applyAlignment="1">
      <alignment horizontal="right" vertical="center"/>
    </xf>
    <xf numFmtId="167" fontId="34" fillId="0" borderId="9" xfId="1" applyNumberFormat="1" applyFont="1" applyBorder="1" applyAlignment="1">
      <alignment horizontal="right" vertical="center"/>
    </xf>
    <xf numFmtId="167" fontId="34" fillId="0" borderId="46" xfId="1" applyNumberFormat="1" applyFont="1" applyBorder="1" applyAlignment="1">
      <alignment horizontal="right" vertical="center"/>
    </xf>
    <xf numFmtId="167" fontId="67" fillId="0" borderId="47" xfId="1" applyNumberFormat="1" applyFont="1" applyBorder="1" applyAlignment="1">
      <alignment horizontal="right" vertical="center"/>
    </xf>
    <xf numFmtId="167" fontId="67" fillId="0" borderId="48" xfId="1" applyNumberFormat="1" applyFont="1" applyBorder="1" applyAlignment="1">
      <alignment horizontal="right" vertical="center"/>
    </xf>
    <xf numFmtId="3" fontId="76" fillId="0" borderId="18" xfId="3" applyNumberFormat="1" applyFont="1" applyFill="1" applyBorder="1" applyAlignment="1">
      <alignment horizontal="right" vertical="center" indent="1"/>
    </xf>
    <xf numFmtId="3" fontId="75" fillId="0" borderId="9" xfId="2" applyNumberFormat="1" applyFont="1" applyBorder="1" applyAlignment="1">
      <alignment horizontal="right"/>
    </xf>
    <xf numFmtId="3" fontId="74" fillId="0" borderId="9" xfId="2" applyNumberFormat="1" applyFont="1" applyBorder="1" applyAlignment="1">
      <alignment horizontal="right"/>
    </xf>
    <xf numFmtId="0" fontId="75" fillId="0" borderId="9" xfId="2" applyFont="1" applyBorder="1" applyAlignment="1">
      <alignment horizontal="right"/>
    </xf>
    <xf numFmtId="0" fontId="74" fillId="0" borderId="9" xfId="2" applyFont="1" applyBorder="1" applyAlignment="1">
      <alignment horizontal="right"/>
    </xf>
    <xf numFmtId="0" fontId="77" fillId="2" borderId="9" xfId="2" applyFont="1" applyFill="1" applyBorder="1" applyAlignment="1">
      <alignment horizontal="right"/>
    </xf>
    <xf numFmtId="3" fontId="74" fillId="2" borderId="9" xfId="2" applyNumberFormat="1" applyFont="1" applyFill="1" applyBorder="1" applyAlignment="1">
      <alignment horizontal="right"/>
    </xf>
    <xf numFmtId="0" fontId="73" fillId="0" borderId="0" xfId="0" applyFont="1"/>
    <xf numFmtId="0" fontId="73" fillId="0" borderId="9" xfId="0" applyFont="1" applyBorder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6" xfId="2" applyNumberFormat="1" applyFont="1" applyBorder="1" applyAlignment="1">
      <alignment horizontal="right" vertical="center" indent="5"/>
    </xf>
    <xf numFmtId="3" fontId="11" fillId="2" borderId="39" xfId="2" applyNumberFormat="1" applyFont="1" applyFill="1" applyBorder="1" applyAlignment="1">
      <alignment horizontal="right" vertical="center" indent="5"/>
    </xf>
    <xf numFmtId="3" fontId="12" fillId="0" borderId="49" xfId="2" applyNumberFormat="1" applyFont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5"/>
    </xf>
    <xf numFmtId="3" fontId="12" fillId="3" borderId="50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49" xfId="2" applyNumberFormat="1" applyFont="1" applyFill="1" applyBorder="1" applyAlignment="1">
      <alignment horizontal="right" vertical="center" indent="5"/>
    </xf>
    <xf numFmtId="3" fontId="12" fillId="4" borderId="36" xfId="2" applyNumberFormat="1" applyFont="1" applyFill="1" applyBorder="1" applyAlignment="1">
      <alignment horizontal="right" vertical="center" indent="5"/>
    </xf>
    <xf numFmtId="3" fontId="12" fillId="0" borderId="36" xfId="2" applyNumberFormat="1" applyFont="1" applyBorder="1" applyAlignment="1">
      <alignment horizontal="right" vertical="center" indent="4"/>
    </xf>
    <xf numFmtId="3" fontId="12" fillId="0" borderId="37" xfId="2" applyNumberFormat="1" applyFont="1" applyFill="1" applyBorder="1" applyAlignment="1">
      <alignment horizontal="right" vertical="center" indent="4"/>
    </xf>
    <xf numFmtId="3" fontId="11" fillId="2" borderId="39" xfId="2" applyNumberFormat="1" applyFont="1" applyFill="1" applyBorder="1" applyAlignment="1">
      <alignment horizontal="right" vertical="center" indent="4"/>
    </xf>
    <xf numFmtId="3" fontId="12" fillId="0" borderId="36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4" borderId="36" xfId="2" applyNumberFormat="1" applyFont="1" applyFill="1" applyBorder="1" applyAlignment="1">
      <alignment horizontal="right" vertical="center" wrapText="1" indent="5"/>
    </xf>
    <xf numFmtId="3" fontId="10" fillId="2" borderId="9" xfId="2" applyNumberFormat="1" applyFont="1" applyFill="1" applyBorder="1" applyAlignment="1">
      <alignment horizontal="right" indent="1"/>
    </xf>
    <xf numFmtId="0" fontId="19" fillId="0" borderId="9" xfId="2" applyFont="1" applyFill="1" applyBorder="1"/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3" fontId="31" fillId="0" borderId="0" xfId="2" applyNumberFormat="1" applyFont="1" applyAlignment="1">
      <alignment vertical="center"/>
    </xf>
    <xf numFmtId="0" fontId="21" fillId="0" borderId="9" xfId="2" applyFont="1" applyFill="1" applyBorder="1" applyAlignment="1">
      <alignment horizontal="center" vertical="center" wrapText="1"/>
    </xf>
    <xf numFmtId="0" fontId="68" fillId="3" borderId="25" xfId="2" applyFont="1" applyFill="1" applyBorder="1" applyAlignment="1">
      <alignment vertical="center" wrapText="1"/>
    </xf>
    <xf numFmtId="0" fontId="68" fillId="3" borderId="9" xfId="2" applyFont="1" applyFill="1" applyBorder="1" applyAlignment="1">
      <alignment vertical="center" wrapText="1"/>
    </xf>
    <xf numFmtId="0" fontId="42" fillId="3" borderId="25" xfId="2" applyFont="1" applyFill="1" applyBorder="1" applyAlignment="1">
      <alignment horizontal="center" vertical="center"/>
    </xf>
    <xf numFmtId="0" fontId="42" fillId="3" borderId="9" xfId="2" applyFont="1" applyFill="1" applyBorder="1" applyAlignment="1">
      <alignment horizontal="center" vertical="center"/>
    </xf>
    <xf numFmtId="168" fontId="21" fillId="3" borderId="25" xfId="1" applyNumberFormat="1" applyFont="1" applyFill="1" applyBorder="1" applyAlignment="1">
      <alignment horizontal="center" vertical="center"/>
    </xf>
    <xf numFmtId="168" fontId="42" fillId="3" borderId="25" xfId="1" applyNumberFormat="1" applyFont="1" applyFill="1" applyBorder="1" applyAlignment="1">
      <alignment horizontal="center" vertical="center"/>
    </xf>
    <xf numFmtId="9" fontId="42" fillId="3" borderId="25" xfId="4" applyFont="1" applyFill="1" applyBorder="1" applyAlignment="1">
      <alignment horizontal="center" vertical="center"/>
    </xf>
    <xf numFmtId="9" fontId="42" fillId="3" borderId="9" xfId="4" applyFont="1" applyFill="1" applyBorder="1" applyAlignment="1">
      <alignment horizontal="center" vertical="center"/>
    </xf>
    <xf numFmtId="168" fontId="21" fillId="3" borderId="9" xfId="1" applyNumberFormat="1" applyFont="1" applyFill="1" applyBorder="1" applyAlignment="1">
      <alignment horizontal="center" vertical="center"/>
    </xf>
    <xf numFmtId="168" fontId="42" fillId="3" borderId="9" xfId="1" applyNumberFormat="1" applyFont="1" applyFill="1" applyBorder="1" applyAlignment="1">
      <alignment horizontal="center" vertical="center"/>
    </xf>
    <xf numFmtId="3" fontId="19" fillId="0" borderId="9" xfId="2" applyNumberFormat="1" applyFont="1" applyBorder="1"/>
    <xf numFmtId="167" fontId="1" fillId="0" borderId="0" xfId="2" applyNumberFormat="1"/>
    <xf numFmtId="3" fontId="19" fillId="0" borderId="9" xfId="2" applyNumberFormat="1" applyFont="1" applyFill="1" applyBorder="1" applyAlignment="1">
      <alignment horizontal="right" vertical="center" indent="1"/>
    </xf>
    <xf numFmtId="165" fontId="69" fillId="0" borderId="9" xfId="1" applyNumberFormat="1" applyFont="1" applyBorder="1"/>
    <xf numFmtId="165" fontId="69" fillId="0" borderId="44" xfId="1" applyNumberFormat="1" applyFont="1" applyBorder="1"/>
    <xf numFmtId="165" fontId="69" fillId="0" borderId="48" xfId="1" applyNumberFormat="1" applyFont="1" applyBorder="1"/>
    <xf numFmtId="165" fontId="69" fillId="0" borderId="36" xfId="1" applyNumberFormat="1" applyFont="1" applyBorder="1"/>
    <xf numFmtId="165" fontId="69" fillId="0" borderId="38" xfId="1" applyNumberFormat="1" applyFont="1" applyBorder="1"/>
    <xf numFmtId="165" fontId="69" fillId="0" borderId="51" xfId="1" applyNumberFormat="1" applyFont="1" applyBorder="1" applyAlignment="1">
      <alignment horizontal="right"/>
    </xf>
    <xf numFmtId="165" fontId="69" fillId="0" borderId="9" xfId="1" applyNumberFormat="1" applyFont="1" applyBorder="1" applyAlignment="1">
      <alignment horizontal="right"/>
    </xf>
    <xf numFmtId="165" fontId="69" fillId="0" borderId="44" xfId="1" applyNumberFormat="1" applyFont="1" applyBorder="1" applyAlignment="1">
      <alignment horizontal="right"/>
    </xf>
    <xf numFmtId="165" fontId="69" fillId="0" borderId="48" xfId="1" applyNumberFormat="1" applyFont="1" applyBorder="1" applyAlignment="1">
      <alignment horizontal="right"/>
    </xf>
    <xf numFmtId="165" fontId="0" fillId="0" borderId="0" xfId="0" applyNumberFormat="1"/>
    <xf numFmtId="165" fontId="69" fillId="0" borderId="51" xfId="1" applyNumberFormat="1" applyFont="1" applyBorder="1" applyAlignment="1">
      <alignment horizontal="left"/>
    </xf>
    <xf numFmtId="165" fontId="69" fillId="0" borderId="51" xfId="1" applyNumberFormat="1" applyFont="1" applyBorder="1" applyAlignment="1">
      <alignment horizontal="left" indent="1"/>
    </xf>
    <xf numFmtId="165" fontId="69" fillId="0" borderId="19" xfId="1" applyNumberFormat="1" applyFont="1" applyBorder="1" applyAlignment="1">
      <alignment horizontal="left" indent="1"/>
    </xf>
    <xf numFmtId="165" fontId="69" fillId="0" borderId="9" xfId="1" applyNumberFormat="1" applyFont="1" applyBorder="1" applyAlignment="1">
      <alignment horizontal="left"/>
    </xf>
    <xf numFmtId="165" fontId="69" fillId="0" borderId="9" xfId="1" applyNumberFormat="1" applyFont="1" applyBorder="1" applyAlignment="1">
      <alignment horizontal="left" indent="1"/>
    </xf>
    <xf numFmtId="165" fontId="69" fillId="0" borderId="36" xfId="1" applyNumberFormat="1" applyFont="1" applyBorder="1" applyAlignment="1">
      <alignment horizontal="left" indent="1"/>
    </xf>
    <xf numFmtId="165" fontId="69" fillId="0" borderId="44" xfId="1" applyNumberFormat="1" applyFont="1" applyBorder="1" applyAlignment="1">
      <alignment horizontal="left"/>
    </xf>
    <xf numFmtId="165" fontId="69" fillId="0" borderId="44" xfId="1" applyNumberFormat="1" applyFont="1" applyBorder="1" applyAlignment="1">
      <alignment horizontal="left" indent="1"/>
    </xf>
    <xf numFmtId="165" fontId="69" fillId="0" borderId="38" xfId="1" applyNumberFormat="1" applyFont="1" applyBorder="1" applyAlignment="1">
      <alignment horizontal="left" indent="1"/>
    </xf>
    <xf numFmtId="165" fontId="69" fillId="0" borderId="48" xfId="1" applyNumberFormat="1" applyFont="1" applyBorder="1" applyAlignment="1">
      <alignment horizontal="left"/>
    </xf>
    <xf numFmtId="0" fontId="70" fillId="0" borderId="9" xfId="0" applyFont="1" applyBorder="1" applyAlignment="1">
      <alignment horizontal="center"/>
    </xf>
    <xf numFmtId="3" fontId="78" fillId="0" borderId="9" xfId="0" applyNumberFormat="1" applyFont="1" applyBorder="1"/>
    <xf numFmtId="3" fontId="78" fillId="0" borderId="9" xfId="0" applyNumberFormat="1" applyFont="1" applyBorder="1" applyAlignment="1">
      <alignment vertical="center"/>
    </xf>
    <xf numFmtId="0" fontId="78" fillId="0" borderId="9" xfId="0" applyFont="1" applyBorder="1"/>
    <xf numFmtId="165" fontId="20" fillId="0" borderId="0" xfId="1" applyNumberFormat="1" applyFont="1" applyFill="1"/>
    <xf numFmtId="3" fontId="20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20" fillId="0" borderId="9" xfId="3" applyFont="1" applyFill="1" applyBorder="1" applyAlignment="1">
      <alignment horizontal="right" vertical="center"/>
    </xf>
    <xf numFmtId="3" fontId="19" fillId="0" borderId="16" xfId="2" applyNumberFormat="1" applyFont="1" applyBorder="1" applyAlignment="1">
      <alignment horizontal="right" vertical="center" indent="1"/>
    </xf>
    <xf numFmtId="3" fontId="19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0" fontId="19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49" fontId="19" fillId="0" borderId="16" xfId="2" applyNumberFormat="1" applyFont="1" applyBorder="1" applyAlignment="1">
      <alignment vertical="center"/>
    </xf>
    <xf numFmtId="3" fontId="19" fillId="3" borderId="9" xfId="2" applyNumberFormat="1" applyFont="1" applyFill="1" applyBorder="1" applyAlignment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10" fillId="2" borderId="9" xfId="2" applyFont="1" applyFill="1" applyBorder="1" applyAlignment="1">
      <alignment horizontal="center"/>
    </xf>
    <xf numFmtId="0" fontId="71" fillId="0" borderId="0" xfId="2" applyFont="1"/>
    <xf numFmtId="0" fontId="68" fillId="0" borderId="0" xfId="2" applyFont="1"/>
    <xf numFmtId="0" fontId="68" fillId="0" borderId="0" xfId="2" applyFont="1" applyAlignment="1">
      <alignment horizontal="center"/>
    </xf>
    <xf numFmtId="0" fontId="40" fillId="0" borderId="0" xfId="2" applyFont="1" applyAlignment="1">
      <alignment vertical="center"/>
    </xf>
    <xf numFmtId="3" fontId="42" fillId="3" borderId="0" xfId="2" applyNumberFormat="1" applyFont="1" applyFill="1" applyAlignment="1">
      <alignment horizontal="center"/>
    </xf>
    <xf numFmtId="3" fontId="42" fillId="3" borderId="0" xfId="2" applyNumberFormat="1" applyFont="1" applyFill="1" applyAlignment="1">
      <alignment horizontal="right" wrapText="1"/>
    </xf>
    <xf numFmtId="0" fontId="21" fillId="3" borderId="0" xfId="2" applyFont="1" applyFill="1"/>
    <xf numFmtId="3" fontId="21" fillId="3" borderId="0" xfId="2" applyNumberFormat="1" applyFont="1" applyFill="1"/>
    <xf numFmtId="0" fontId="42" fillId="3" borderId="0" xfId="2" applyFont="1" applyFill="1"/>
    <xf numFmtId="3" fontId="42" fillId="3" borderId="0" xfId="2" applyNumberFormat="1" applyFont="1" applyFill="1" applyAlignment="1">
      <alignment horizontal="right"/>
    </xf>
    <xf numFmtId="3" fontId="21" fillId="3" borderId="0" xfId="2" applyNumberFormat="1" applyFont="1" applyFill="1" applyAlignment="1">
      <alignment horizontal="right"/>
    </xf>
    <xf numFmtId="0" fontId="42" fillId="3" borderId="0" xfId="2" applyFont="1" applyFill="1" applyAlignment="1">
      <alignment horizontal="center"/>
    </xf>
    <xf numFmtId="3" fontId="42" fillId="3" borderId="0" xfId="2" applyNumberFormat="1" applyFont="1" applyFill="1"/>
    <xf numFmtId="3" fontId="71" fillId="0" borderId="0" xfId="2" applyNumberFormat="1" applyFont="1"/>
    <xf numFmtId="0" fontId="72" fillId="0" borderId="0" xfId="2" applyFont="1" applyAlignment="1">
      <alignment horizontal="justify"/>
    </xf>
    <xf numFmtId="3" fontId="42" fillId="0" borderId="0" xfId="2" applyNumberFormat="1" applyFont="1" applyAlignment="1">
      <alignment horizontal="right"/>
    </xf>
    <xf numFmtId="0" fontId="72" fillId="0" borderId="0" xfId="2" applyFont="1" applyAlignment="1">
      <alignment horizontal="left"/>
    </xf>
    <xf numFmtId="0" fontId="43" fillId="0" borderId="0" xfId="2" applyFont="1" applyAlignment="1">
      <alignment vertical="center" wrapText="1"/>
    </xf>
    <xf numFmtId="3" fontId="10" fillId="4" borderId="9" xfId="2" applyNumberFormat="1" applyFont="1" applyFill="1" applyBorder="1" applyAlignment="1">
      <alignment horizontal="right" indent="2"/>
    </xf>
    <xf numFmtId="0" fontId="40" fillId="0" borderId="9" xfId="2" applyFont="1" applyBorder="1"/>
    <xf numFmtId="3" fontId="40" fillId="0" borderId="9" xfId="2" applyNumberFormat="1" applyFont="1" applyBorder="1"/>
    <xf numFmtId="3" fontId="19" fillId="3" borderId="16" xfId="2" applyNumberFormat="1" applyFont="1" applyFill="1" applyBorder="1" applyAlignment="1">
      <alignment horizontal="right" vertical="center" indent="1"/>
    </xf>
    <xf numFmtId="3" fontId="19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/>
    </xf>
    <xf numFmtId="3" fontId="20" fillId="0" borderId="0" xfId="2" applyNumberFormat="1" applyFont="1" applyFill="1"/>
    <xf numFmtId="3" fontId="19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9" fillId="2" borderId="9" xfId="2" applyFont="1" applyFill="1" applyBorder="1" applyAlignment="1">
      <alignment horizontal="right"/>
    </xf>
    <xf numFmtId="0" fontId="19" fillId="0" borderId="9" xfId="2" applyFont="1" applyBorder="1" applyAlignment="1">
      <alignment horizontal="right"/>
    </xf>
    <xf numFmtId="0" fontId="25" fillId="2" borderId="9" xfId="2" applyFont="1" applyFill="1" applyBorder="1" applyAlignment="1">
      <alignment horizontal="right"/>
    </xf>
    <xf numFmtId="0" fontId="20" fillId="4" borderId="0" xfId="2" applyFont="1" applyFill="1" applyBorder="1" applyAlignment="1">
      <alignment horizontal="right" vertical="center"/>
    </xf>
    <xf numFmtId="0" fontId="54" fillId="0" borderId="0" xfId="2" applyFont="1" applyBorder="1" applyAlignment="1">
      <alignment horizontal="right"/>
    </xf>
    <xf numFmtId="3" fontId="6" fillId="4" borderId="33" xfId="2" applyNumberFormat="1" applyFont="1" applyFill="1" applyBorder="1" applyAlignment="1">
      <alignment horizontal="right" indent="1"/>
    </xf>
    <xf numFmtId="3" fontId="19" fillId="4" borderId="16" xfId="2" applyNumberFormat="1" applyFont="1" applyFill="1" applyBorder="1" applyAlignment="1">
      <alignment horizontal="right" vertical="center" indent="1"/>
    </xf>
    <xf numFmtId="3" fontId="21" fillId="0" borderId="9" xfId="2" applyNumberFormat="1" applyFont="1" applyBorder="1" applyAlignment="1">
      <alignment vertical="center"/>
    </xf>
    <xf numFmtId="0" fontId="42" fillId="0" borderId="9" xfId="2" applyFont="1" applyBorder="1" applyAlignment="1">
      <alignment vertical="center"/>
    </xf>
    <xf numFmtId="0" fontId="41" fillId="0" borderId="0" xfId="0" applyFont="1" applyAlignment="1"/>
    <xf numFmtId="3" fontId="19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49" fontId="14" fillId="0" borderId="26" xfId="2" applyNumberFormat="1" applyFont="1" applyBorder="1" applyAlignment="1">
      <alignment horizontal="left" vertical="center"/>
    </xf>
    <xf numFmtId="0" fontId="14" fillId="0" borderId="29" xfId="2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 wrapText="1"/>
    </xf>
    <xf numFmtId="3" fontId="79" fillId="0" borderId="0" xfId="2" applyNumberFormat="1" applyFont="1" applyAlignment="1">
      <alignment vertical="center"/>
    </xf>
    <xf numFmtId="3" fontId="10" fillId="5" borderId="16" xfId="2" applyNumberFormat="1" applyFont="1" applyFill="1" applyBorder="1" applyAlignment="1">
      <alignment horizontal="right" vertical="center" indent="1"/>
    </xf>
    <xf numFmtId="3" fontId="11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2" fillId="0" borderId="26" xfId="2" applyNumberFormat="1" applyFont="1" applyFill="1" applyBorder="1" applyAlignment="1">
      <alignment vertical="center"/>
    </xf>
    <xf numFmtId="0" fontId="10" fillId="0" borderId="29" xfId="2" applyFont="1" applyFill="1" applyBorder="1" applyAlignment="1">
      <alignment horizontal="center" vertical="center" wrapText="1"/>
    </xf>
    <xf numFmtId="3" fontId="54" fillId="0" borderId="0" xfId="2" applyNumberFormat="1" applyFont="1" applyBorder="1"/>
    <xf numFmtId="0" fontId="20" fillId="0" borderId="21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1" fillId="0" borderId="25" xfId="2" applyNumberFormat="1" applyFont="1" applyBorder="1" applyAlignment="1">
      <alignment vertical="center"/>
    </xf>
    <xf numFmtId="0" fontId="19" fillId="0" borderId="16" xfId="2" applyFont="1" applyBorder="1" applyAlignment="1">
      <alignment horizontal="center"/>
    </xf>
    <xf numFmtId="0" fontId="19" fillId="0" borderId="25" xfId="2" applyFont="1" applyBorder="1"/>
    <xf numFmtId="0" fontId="21" fillId="0" borderId="16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8" fillId="0" borderId="54" xfId="0" applyFont="1" applyBorder="1" applyAlignment="1">
      <alignment horizontal="center" vertical="center"/>
    </xf>
    <xf numFmtId="3" fontId="16" fillId="0" borderId="16" xfId="2" applyNumberFormat="1" applyFont="1" applyFill="1" applyBorder="1" applyAlignment="1">
      <alignment vertical="center"/>
    </xf>
    <xf numFmtId="3" fontId="20" fillId="0" borderId="16" xfId="2" applyNumberFormat="1" applyFont="1" applyBorder="1" applyAlignment="1">
      <alignment horizontal="center" vertical="center"/>
    </xf>
    <xf numFmtId="3" fontId="12" fillId="0" borderId="16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6" xfId="2" applyNumberFormat="1" applyFont="1" applyBorder="1" applyAlignment="1">
      <alignment vertical="center"/>
    </xf>
    <xf numFmtId="3" fontId="65" fillId="0" borderId="26" xfId="2" applyNumberFormat="1" applyFont="1" applyFill="1" applyBorder="1" applyAlignment="1">
      <alignment vertical="center"/>
    </xf>
    <xf numFmtId="3" fontId="12" fillId="0" borderId="16" xfId="2" applyNumberFormat="1" applyFont="1" applyFill="1" applyBorder="1" applyAlignment="1"/>
    <xf numFmtId="3" fontId="65" fillId="0" borderId="16" xfId="2" applyNumberFormat="1" applyFont="1" applyFill="1" applyBorder="1" applyAlignment="1"/>
    <xf numFmtId="3" fontId="16" fillId="0" borderId="16" xfId="2" applyNumberFormat="1" applyFont="1" applyFill="1" applyBorder="1" applyAlignment="1"/>
    <xf numFmtId="3" fontId="11" fillId="0" borderId="16" xfId="2" applyNumberFormat="1" applyFont="1" applyFill="1" applyBorder="1" applyAlignment="1">
      <alignment wrapText="1"/>
    </xf>
    <xf numFmtId="3" fontId="16" fillId="0" borderId="16" xfId="2" applyNumberFormat="1" applyFont="1" applyFill="1" applyBorder="1" applyAlignment="1">
      <alignment horizontal="right" vertical="center"/>
    </xf>
    <xf numFmtId="3" fontId="16" fillId="0" borderId="26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19" fillId="0" borderId="16" xfId="2" applyFont="1" applyBorder="1" applyAlignment="1">
      <alignment horizontal="left" vertical="center" wrapText="1"/>
    </xf>
    <xf numFmtId="3" fontId="20" fillId="0" borderId="0" xfId="2" applyNumberFormat="1" applyFont="1" applyBorder="1"/>
    <xf numFmtId="3" fontId="16" fillId="0" borderId="0" xfId="2" applyNumberFormat="1" applyFont="1" applyBorder="1"/>
    <xf numFmtId="0" fontId="80" fillId="0" borderId="9" xfId="2" applyFont="1" applyBorder="1" applyAlignment="1">
      <alignment horizontal="center" vertical="center" wrapText="1"/>
    </xf>
    <xf numFmtId="3" fontId="19" fillId="0" borderId="9" xfId="2" applyNumberFormat="1" applyFont="1" applyBorder="1" applyAlignment="1">
      <alignment horizontal="center"/>
    </xf>
    <xf numFmtId="3" fontId="19" fillId="0" borderId="9" xfId="2" applyNumberFormat="1" applyFont="1" applyFill="1" applyBorder="1" applyAlignment="1">
      <alignment horizontal="center" vertical="center" wrapText="1"/>
    </xf>
    <xf numFmtId="49" fontId="19" fillId="0" borderId="16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50" xfId="2" applyNumberFormat="1" applyFont="1" applyFill="1" applyBorder="1" applyAlignment="1">
      <alignment horizontal="right" vertical="center" indent="5"/>
    </xf>
    <xf numFmtId="3" fontId="11" fillId="2" borderId="30" xfId="2" applyNumberFormat="1" applyFont="1" applyFill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3" fillId="0" borderId="0" xfId="2" applyNumberFormat="1" applyFont="1"/>
    <xf numFmtId="168" fontId="0" fillId="0" borderId="0" xfId="0" applyNumberFormat="1"/>
    <xf numFmtId="168" fontId="0" fillId="0" borderId="9" xfId="0" applyNumberFormat="1" applyBorder="1"/>
    <xf numFmtId="0" fontId="82" fillId="0" borderId="9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/>
    </xf>
    <xf numFmtId="0" fontId="82" fillId="0" borderId="9" xfId="0" applyFont="1" applyBorder="1" applyAlignment="1">
      <alignment vertical="center"/>
    </xf>
    <xf numFmtId="168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83" fillId="0" borderId="9" xfId="0" applyFont="1" applyBorder="1" applyAlignment="1">
      <alignment horizontal="center" vertical="center"/>
    </xf>
    <xf numFmtId="168" fontId="83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8" fontId="81" fillId="0" borderId="9" xfId="0" applyNumberFormat="1" applyFont="1" applyBorder="1" applyAlignment="1">
      <alignment vertical="center"/>
    </xf>
    <xf numFmtId="165" fontId="69" fillId="0" borderId="49" xfId="1" applyNumberFormat="1" applyFont="1" applyBorder="1"/>
    <xf numFmtId="0" fontId="70" fillId="0" borderId="9" xfId="0" applyFont="1" applyBorder="1" applyAlignment="1">
      <alignment horizontal="center" vertical="center"/>
    </xf>
    <xf numFmtId="165" fontId="69" fillId="0" borderId="25" xfId="1" applyNumberFormat="1" applyFont="1" applyBorder="1"/>
    <xf numFmtId="165" fontId="69" fillId="0" borderId="23" xfId="1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/>
    <xf numFmtId="0" fontId="63" fillId="0" borderId="0" xfId="0" applyFont="1" applyAlignment="1"/>
    <xf numFmtId="0" fontId="24" fillId="0" borderId="0" xfId="2" applyFont="1" applyBorder="1" applyAlignment="1">
      <alignment horizontal="center" vertical="center" wrapText="1"/>
    </xf>
    <xf numFmtId="3" fontId="20" fillId="0" borderId="52" xfId="2" applyNumberFormat="1" applyFont="1" applyBorder="1" applyAlignment="1">
      <alignment horizontal="right"/>
    </xf>
    <xf numFmtId="3" fontId="19" fillId="0" borderId="52" xfId="2" applyNumberFormat="1" applyFont="1" applyBorder="1" applyAlignment="1">
      <alignment horizontal="right"/>
    </xf>
    <xf numFmtId="0" fontId="1" fillId="0" borderId="0" xfId="2" applyBorder="1" applyAlignment="1">
      <alignment horizontal="right"/>
    </xf>
    <xf numFmtId="0" fontId="19" fillId="3" borderId="29" xfId="2" applyFont="1" applyFill="1" applyBorder="1" applyAlignment="1">
      <alignment horizontal="left" vertical="center" wrapText="1"/>
    </xf>
    <xf numFmtId="3" fontId="10" fillId="2" borderId="16" xfId="2" applyNumberFormat="1" applyFont="1" applyFill="1" applyBorder="1" applyAlignment="1">
      <alignment horizontal="right" vertical="center" indent="2"/>
    </xf>
    <xf numFmtId="49" fontId="19" fillId="0" borderId="26" xfId="2" applyNumberFormat="1" applyFont="1" applyBorder="1" applyAlignment="1">
      <alignment horizontal="left" vertical="center"/>
    </xf>
    <xf numFmtId="49" fontId="19" fillId="0" borderId="26" xfId="2" applyNumberFormat="1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 wrapText="1"/>
    </xf>
    <xf numFmtId="0" fontId="70" fillId="0" borderId="54" xfId="0" applyFont="1" applyBorder="1" applyAlignment="1">
      <alignment horizontal="center" vertical="center"/>
    </xf>
    <xf numFmtId="3" fontId="74" fillId="0" borderId="16" xfId="2" applyNumberFormat="1" applyFont="1" applyBorder="1" applyAlignment="1">
      <alignment horizontal="right" vertical="center" indent="1"/>
    </xf>
    <xf numFmtId="3" fontId="74" fillId="0" borderId="16" xfId="2" applyNumberFormat="1" applyFont="1" applyBorder="1" applyAlignment="1">
      <alignment horizontal="right" vertical="center" indent="2"/>
    </xf>
    <xf numFmtId="3" fontId="17" fillId="0" borderId="55" xfId="2" applyNumberFormat="1" applyFont="1" applyBorder="1" applyAlignment="1">
      <alignment horizontal="center" vertical="center" wrapText="1"/>
    </xf>
    <xf numFmtId="3" fontId="16" fillId="0" borderId="55" xfId="2" applyNumberFormat="1" applyFont="1" applyBorder="1" applyAlignment="1">
      <alignment horizontal="center" vertical="center" wrapText="1"/>
    </xf>
    <xf numFmtId="3" fontId="16" fillId="2" borderId="27" xfId="2" applyNumberFormat="1" applyFont="1" applyFill="1" applyBorder="1" applyAlignment="1">
      <alignment horizontal="center" vertical="center" wrapText="1"/>
    </xf>
    <xf numFmtId="3" fontId="10" fillId="2" borderId="30" xfId="2" applyNumberFormat="1" applyFont="1" applyFill="1" applyBorder="1" applyAlignment="1">
      <alignment horizontal="right" vertical="center" indent="5"/>
    </xf>
    <xf numFmtId="3" fontId="12" fillId="0" borderId="16" xfId="2" applyNumberFormat="1" applyFont="1" applyFill="1" applyBorder="1" applyAlignment="1">
      <alignment horizontal="center" vertical="center" wrapText="1"/>
    </xf>
    <xf numFmtId="3" fontId="12" fillId="0" borderId="0" xfId="2" quotePrefix="1" applyNumberFormat="1" applyFont="1" applyAlignment="1">
      <alignment horizontal="center"/>
    </xf>
    <xf numFmtId="0" fontId="42" fillId="0" borderId="16" xfId="2" applyFont="1" applyFill="1" applyBorder="1" applyAlignment="1">
      <alignment horizontal="center" vertical="center"/>
    </xf>
    <xf numFmtId="0" fontId="42" fillId="0" borderId="0" xfId="2" applyFont="1" applyFill="1"/>
    <xf numFmtId="0" fontId="42" fillId="0" borderId="9" xfId="2" applyFont="1" applyFill="1" applyBorder="1" applyAlignment="1">
      <alignment horizontal="left"/>
    </xf>
    <xf numFmtId="3" fontId="42" fillId="0" borderId="25" xfId="2" applyNumberFormat="1" applyFont="1" applyFill="1" applyBorder="1" applyAlignment="1">
      <alignment horizontal="right" indent="1"/>
    </xf>
    <xf numFmtId="3" fontId="42" fillId="0" borderId="9" xfId="2" applyNumberFormat="1" applyFont="1" applyFill="1" applyBorder="1" applyAlignment="1">
      <alignment horizontal="right" indent="1"/>
    </xf>
    <xf numFmtId="0" fontId="21" fillId="2" borderId="9" xfId="2" applyFont="1" applyFill="1" applyBorder="1" applyAlignment="1">
      <alignment horizontal="left"/>
    </xf>
    <xf numFmtId="3" fontId="21" fillId="2" borderId="9" xfId="2" applyNumberFormat="1" applyFont="1" applyFill="1" applyBorder="1" applyAlignment="1">
      <alignment horizontal="right" indent="1"/>
    </xf>
    <xf numFmtId="3" fontId="21" fillId="0" borderId="0" xfId="2" applyNumberFormat="1" applyFont="1" applyFill="1"/>
    <xf numFmtId="0" fontId="21" fillId="2" borderId="9" xfId="2" applyFont="1" applyFill="1" applyBorder="1"/>
    <xf numFmtId="3" fontId="42" fillId="0" borderId="0" xfId="2" applyNumberFormat="1" applyFont="1" applyFill="1"/>
    <xf numFmtId="0" fontId="16" fillId="0" borderId="0" xfId="2" applyFont="1" applyFill="1" applyAlignment="1">
      <alignment vertical="center" wrapText="1"/>
    </xf>
    <xf numFmtId="0" fontId="42" fillId="0" borderId="9" xfId="2" applyFont="1" applyFill="1" applyBorder="1" applyAlignment="1">
      <alignment horizontal="left" vertical="center" wrapText="1"/>
    </xf>
    <xf numFmtId="3" fontId="42" fillId="0" borderId="9" xfId="2" applyNumberFormat="1" applyFont="1" applyFill="1" applyBorder="1" applyAlignment="1">
      <alignment horizontal="right" vertical="center" wrapText="1"/>
    </xf>
    <xf numFmtId="0" fontId="21" fillId="0" borderId="0" xfId="2" applyFont="1" applyFill="1" applyAlignment="1">
      <alignment vertical="center" wrapText="1"/>
    </xf>
    <xf numFmtId="3" fontId="21" fillId="0" borderId="0" xfId="2" applyNumberFormat="1" applyFont="1" applyFill="1" applyAlignment="1">
      <alignment vertical="center" wrapText="1"/>
    </xf>
    <xf numFmtId="0" fontId="19" fillId="3" borderId="9" xfId="2" applyFont="1" applyFill="1" applyBorder="1" applyAlignment="1">
      <alignment horizontal="center"/>
    </xf>
    <xf numFmtId="0" fontId="19" fillId="0" borderId="9" xfId="2" applyFont="1" applyFill="1" applyBorder="1" applyAlignment="1">
      <alignment wrapText="1"/>
    </xf>
    <xf numFmtId="0" fontId="19" fillId="0" borderId="9" xfId="2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/>
    </xf>
    <xf numFmtId="0" fontId="21" fillId="0" borderId="0" xfId="2" applyFont="1" applyBorder="1" applyAlignment="1">
      <alignment horizontal="center" vertical="center" wrapText="1"/>
    </xf>
    <xf numFmtId="0" fontId="19" fillId="0" borderId="0" xfId="2" applyFont="1" applyBorder="1"/>
    <xf numFmtId="0" fontId="19" fillId="0" borderId="0" xfId="2" applyFont="1" applyBorder="1" applyAlignment="1">
      <alignment horizontal="center"/>
    </xf>
    <xf numFmtId="0" fontId="68" fillId="0" borderId="0" xfId="2" applyFont="1" applyBorder="1"/>
    <xf numFmtId="0" fontId="68" fillId="0" borderId="0" xfId="2" applyFont="1" applyBorder="1" applyAlignment="1">
      <alignment horizontal="center"/>
    </xf>
    <xf numFmtId="3" fontId="68" fillId="0" borderId="0" xfId="2" applyNumberFormat="1" applyFont="1" applyBorder="1"/>
    <xf numFmtId="0" fontId="68" fillId="0" borderId="52" xfId="2" applyFont="1" applyBorder="1"/>
    <xf numFmtId="0" fontId="68" fillId="0" borderId="52" xfId="2" applyFont="1" applyBorder="1" applyAlignment="1">
      <alignment horizontal="center"/>
    </xf>
    <xf numFmtId="3" fontId="68" fillId="0" borderId="52" xfId="2" applyNumberFormat="1" applyFont="1" applyBorder="1"/>
    <xf numFmtId="0" fontId="81" fillId="0" borderId="0" xfId="0" applyFont="1" applyBorder="1" applyAlignment="1">
      <alignment horizontal="center" vertical="center"/>
    </xf>
    <xf numFmtId="168" fontId="0" fillId="0" borderId="0" xfId="0" applyNumberFormat="1" applyBorder="1" applyAlignment="1">
      <alignment vertical="center"/>
    </xf>
    <xf numFmtId="168" fontId="0" fillId="0" borderId="0" xfId="0" applyNumberFormat="1" applyBorder="1"/>
    <xf numFmtId="168" fontId="83" fillId="0" borderId="0" xfId="0" applyNumberFormat="1" applyFont="1" applyBorder="1" applyAlignment="1">
      <alignment horizontal="center" vertical="center"/>
    </xf>
    <xf numFmtId="0" fontId="10" fillId="0" borderId="16" xfId="3" applyFont="1" applyFill="1" applyBorder="1" applyAlignment="1">
      <alignment vertical="center"/>
    </xf>
    <xf numFmtId="0" fontId="70" fillId="0" borderId="10" xfId="0" applyFont="1" applyBorder="1" applyAlignment="1"/>
    <xf numFmtId="0" fontId="21" fillId="0" borderId="9" xfId="2" applyFont="1" applyFill="1" applyBorder="1" applyAlignment="1">
      <alignment horizontal="center" vertical="center" wrapText="1"/>
    </xf>
    <xf numFmtId="3" fontId="1" fillId="0" borderId="0" xfId="2" applyNumberFormat="1" applyFont="1"/>
    <xf numFmtId="0" fontId="1" fillId="0" borderId="0" xfId="2" applyFont="1"/>
    <xf numFmtId="49" fontId="19" fillId="0" borderId="28" xfId="2" applyNumberFormat="1" applyFont="1" applyBorder="1" applyAlignment="1">
      <alignment vertical="center"/>
    </xf>
    <xf numFmtId="49" fontId="19" fillId="0" borderId="56" xfId="2" applyNumberFormat="1" applyFont="1" applyBorder="1" applyAlignment="1">
      <alignment vertical="center"/>
    </xf>
    <xf numFmtId="49" fontId="19" fillId="0" borderId="16" xfId="2" applyNumberFormat="1" applyFont="1" applyFill="1" applyBorder="1" applyAlignment="1">
      <alignment vertical="center"/>
    </xf>
    <xf numFmtId="164" fontId="1" fillId="0" borderId="0" xfId="1" applyFont="1"/>
    <xf numFmtId="164" fontId="1" fillId="0" borderId="0" xfId="2" applyNumberFormat="1"/>
    <xf numFmtId="3" fontId="6" fillId="0" borderId="0" xfId="2" applyNumberFormat="1" applyFont="1" applyFill="1" applyBorder="1" applyAlignment="1">
      <alignment horizontal="right" vertical="center" indent="2"/>
    </xf>
    <xf numFmtId="3" fontId="19" fillId="0" borderId="9" xfId="2" applyNumberFormat="1" applyFont="1" applyFill="1" applyBorder="1"/>
    <xf numFmtId="0" fontId="19" fillId="0" borderId="10" xfId="2" quotePrefix="1" applyFont="1" applyBorder="1" applyAlignment="1">
      <alignment horizontal="center"/>
    </xf>
    <xf numFmtId="3" fontId="21" fillId="2" borderId="9" xfId="2" applyNumberFormat="1" applyFont="1" applyFill="1" applyBorder="1" applyAlignment="1">
      <alignment horizontal="center" vertical="center"/>
    </xf>
    <xf numFmtId="168" fontId="0" fillId="0" borderId="0" xfId="0" applyNumberFormat="1" applyFill="1" applyBorder="1"/>
    <xf numFmtId="0" fontId="0" fillId="0" borderId="0" xfId="0" applyFill="1"/>
    <xf numFmtId="3" fontId="19" fillId="0" borderId="9" xfId="2" applyNumberFormat="1" applyFont="1" applyFill="1" applyBorder="1" applyAlignment="1">
      <alignment horizontal="right"/>
    </xf>
    <xf numFmtId="0" fontId="66" fillId="0" borderId="0" xfId="2" applyFont="1" applyAlignment="1">
      <alignment vertical="center"/>
    </xf>
    <xf numFmtId="0" fontId="62" fillId="0" borderId="0" xfId="0" applyFont="1" applyAlignment="1">
      <alignment wrapText="1"/>
    </xf>
    <xf numFmtId="0" fontId="24" fillId="0" borderId="0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3" fontId="16" fillId="2" borderId="27" xfId="2" applyNumberFormat="1" applyFont="1" applyFill="1" applyBorder="1" applyAlignment="1">
      <alignment horizontal="center" vertical="center" wrapText="1"/>
    </xf>
    <xf numFmtId="3" fontId="16" fillId="0" borderId="8" xfId="2" applyNumberFormat="1" applyFont="1" applyBorder="1" applyAlignment="1">
      <alignment horizontal="center" vertical="center" wrapText="1"/>
    </xf>
    <xf numFmtId="0" fontId="1" fillId="0" borderId="16" xfId="2" applyBorder="1"/>
    <xf numFmtId="165" fontId="16" fillId="6" borderId="0" xfId="1" applyNumberFormat="1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 wrapText="1"/>
    </xf>
    <xf numFmtId="0" fontId="10" fillId="0" borderId="29" xfId="3" applyFont="1" applyFill="1" applyBorder="1" applyAlignment="1">
      <alignment vertical="center"/>
    </xf>
    <xf numFmtId="3" fontId="19" fillId="0" borderId="9" xfId="2" applyNumberFormat="1" applyFont="1" applyBorder="1" applyAlignment="1">
      <alignment horizontal="center" vertical="center"/>
    </xf>
    <xf numFmtId="0" fontId="10" fillId="2" borderId="9" xfId="2" applyFont="1" applyFill="1" applyBorder="1" applyAlignment="1">
      <alignment horizontal="center" wrapText="1"/>
    </xf>
    <xf numFmtId="3" fontId="1" fillId="0" borderId="0" xfId="2" quotePrefix="1" applyNumberFormat="1"/>
    <xf numFmtId="0" fontId="10" fillId="0" borderId="0" xfId="3" applyFont="1" applyFill="1" applyBorder="1" applyAlignment="1">
      <alignment vertical="center"/>
    </xf>
    <xf numFmtId="49" fontId="19" fillId="0" borderId="27" xfId="2" applyNumberFormat="1" applyFont="1" applyBorder="1" applyAlignment="1">
      <alignment vertical="center"/>
    </xf>
    <xf numFmtId="0" fontId="86" fillId="0" borderId="0" xfId="2" applyFont="1" applyAlignment="1">
      <alignment horizontal="center" vertical="center"/>
    </xf>
    <xf numFmtId="0" fontId="86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3" fontId="19" fillId="0" borderId="0" xfId="2" applyNumberFormat="1" applyFont="1" applyAlignment="1">
      <alignment horizontal="right" vertical="center"/>
    </xf>
    <xf numFmtId="3" fontId="19" fillId="0" borderId="0" xfId="2" applyNumberFormat="1" applyFont="1" applyFill="1" applyAlignment="1">
      <alignment horizontal="right" vertical="center"/>
    </xf>
    <xf numFmtId="3" fontId="10" fillId="0" borderId="0" xfId="2" applyNumberFormat="1" applyFont="1" applyAlignment="1">
      <alignment horizontal="right" vertical="center"/>
    </xf>
    <xf numFmtId="3" fontId="10" fillId="0" borderId="0" xfId="2" applyNumberFormat="1" applyFont="1" applyAlignment="1">
      <alignment horizontal="center" vertical="center"/>
    </xf>
    <xf numFmtId="3" fontId="10" fillId="0" borderId="42" xfId="2" applyNumberFormat="1" applyFont="1" applyBorder="1" applyAlignment="1">
      <alignment horizontal="center" vertical="center"/>
    </xf>
    <xf numFmtId="3" fontId="10" fillId="0" borderId="42" xfId="2" applyNumberFormat="1" applyFont="1" applyFill="1" applyBorder="1" applyAlignment="1">
      <alignment horizontal="center" vertical="center"/>
    </xf>
    <xf numFmtId="3" fontId="16" fillId="0" borderId="26" xfId="2" applyNumberFormat="1" applyFont="1" applyFill="1" applyBorder="1" applyAlignment="1">
      <alignment horizontal="center" vertical="center" wrapText="1"/>
    </xf>
    <xf numFmtId="49" fontId="19" fillId="0" borderId="26" xfId="2" applyNumberFormat="1" applyFont="1" applyBorder="1" applyAlignment="1">
      <alignment vertical="center"/>
    </xf>
    <xf numFmtId="0" fontId="19" fillId="0" borderId="29" xfId="2" applyFont="1" applyBorder="1" applyAlignment="1">
      <alignment vertical="center" wrapText="1"/>
    </xf>
    <xf numFmtId="0" fontId="19" fillId="0" borderId="29" xfId="2" applyFont="1" applyBorder="1" applyAlignment="1">
      <alignment vertical="center"/>
    </xf>
    <xf numFmtId="0" fontId="1" fillId="0" borderId="0" xfId="2" applyFont="1" applyFill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2" applyFont="1" applyAlignment="1">
      <alignment horizontal="center" vertical="center"/>
    </xf>
    <xf numFmtId="0" fontId="20" fillId="0" borderId="8" xfId="2" applyFont="1" applyBorder="1" applyAlignment="1">
      <alignment horizontal="left" vertical="center"/>
    </xf>
    <xf numFmtId="3" fontId="12" fillId="0" borderId="57" xfId="2" applyNumberFormat="1" applyFont="1" applyFill="1" applyBorder="1" applyAlignment="1">
      <alignment horizontal="right" vertical="center" indent="4"/>
    </xf>
    <xf numFmtId="0" fontId="20" fillId="0" borderId="0" xfId="2" applyFont="1" applyBorder="1" applyAlignment="1">
      <alignment horizontal="center" vertical="center"/>
    </xf>
    <xf numFmtId="0" fontId="6" fillId="0" borderId="4" xfId="2" applyFont="1" applyBorder="1" applyAlignment="1">
      <alignment wrapText="1"/>
    </xf>
    <xf numFmtId="3" fontId="1" fillId="9" borderId="0" xfId="2" applyNumberFormat="1" applyFill="1"/>
    <xf numFmtId="0" fontId="20" fillId="9" borderId="0" xfId="2" applyFont="1" applyFill="1"/>
    <xf numFmtId="3" fontId="19" fillId="0" borderId="9" xfId="2" applyNumberFormat="1" applyFont="1" applyFill="1" applyBorder="1" applyAlignment="1">
      <alignment horizontal="right" indent="1"/>
    </xf>
    <xf numFmtId="0" fontId="20" fillId="7" borderId="0" xfId="2" applyFont="1" applyFill="1"/>
    <xf numFmtId="0" fontId="20" fillId="6" borderId="0" xfId="2" applyFont="1" applyFill="1"/>
    <xf numFmtId="0" fontId="1" fillId="6" borderId="0" xfId="2" applyFill="1" applyAlignment="1">
      <alignment vertical="center"/>
    </xf>
    <xf numFmtId="0" fontId="1" fillId="10" borderId="0" xfId="2" applyFill="1" applyAlignment="1">
      <alignment vertical="center"/>
    </xf>
    <xf numFmtId="0" fontId="1" fillId="7" borderId="0" xfId="2" applyFill="1" applyAlignment="1">
      <alignment vertical="center"/>
    </xf>
    <xf numFmtId="0" fontId="18" fillId="0" borderId="16" xfId="2" applyFont="1" applyBorder="1" applyAlignment="1">
      <alignment horizontal="center" vertical="center"/>
    </xf>
    <xf numFmtId="49" fontId="19" fillId="3" borderId="16" xfId="2" quotePrefix="1" applyNumberFormat="1" applyFont="1" applyFill="1" applyBorder="1" applyAlignment="1">
      <alignment horizontal="left" vertical="center"/>
    </xf>
    <xf numFmtId="3" fontId="87" fillId="2" borderId="16" xfId="2" applyNumberFormat="1" applyFont="1" applyFill="1" applyBorder="1" applyAlignment="1">
      <alignment horizontal="right" vertical="center" indent="1"/>
    </xf>
    <xf numFmtId="49" fontId="88" fillId="3" borderId="16" xfId="2" applyNumberFormat="1" applyFont="1" applyFill="1" applyBorder="1" applyAlignment="1">
      <alignment horizontal="left" vertical="center"/>
    </xf>
    <xf numFmtId="0" fontId="88" fillId="3" borderId="29" xfId="2" applyFont="1" applyFill="1" applyBorder="1" applyAlignment="1">
      <alignment horizontal="left" vertical="center"/>
    </xf>
    <xf numFmtId="3" fontId="88" fillId="3" borderId="16" xfId="2" applyNumberFormat="1" applyFont="1" applyFill="1" applyBorder="1" applyAlignment="1">
      <alignment horizontal="right" vertical="center" indent="1"/>
    </xf>
    <xf numFmtId="3" fontId="88" fillId="3" borderId="16" xfId="2" applyNumberFormat="1" applyFont="1" applyFill="1" applyBorder="1" applyAlignment="1">
      <alignment horizontal="right" vertical="center" indent="2"/>
    </xf>
    <xf numFmtId="3" fontId="88" fillId="0" borderId="16" xfId="2" applyNumberFormat="1" applyFont="1" applyBorder="1" applyAlignment="1">
      <alignment horizontal="right" vertical="center" indent="1"/>
    </xf>
    <xf numFmtId="3" fontId="87" fillId="3" borderId="16" xfId="2" applyNumberFormat="1" applyFont="1" applyFill="1" applyBorder="1" applyAlignment="1">
      <alignment horizontal="center" vertical="center"/>
    </xf>
    <xf numFmtId="0" fontId="89" fillId="0" borderId="0" xfId="2" applyFont="1"/>
    <xf numFmtId="3" fontId="19" fillId="0" borderId="16" xfId="2" applyNumberFormat="1" applyFont="1" applyFill="1" applyBorder="1" applyAlignment="1">
      <alignment horizontal="right" vertical="center" indent="1"/>
    </xf>
    <xf numFmtId="0" fontId="19" fillId="0" borderId="16" xfId="2" applyFont="1" applyBorder="1" applyAlignment="1">
      <alignment vertical="center" wrapText="1"/>
    </xf>
    <xf numFmtId="49" fontId="19" fillId="4" borderId="16" xfId="2" applyNumberFormat="1" applyFont="1" applyFill="1" applyBorder="1" applyAlignment="1">
      <alignment vertical="center"/>
    </xf>
    <xf numFmtId="0" fontId="19" fillId="4" borderId="16" xfId="2" applyFont="1" applyFill="1" applyBorder="1" applyAlignment="1">
      <alignment vertical="center"/>
    </xf>
    <xf numFmtId="3" fontId="19" fillId="4" borderId="16" xfId="2" applyNumberFormat="1" applyFont="1" applyFill="1" applyBorder="1" applyAlignment="1">
      <alignment horizontal="right" vertical="center" indent="2"/>
    </xf>
    <xf numFmtId="3" fontId="19" fillId="4" borderId="16" xfId="2" applyNumberFormat="1" applyFont="1" applyFill="1" applyBorder="1" applyAlignment="1">
      <alignment horizontal="center"/>
    </xf>
    <xf numFmtId="0" fontId="1" fillId="4" borderId="0" xfId="2" applyFont="1" applyFill="1"/>
    <xf numFmtId="0" fontId="19" fillId="4" borderId="16" xfId="2" applyFont="1" applyFill="1" applyBorder="1" applyAlignment="1">
      <alignment vertical="center" wrapText="1"/>
    </xf>
    <xf numFmtId="3" fontId="19" fillId="4" borderId="16" xfId="2" applyNumberFormat="1" applyFont="1" applyFill="1" applyBorder="1" applyAlignment="1">
      <alignment horizontal="left" vertical="center" wrapText="1" indent="2"/>
    </xf>
    <xf numFmtId="3" fontId="19" fillId="0" borderId="16" xfId="2" applyNumberFormat="1" applyFont="1" applyBorder="1" applyAlignment="1">
      <alignment horizontal="left" vertical="center" indent="2"/>
    </xf>
    <xf numFmtId="0" fontId="19" fillId="0" borderId="16" xfId="2" applyFont="1" applyFill="1" applyBorder="1" applyAlignment="1">
      <alignment vertical="center" wrapText="1"/>
    </xf>
    <xf numFmtId="3" fontId="19" fillId="0" borderId="16" xfId="2" applyNumberFormat="1" applyFont="1" applyFill="1" applyBorder="1" applyAlignment="1">
      <alignment horizontal="right" vertical="center" indent="2"/>
    </xf>
    <xf numFmtId="0" fontId="19" fillId="0" borderId="16" xfId="2" applyFont="1" applyFill="1" applyBorder="1" applyAlignment="1">
      <alignment vertical="center"/>
    </xf>
    <xf numFmtId="3" fontId="90" fillId="0" borderId="49" xfId="2" applyNumberFormat="1" applyFont="1" applyBorder="1" applyAlignment="1">
      <alignment horizontal="right" vertical="center" indent="5"/>
    </xf>
    <xf numFmtId="3" fontId="1" fillId="6" borderId="0" xfId="2" applyNumberFormat="1" applyFill="1"/>
    <xf numFmtId="0" fontId="20" fillId="11" borderId="0" xfId="2" applyFont="1" applyFill="1"/>
    <xf numFmtId="0" fontId="20" fillId="8" borderId="0" xfId="2" applyFont="1" applyFill="1"/>
    <xf numFmtId="0" fontId="20" fillId="10" borderId="0" xfId="2" applyFont="1" applyFill="1"/>
    <xf numFmtId="0" fontId="20" fillId="12" borderId="0" xfId="2" applyFont="1" applyFill="1"/>
    <xf numFmtId="0" fontId="20" fillId="13" borderId="0" xfId="2" applyFont="1" applyFill="1"/>
    <xf numFmtId="0" fontId="19" fillId="0" borderId="9" xfId="2" quotePrefix="1" applyFont="1" applyFill="1" applyBorder="1" applyAlignment="1">
      <alignment wrapText="1"/>
    </xf>
    <xf numFmtId="0" fontId="19" fillId="0" borderId="9" xfId="2" quotePrefix="1" applyFont="1" applyFill="1" applyBorder="1"/>
    <xf numFmtId="0" fontId="20" fillId="14" borderId="0" xfId="2" applyFont="1" applyFill="1"/>
    <xf numFmtId="0" fontId="20" fillId="15" borderId="0" xfId="2" applyFont="1" applyFill="1"/>
    <xf numFmtId="0" fontId="10" fillId="0" borderId="9" xfId="2" applyFont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5" fillId="0" borderId="44" xfId="2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6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1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 wrapText="1"/>
    </xf>
    <xf numFmtId="3" fontId="20" fillId="0" borderId="8" xfId="2" applyNumberFormat="1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3" fontId="1" fillId="7" borderId="8" xfId="2" applyNumberForma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65" fontId="16" fillId="6" borderId="8" xfId="1" applyNumberFormat="1" applyFont="1" applyFill="1" applyBorder="1" applyAlignment="1">
      <alignment horizontal="center" vertical="center" wrapText="1"/>
    </xf>
    <xf numFmtId="0" fontId="7" fillId="0" borderId="6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11" fillId="0" borderId="55" xfId="2" applyFont="1" applyFill="1" applyBorder="1" applyAlignment="1">
      <alignment horizontal="center" vertical="center"/>
    </xf>
    <xf numFmtId="0" fontId="11" fillId="0" borderId="52" xfId="2" applyFont="1" applyFill="1" applyBorder="1" applyAlignment="1">
      <alignment horizontal="center" vertical="center"/>
    </xf>
    <xf numFmtId="3" fontId="11" fillId="0" borderId="26" xfId="2" applyNumberFormat="1" applyFont="1" applyFill="1" applyBorder="1" applyAlignment="1">
      <alignment horizontal="center" vertical="center" wrapText="1"/>
    </xf>
    <xf numFmtId="3" fontId="11" fillId="0" borderId="29" xfId="2" applyNumberFormat="1" applyFont="1" applyFill="1" applyBorder="1" applyAlignment="1">
      <alignment horizontal="center" vertical="center" wrapText="1"/>
    </xf>
    <xf numFmtId="3" fontId="64" fillId="0" borderId="26" xfId="2" applyNumberFormat="1" applyFont="1" applyFill="1" applyBorder="1" applyAlignment="1">
      <alignment horizontal="center" vertical="center" wrapText="1"/>
    </xf>
    <xf numFmtId="3" fontId="64" fillId="0" borderId="29" xfId="2" applyNumberFormat="1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3" fontId="16" fillId="0" borderId="15" xfId="2" applyNumberFormat="1" applyFont="1" applyBorder="1" applyAlignment="1">
      <alignment horizontal="center" vertical="center" wrapText="1"/>
    </xf>
    <xf numFmtId="3" fontId="16" fillId="0" borderId="28" xfId="2" applyNumberFormat="1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90"/>
    </xf>
    <xf numFmtId="0" fontId="16" fillId="0" borderId="28" xfId="2" applyFont="1" applyBorder="1" applyAlignment="1">
      <alignment horizontal="center" vertical="center" textRotation="90"/>
    </xf>
    <xf numFmtId="0" fontId="16" fillId="0" borderId="43" xfId="2" applyFont="1" applyBorder="1" applyAlignment="1">
      <alignment horizontal="center" vertical="center"/>
    </xf>
    <xf numFmtId="0" fontId="16" fillId="0" borderId="53" xfId="2" applyFont="1" applyBorder="1" applyAlignment="1">
      <alignment horizontal="center" vertical="center"/>
    </xf>
    <xf numFmtId="3" fontId="10" fillId="0" borderId="42" xfId="2" applyNumberFormat="1" applyFont="1" applyBorder="1" applyAlignment="1">
      <alignment horizontal="center" vertical="center"/>
    </xf>
    <xf numFmtId="3" fontId="16" fillId="8" borderId="15" xfId="2" applyNumberFormat="1" applyFont="1" applyFill="1" applyBorder="1" applyAlignment="1">
      <alignment horizontal="center" vertical="center" wrapText="1"/>
    </xf>
    <xf numFmtId="3" fontId="16" fillId="8" borderId="28" xfId="2" applyNumberFormat="1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left" vertical="center"/>
    </xf>
    <xf numFmtId="0" fontId="18" fillId="0" borderId="16" xfId="2" applyFont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0" fontId="18" fillId="3" borderId="15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0" fontId="66" fillId="0" borderId="0" xfId="2" applyFont="1" applyAlignment="1">
      <alignment horizontal="center" vertical="center"/>
    </xf>
    <xf numFmtId="3" fontId="17" fillId="0" borderId="26" xfId="2" applyNumberFormat="1" applyFont="1" applyBorder="1" applyAlignment="1">
      <alignment horizontal="center" vertical="center" wrapText="1"/>
    </xf>
    <xf numFmtId="3" fontId="17" fillId="0" borderId="35" xfId="2" applyNumberFormat="1" applyFont="1" applyBorder="1" applyAlignment="1">
      <alignment horizontal="center" vertical="center" wrapText="1"/>
    </xf>
    <xf numFmtId="3" fontId="17" fillId="0" borderId="29" xfId="2" applyNumberFormat="1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textRotation="90"/>
    </xf>
    <xf numFmtId="0" fontId="17" fillId="0" borderId="28" xfId="2" applyFont="1" applyBorder="1" applyAlignment="1">
      <alignment horizontal="center" vertical="center" textRotation="90"/>
    </xf>
    <xf numFmtId="0" fontId="17" fillId="0" borderId="42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21" fillId="0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2" borderId="10" xfId="2" applyFont="1" applyFill="1" applyBorder="1" applyAlignment="1">
      <alignment horizontal="left" vertical="center"/>
    </xf>
    <xf numFmtId="0" fontId="21" fillId="2" borderId="18" xfId="2" applyFont="1" applyFill="1" applyBorder="1" applyAlignment="1">
      <alignment horizontal="left" vertical="center"/>
    </xf>
    <xf numFmtId="0" fontId="21" fillId="2" borderId="11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19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0" borderId="58" xfId="2" applyFont="1" applyFill="1" applyBorder="1" applyAlignment="1">
      <alignment horizontal="center" vertical="center" wrapText="1"/>
    </xf>
    <xf numFmtId="0" fontId="21" fillId="0" borderId="59" xfId="2" applyFont="1" applyFill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28" xfId="2" applyFont="1" applyBorder="1" applyAlignment="1">
      <alignment horizontal="center" vertical="center"/>
    </xf>
    <xf numFmtId="0" fontId="67" fillId="0" borderId="15" xfId="2" applyFont="1" applyBorder="1" applyAlignment="1">
      <alignment horizontal="center" vertical="center"/>
    </xf>
    <xf numFmtId="0" fontId="67" fillId="0" borderId="28" xfId="2" applyFont="1" applyBorder="1" applyAlignment="1">
      <alignment horizontal="center" vertical="center"/>
    </xf>
    <xf numFmtId="0" fontId="57" fillId="0" borderId="0" xfId="2" applyFont="1" applyAlignment="1">
      <alignment horizontal="center" wrapText="1"/>
    </xf>
    <xf numFmtId="0" fontId="82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10" fillId="0" borderId="8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3" applyFont="1" applyFill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41" fillId="0" borderId="0" xfId="0" applyFont="1" applyAlignment="1">
      <alignment horizontal="center" wrapText="1"/>
    </xf>
    <xf numFmtId="0" fontId="21" fillId="3" borderId="0" xfId="2" applyFont="1" applyFill="1" applyAlignment="1">
      <alignment horizontal="center"/>
    </xf>
    <xf numFmtId="0" fontId="43" fillId="0" borderId="0" xfId="2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70" fillId="0" borderId="40" xfId="0" applyFont="1" applyBorder="1" applyAlignment="1">
      <alignment horizontal="center" vertical="center"/>
    </xf>
    <xf numFmtId="0" fontId="70" fillId="0" borderId="31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Ezres" xfId="1" builtinId="3"/>
    <cellStyle name="Normál" xfId="0" builtinId="0"/>
    <cellStyle name="Normál 2" xfId="2" xr:uid="{00000000-0005-0000-0000-000002000000}"/>
    <cellStyle name="Normál_Munkafüzet1" xfId="3" xr:uid="{00000000-0005-0000-0000-000003000000}"/>
    <cellStyle name="Százalék" xfId="4" builtinId="5"/>
    <cellStyle name="Százalék 2" xfId="5" xr:uid="{00000000-0005-0000-0000-000005000000}"/>
  </cellStyles>
  <dxfs count="0"/>
  <tableStyles count="0" defaultTableStyle="TableStyleMedium2" defaultPivotStyle="PivotStyleLight16"/>
  <colors>
    <mruColors>
      <color rgb="FFFF99FF"/>
      <color rgb="FF660066"/>
      <color rgb="FF996633"/>
      <color rgb="FF9933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view="pageBreakPreview" zoomScale="60" zoomScaleNormal="130" workbookViewId="0">
      <selection activeCell="D14" sqref="D14"/>
    </sheetView>
  </sheetViews>
  <sheetFormatPr defaultRowHeight="15.75" x14ac:dyDescent="0.2"/>
  <cols>
    <col min="1" max="1" width="7.85546875" style="86" customWidth="1"/>
    <col min="2" max="2" width="8.42578125" style="78" customWidth="1"/>
    <col min="3" max="3" width="42.42578125" style="103" bestFit="1" customWidth="1"/>
    <col min="4" max="4" width="12.140625" style="86" customWidth="1"/>
    <col min="5" max="5" width="9.140625" style="86"/>
    <col min="6" max="6" width="12.7109375" style="87" customWidth="1"/>
    <col min="7" max="16384" width="9.140625" style="87"/>
  </cols>
  <sheetData>
    <row r="1" spans="1:10" ht="23.25" customHeight="1" x14ac:dyDescent="0.2">
      <c r="A1" s="656" t="s">
        <v>519</v>
      </c>
      <c r="B1" s="656"/>
      <c r="C1" s="656"/>
      <c r="D1" s="656"/>
      <c r="E1" s="656"/>
      <c r="J1" s="92"/>
    </row>
    <row r="2" spans="1:10" ht="23.25" customHeight="1" x14ac:dyDescent="0.2">
      <c r="A2" s="35"/>
      <c r="B2" s="35"/>
      <c r="C2" s="35"/>
      <c r="D2" s="35"/>
      <c r="E2" s="35"/>
      <c r="F2" s="196"/>
      <c r="J2" s="92"/>
    </row>
    <row r="3" spans="1:10" ht="31.5" customHeight="1" x14ac:dyDescent="0.2">
      <c r="A3" s="657" t="s">
        <v>188</v>
      </c>
      <c r="B3" s="657"/>
      <c r="C3" s="657"/>
      <c r="D3" s="657"/>
      <c r="E3" s="657"/>
      <c r="F3" s="143"/>
      <c r="G3" s="143"/>
    </row>
    <row r="4" spans="1:10" x14ac:dyDescent="0.2">
      <c r="B4" s="197"/>
      <c r="C4" s="198"/>
      <c r="D4" s="170"/>
      <c r="E4" s="170"/>
    </row>
    <row r="5" spans="1:10" ht="27.75" customHeight="1" thickBot="1" x14ac:dyDescent="0.25">
      <c r="B5" s="197"/>
      <c r="C5" s="198"/>
      <c r="D5" s="170"/>
      <c r="E5" s="170"/>
    </row>
    <row r="6" spans="1:10" ht="72" customHeight="1" thickBot="1" x14ac:dyDescent="0.25">
      <c r="B6" s="235" t="s">
        <v>212</v>
      </c>
      <c r="C6" s="658" t="s">
        <v>213</v>
      </c>
      <c r="D6" s="658"/>
      <c r="E6" s="170"/>
    </row>
    <row r="7" spans="1:10" ht="30" customHeight="1" x14ac:dyDescent="0.2">
      <c r="B7" s="236" t="s">
        <v>38</v>
      </c>
      <c r="C7" s="659" t="s">
        <v>189</v>
      </c>
      <c r="D7" s="660"/>
      <c r="E7" s="199"/>
    </row>
    <row r="8" spans="1:10" ht="30" customHeight="1" x14ac:dyDescent="0.2">
      <c r="B8" s="237" t="s">
        <v>39</v>
      </c>
      <c r="C8" s="661" t="s">
        <v>235</v>
      </c>
      <c r="D8" s="662"/>
      <c r="E8" s="199"/>
    </row>
    <row r="9" spans="1:10" ht="30" customHeight="1" x14ac:dyDescent="0.2">
      <c r="B9" s="237" t="s">
        <v>41</v>
      </c>
      <c r="C9" s="663" t="s">
        <v>236</v>
      </c>
      <c r="D9" s="664"/>
      <c r="E9" s="74"/>
    </row>
    <row r="10" spans="1:10" ht="30" customHeight="1" x14ac:dyDescent="0.2">
      <c r="B10" s="237" t="s">
        <v>43</v>
      </c>
      <c r="C10" s="652" t="s">
        <v>215</v>
      </c>
      <c r="D10" s="653"/>
      <c r="E10" s="200"/>
    </row>
    <row r="11" spans="1:10" ht="30" customHeight="1" thickBot="1" x14ac:dyDescent="0.25">
      <c r="B11" s="238" t="s">
        <v>210</v>
      </c>
      <c r="C11" s="654" t="s">
        <v>219</v>
      </c>
      <c r="D11" s="655"/>
      <c r="E11" s="199"/>
    </row>
    <row r="12" spans="1:10" ht="30" customHeight="1" x14ac:dyDescent="0.2">
      <c r="B12" s="197"/>
      <c r="C12" s="201"/>
      <c r="D12" s="199"/>
      <c r="E12" s="199"/>
    </row>
    <row r="13" spans="1:10" ht="30" customHeight="1" x14ac:dyDescent="0.2">
      <c r="B13" s="170"/>
      <c r="C13" s="170"/>
      <c r="D13" s="87"/>
      <c r="E13" s="87"/>
    </row>
    <row r="14" spans="1:10" ht="30" customHeight="1" x14ac:dyDescent="0.2">
      <c r="B14" s="170"/>
      <c r="C14" s="170"/>
      <c r="D14" s="87"/>
      <c r="E14" s="87"/>
    </row>
    <row r="15" spans="1:10" ht="30" customHeight="1" x14ac:dyDescent="0.2">
      <c r="B15" s="170"/>
      <c r="C15" s="170"/>
      <c r="D15" s="87"/>
      <c r="E15" s="87"/>
    </row>
    <row r="16" spans="1:10" ht="30" customHeight="1" x14ac:dyDescent="0.2">
      <c r="B16" s="170"/>
      <c r="C16" s="170"/>
      <c r="D16" s="87"/>
      <c r="E16" s="87"/>
    </row>
    <row r="17" spans="2:5" ht="30" customHeight="1" x14ac:dyDescent="0.2">
      <c r="B17" s="170"/>
      <c r="C17" s="170"/>
      <c r="D17" s="87"/>
      <c r="E17" s="87"/>
    </row>
    <row r="18" spans="2:5" ht="30" customHeight="1" x14ac:dyDescent="0.2">
      <c r="B18" s="170"/>
      <c r="C18" s="170"/>
      <c r="D18" s="87"/>
      <c r="E18" s="87"/>
    </row>
    <row r="19" spans="2:5" ht="30" customHeight="1" x14ac:dyDescent="0.2">
      <c r="B19" s="170"/>
      <c r="C19" s="170"/>
      <c r="D19" s="87"/>
      <c r="E19" s="87"/>
    </row>
    <row r="20" spans="2:5" ht="30" customHeight="1" x14ac:dyDescent="0.2">
      <c r="B20" s="170"/>
      <c r="C20" s="170"/>
      <c r="D20" s="87"/>
      <c r="E20" s="87"/>
    </row>
    <row r="21" spans="2:5" ht="30" customHeight="1" x14ac:dyDescent="0.2">
      <c r="B21" s="170"/>
      <c r="C21" s="170"/>
      <c r="D21" s="87"/>
      <c r="E21" s="87"/>
    </row>
    <row r="22" spans="2:5" ht="30" customHeight="1" x14ac:dyDescent="0.2">
      <c r="B22" s="170"/>
      <c r="C22" s="170"/>
      <c r="D22" s="87"/>
      <c r="E22" s="87"/>
    </row>
    <row r="23" spans="2:5" ht="30" customHeight="1" x14ac:dyDescent="0.2">
      <c r="B23" s="197"/>
      <c r="C23" s="198"/>
      <c r="D23" s="170"/>
      <c r="E23" s="170"/>
    </row>
    <row r="24" spans="2:5" ht="30" customHeight="1" x14ac:dyDescent="0.2">
      <c r="B24" s="197"/>
      <c r="C24" s="163"/>
      <c r="D24" s="170"/>
      <c r="E24" s="170"/>
    </row>
    <row r="25" spans="2:5" x14ac:dyDescent="0.2">
      <c r="B25" s="197"/>
      <c r="C25" s="198"/>
      <c r="D25" s="170"/>
      <c r="E25" s="170"/>
    </row>
    <row r="26" spans="2:5" x14ac:dyDescent="0.2">
      <c r="B26" s="197"/>
      <c r="C26" s="198"/>
      <c r="D26" s="170"/>
      <c r="E26" s="170"/>
    </row>
    <row r="27" spans="2:5" x14ac:dyDescent="0.2">
      <c r="B27" s="197"/>
      <c r="C27" s="198"/>
      <c r="D27" s="170"/>
      <c r="E27" s="170"/>
    </row>
    <row r="28" spans="2:5" x14ac:dyDescent="0.2">
      <c r="B28" s="197"/>
      <c r="C28" s="198"/>
      <c r="D28" s="170"/>
      <c r="E28" s="170"/>
    </row>
    <row r="29" spans="2:5" x14ac:dyDescent="0.2">
      <c r="B29" s="197"/>
      <c r="C29" s="198"/>
      <c r="D29" s="170"/>
      <c r="E29" s="170"/>
    </row>
    <row r="30" spans="2:5" x14ac:dyDescent="0.2">
      <c r="B30" s="197"/>
      <c r="C30" s="198"/>
      <c r="D30" s="170"/>
      <c r="E30" s="170"/>
    </row>
    <row r="31" spans="2:5" x14ac:dyDescent="0.2">
      <c r="B31" s="197"/>
      <c r="C31" s="198"/>
      <c r="D31" s="170"/>
      <c r="E31" s="170"/>
    </row>
    <row r="32" spans="2:5" x14ac:dyDescent="0.2">
      <c r="B32" s="197"/>
      <c r="C32" s="198"/>
      <c r="D32" s="170"/>
      <c r="E32" s="170"/>
    </row>
    <row r="33" spans="2:5" x14ac:dyDescent="0.2">
      <c r="B33" s="197"/>
      <c r="C33" s="198"/>
      <c r="D33" s="170"/>
      <c r="E33" s="170"/>
    </row>
    <row r="34" spans="2:5" x14ac:dyDescent="0.2">
      <c r="B34" s="197"/>
      <c r="C34" s="198"/>
      <c r="D34" s="170"/>
      <c r="E34" s="170"/>
    </row>
    <row r="35" spans="2:5" x14ac:dyDescent="0.2">
      <c r="B35" s="197"/>
      <c r="C35" s="198"/>
      <c r="D35" s="170"/>
      <c r="E35" s="170"/>
    </row>
    <row r="36" spans="2:5" x14ac:dyDescent="0.2">
      <c r="B36" s="197"/>
      <c r="C36" s="198"/>
      <c r="D36" s="170"/>
      <c r="E36" s="170"/>
    </row>
    <row r="37" spans="2:5" x14ac:dyDescent="0.2">
      <c r="B37" s="197"/>
      <c r="C37" s="198"/>
      <c r="D37" s="170"/>
      <c r="E37" s="170"/>
    </row>
    <row r="38" spans="2:5" x14ac:dyDescent="0.2">
      <c r="B38" s="197"/>
      <c r="C38" s="198"/>
      <c r="D38" s="170"/>
      <c r="E38" s="170"/>
    </row>
    <row r="39" spans="2:5" x14ac:dyDescent="0.2">
      <c r="B39" s="197"/>
      <c r="C39" s="198"/>
      <c r="D39" s="170"/>
      <c r="E39" s="170"/>
    </row>
    <row r="40" spans="2:5" x14ac:dyDescent="0.2">
      <c r="B40" s="197"/>
      <c r="C40" s="198"/>
      <c r="D40" s="170"/>
      <c r="E40" s="170"/>
    </row>
    <row r="41" spans="2:5" x14ac:dyDescent="0.2">
      <c r="B41" s="197"/>
      <c r="C41" s="198"/>
      <c r="D41" s="170"/>
      <c r="E41" s="170"/>
    </row>
    <row r="42" spans="2:5" x14ac:dyDescent="0.2">
      <c r="B42" s="197"/>
      <c r="C42" s="198"/>
      <c r="D42" s="170"/>
      <c r="E42" s="170"/>
    </row>
    <row r="43" spans="2:5" x14ac:dyDescent="0.2">
      <c r="B43" s="197"/>
      <c r="C43" s="198"/>
      <c r="D43" s="170"/>
      <c r="E43" s="170"/>
    </row>
    <row r="44" spans="2:5" x14ac:dyDescent="0.2">
      <c r="B44" s="197"/>
      <c r="C44" s="198"/>
      <c r="D44" s="170"/>
      <c r="E44" s="170"/>
    </row>
    <row r="45" spans="2:5" x14ac:dyDescent="0.2">
      <c r="B45" s="197"/>
      <c r="C45" s="198"/>
      <c r="D45" s="170"/>
      <c r="E45" s="170"/>
    </row>
    <row r="46" spans="2:5" x14ac:dyDescent="0.2">
      <c r="B46" s="197"/>
      <c r="C46" s="198"/>
      <c r="D46" s="170"/>
      <c r="E46" s="170"/>
    </row>
    <row r="47" spans="2:5" x14ac:dyDescent="0.2">
      <c r="B47" s="197"/>
      <c r="C47" s="198"/>
      <c r="D47" s="170"/>
      <c r="E47" s="170"/>
    </row>
    <row r="48" spans="2:5" x14ac:dyDescent="0.2">
      <c r="B48" s="197"/>
      <c r="C48" s="198"/>
      <c r="D48" s="170"/>
      <c r="E48" s="170"/>
    </row>
    <row r="49" spans="2:5" x14ac:dyDescent="0.2">
      <c r="B49" s="197"/>
      <c r="C49" s="198"/>
      <c r="D49" s="170"/>
      <c r="E49" s="170"/>
    </row>
    <row r="50" spans="2:5" x14ac:dyDescent="0.2">
      <c r="B50" s="197"/>
      <c r="C50" s="198"/>
      <c r="D50" s="170"/>
      <c r="E50" s="170"/>
    </row>
    <row r="51" spans="2:5" x14ac:dyDescent="0.2">
      <c r="B51" s="197"/>
      <c r="C51" s="198"/>
      <c r="D51" s="170"/>
      <c r="E51" s="170"/>
    </row>
    <row r="52" spans="2:5" x14ac:dyDescent="0.2">
      <c r="B52" s="197"/>
      <c r="C52" s="198"/>
      <c r="D52" s="170"/>
      <c r="E52" s="170"/>
    </row>
    <row r="53" spans="2:5" x14ac:dyDescent="0.2">
      <c r="B53" s="197"/>
      <c r="C53" s="198"/>
      <c r="D53" s="170"/>
      <c r="E53" s="170"/>
    </row>
    <row r="54" spans="2:5" x14ac:dyDescent="0.2">
      <c r="B54" s="197"/>
      <c r="C54" s="198"/>
      <c r="D54" s="170"/>
      <c r="E54" s="170"/>
    </row>
    <row r="55" spans="2:5" x14ac:dyDescent="0.2">
      <c r="B55" s="197"/>
      <c r="C55" s="198"/>
      <c r="D55" s="170"/>
      <c r="E55" s="170"/>
    </row>
    <row r="56" spans="2:5" x14ac:dyDescent="0.2">
      <c r="B56" s="197"/>
      <c r="C56" s="198"/>
      <c r="D56" s="170"/>
      <c r="E56" s="170"/>
    </row>
    <row r="57" spans="2:5" x14ac:dyDescent="0.2">
      <c r="B57" s="197"/>
      <c r="C57" s="198"/>
      <c r="D57" s="170"/>
      <c r="E57" s="170"/>
    </row>
    <row r="58" spans="2:5" x14ac:dyDescent="0.2">
      <c r="B58" s="197"/>
      <c r="C58" s="198"/>
      <c r="D58" s="170"/>
      <c r="E58" s="170"/>
    </row>
    <row r="59" spans="2:5" x14ac:dyDescent="0.2">
      <c r="B59" s="197"/>
      <c r="C59" s="198"/>
      <c r="D59" s="170"/>
      <c r="E59" s="170"/>
    </row>
    <row r="60" spans="2:5" x14ac:dyDescent="0.2">
      <c r="B60" s="197"/>
      <c r="C60" s="198"/>
      <c r="D60" s="170"/>
      <c r="E60" s="170"/>
    </row>
    <row r="61" spans="2:5" x14ac:dyDescent="0.2">
      <c r="B61" s="197"/>
      <c r="C61" s="198"/>
      <c r="D61" s="170"/>
      <c r="E61" s="170"/>
    </row>
    <row r="62" spans="2:5" x14ac:dyDescent="0.2">
      <c r="B62" s="197"/>
      <c r="C62" s="198"/>
      <c r="D62" s="170"/>
      <c r="E62" s="170"/>
    </row>
    <row r="63" spans="2:5" x14ac:dyDescent="0.2">
      <c r="B63" s="197"/>
      <c r="C63" s="198"/>
      <c r="D63" s="170"/>
      <c r="E63" s="170"/>
    </row>
    <row r="64" spans="2:5" x14ac:dyDescent="0.2">
      <c r="B64" s="197"/>
      <c r="C64" s="198"/>
      <c r="D64" s="170"/>
      <c r="E64" s="170"/>
    </row>
    <row r="65" spans="2:5" x14ac:dyDescent="0.2">
      <c r="B65" s="197"/>
      <c r="C65" s="198"/>
      <c r="D65" s="170"/>
      <c r="E65" s="170"/>
    </row>
    <row r="66" spans="2:5" x14ac:dyDescent="0.2">
      <c r="B66" s="197"/>
      <c r="C66" s="198"/>
      <c r="D66" s="170"/>
      <c r="E66" s="170"/>
    </row>
    <row r="67" spans="2:5" x14ac:dyDescent="0.2">
      <c r="B67" s="197"/>
      <c r="C67" s="198"/>
      <c r="D67" s="170"/>
      <c r="E67" s="170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  <pageSetUpPr fitToPage="1"/>
  </sheetPr>
  <dimension ref="A1:L27"/>
  <sheetViews>
    <sheetView zoomScaleNormal="100" workbookViewId="0">
      <selection activeCell="A2" sqref="A2"/>
    </sheetView>
  </sheetViews>
  <sheetFormatPr defaultColWidth="8.85546875" defaultRowHeight="15.75" x14ac:dyDescent="0.25"/>
  <cols>
    <col min="1" max="2" width="5.28515625" style="37" customWidth="1"/>
    <col min="3" max="3" width="3.85546875" style="68" bestFit="1" customWidth="1"/>
    <col min="4" max="4" width="12.140625" style="69" bestFit="1" customWidth="1"/>
    <col min="5" max="5" width="43.42578125" style="73" customWidth="1"/>
    <col min="6" max="6" width="18.7109375" style="73" customWidth="1"/>
    <col min="7" max="7" width="21.28515625" style="73" customWidth="1"/>
    <col min="8" max="8" width="9.7109375" style="73" customWidth="1"/>
    <col min="9" max="12" width="8.85546875" style="73"/>
    <col min="13" max="16384" width="8.85546875" style="37"/>
  </cols>
  <sheetData>
    <row r="1" spans="1:12" s="84" customFormat="1" x14ac:dyDescent="0.25">
      <c r="A1" s="729" t="s">
        <v>709</v>
      </c>
      <c r="B1" s="729"/>
      <c r="C1" s="729"/>
      <c r="D1" s="729"/>
      <c r="E1" s="729"/>
      <c r="F1" s="729"/>
      <c r="G1" s="729"/>
      <c r="H1" s="729"/>
      <c r="I1" s="729"/>
      <c r="J1" s="69"/>
      <c r="K1" s="69"/>
      <c r="L1" s="69"/>
    </row>
    <row r="2" spans="1:12" x14ac:dyDescent="0.25">
      <c r="E2" s="70"/>
      <c r="F2" s="70"/>
      <c r="G2" s="72"/>
    </row>
    <row r="3" spans="1:12" x14ac:dyDescent="0.25">
      <c r="E3" s="70"/>
      <c r="F3" s="71"/>
      <c r="G3" s="72"/>
    </row>
    <row r="4" spans="1:12" ht="27.75" customHeight="1" x14ac:dyDescent="0.2">
      <c r="A4" s="733" t="s">
        <v>63</v>
      </c>
      <c r="B4" s="733"/>
      <c r="C4" s="733"/>
      <c r="D4" s="733"/>
      <c r="E4" s="733"/>
      <c r="F4" s="733"/>
      <c r="G4" s="733"/>
      <c r="H4" s="733"/>
      <c r="I4" s="74"/>
      <c r="J4" s="74"/>
      <c r="K4" s="74"/>
      <c r="L4" s="74"/>
    </row>
    <row r="5" spans="1:12" ht="39" customHeight="1" x14ac:dyDescent="0.2">
      <c r="A5" s="733" t="s">
        <v>558</v>
      </c>
      <c r="B5" s="733"/>
      <c r="C5" s="733"/>
      <c r="D5" s="733"/>
      <c r="E5" s="733"/>
      <c r="F5" s="733"/>
      <c r="G5" s="733"/>
      <c r="H5" s="299"/>
      <c r="I5" s="74"/>
      <c r="J5" s="74"/>
      <c r="K5" s="74"/>
      <c r="L5" s="74"/>
    </row>
    <row r="6" spans="1:12" ht="16.5" customHeight="1" x14ac:dyDescent="0.2">
      <c r="D6" s="75"/>
      <c r="E6" s="75"/>
      <c r="F6" s="75"/>
      <c r="G6" s="75"/>
      <c r="H6" s="75"/>
      <c r="I6" s="75"/>
      <c r="J6" s="75"/>
      <c r="K6" s="74"/>
      <c r="L6" s="74"/>
    </row>
    <row r="7" spans="1:12" s="76" customFormat="1" ht="96" customHeight="1" x14ac:dyDescent="0.25">
      <c r="C7" s="249" t="s">
        <v>212</v>
      </c>
      <c r="D7" s="77" t="s">
        <v>64</v>
      </c>
      <c r="E7" s="77" t="s">
        <v>65</v>
      </c>
      <c r="F7" s="240" t="s">
        <v>508</v>
      </c>
      <c r="G7" s="240" t="s">
        <v>609</v>
      </c>
      <c r="H7" s="78"/>
      <c r="I7" s="78"/>
    </row>
    <row r="8" spans="1:12" s="76" customFormat="1" x14ac:dyDescent="0.25">
      <c r="C8" s="246"/>
      <c r="D8" s="243" t="s">
        <v>220</v>
      </c>
      <c r="E8" s="79" t="s">
        <v>66</v>
      </c>
      <c r="F8" s="476">
        <f>+'5.a sz.mell.'!AB6</f>
        <v>1</v>
      </c>
      <c r="G8" s="476">
        <f>+'5.a sz.mell.'!AC6</f>
        <v>1</v>
      </c>
      <c r="H8" s="78"/>
      <c r="I8" s="78"/>
    </row>
    <row r="9" spans="1:12" s="76" customFormat="1" x14ac:dyDescent="0.25">
      <c r="C9" s="241"/>
      <c r="D9" s="243" t="s">
        <v>222</v>
      </c>
      <c r="E9" s="79" t="s">
        <v>221</v>
      </c>
      <c r="F9" s="476">
        <f>+'5.a sz.mell.'!AB20</f>
        <v>1</v>
      </c>
      <c r="G9" s="476">
        <f>+'5.a sz.mell.'!AC20</f>
        <v>1</v>
      </c>
      <c r="H9" s="78"/>
      <c r="I9" s="78"/>
    </row>
    <row r="10" spans="1:12" s="76" customFormat="1" x14ac:dyDescent="0.25">
      <c r="C10" s="241"/>
      <c r="D10" s="244" t="s">
        <v>223</v>
      </c>
      <c r="E10" s="79" t="s">
        <v>224</v>
      </c>
      <c r="F10" s="476">
        <f>+'5.a sz.mell.'!AB21</f>
        <v>11</v>
      </c>
      <c r="G10" s="476">
        <f>+'5.a sz.mell.'!AC21</f>
        <v>11</v>
      </c>
      <c r="H10" s="78"/>
      <c r="I10" s="78"/>
    </row>
    <row r="11" spans="1:12" s="76" customFormat="1" x14ac:dyDescent="0.25">
      <c r="C11" s="241"/>
      <c r="D11" s="244" t="s">
        <v>225</v>
      </c>
      <c r="E11" s="79" t="s">
        <v>49</v>
      </c>
      <c r="F11" s="476">
        <f>+'5.a sz.mell.'!AB23</f>
        <v>3</v>
      </c>
      <c r="G11" s="476">
        <f>+'5.a sz.mell.'!AC23</f>
        <v>3</v>
      </c>
      <c r="H11" s="78"/>
      <c r="I11" s="78"/>
    </row>
    <row r="12" spans="1:12" s="76" customFormat="1" x14ac:dyDescent="0.25">
      <c r="C12" s="242"/>
      <c r="D12" s="80">
        <v>104044</v>
      </c>
      <c r="E12" s="79" t="s">
        <v>227</v>
      </c>
      <c r="F12" s="476">
        <f>+'5.a sz.mell.'!AB28</f>
        <v>2</v>
      </c>
      <c r="G12" s="476">
        <f>+'5.a sz.mell.'!AC28</f>
        <v>2</v>
      </c>
      <c r="H12" s="78"/>
      <c r="I12" s="78"/>
    </row>
    <row r="13" spans="1:12" s="76" customFormat="1" x14ac:dyDescent="0.25">
      <c r="C13" s="241"/>
      <c r="D13" s="570" t="s">
        <v>257</v>
      </c>
      <c r="E13" s="79" t="s">
        <v>274</v>
      </c>
      <c r="F13" s="476">
        <f>+'5.a sz.mell.'!AB25</f>
        <v>1</v>
      </c>
      <c r="G13" s="476">
        <f>+'5.a sz.mell.'!AC25</f>
        <v>1</v>
      </c>
      <c r="H13" s="78"/>
      <c r="I13" s="78"/>
    </row>
    <row r="14" spans="1:12" s="76" customFormat="1" x14ac:dyDescent="0.25">
      <c r="C14" s="220" t="s">
        <v>38</v>
      </c>
      <c r="D14" s="82" t="s">
        <v>231</v>
      </c>
      <c r="E14" s="273"/>
      <c r="F14" s="543">
        <f>SUM(F8:F13)</f>
        <v>19</v>
      </c>
      <c r="G14" s="543">
        <f>SUM(G8:G13)</f>
        <v>19</v>
      </c>
      <c r="H14" s="78"/>
      <c r="I14" s="78"/>
    </row>
    <row r="15" spans="1:12" s="76" customFormat="1" ht="19.5" customHeight="1" x14ac:dyDescent="0.25">
      <c r="C15" s="220"/>
      <c r="D15" s="245" t="s">
        <v>220</v>
      </c>
      <c r="E15" s="81" t="s">
        <v>235</v>
      </c>
      <c r="F15" s="477">
        <f>+'5.a sz.mell.'!AB49</f>
        <v>17</v>
      </c>
      <c r="G15" s="477">
        <f>+'5.a sz.mell.'!AC49</f>
        <v>17</v>
      </c>
      <c r="H15" s="78"/>
      <c r="I15" s="78"/>
    </row>
    <row r="16" spans="1:12" x14ac:dyDescent="0.25">
      <c r="C16" s="247" t="s">
        <v>39</v>
      </c>
      <c r="D16" s="82" t="s">
        <v>230</v>
      </c>
      <c r="E16" s="83"/>
      <c r="F16" s="544">
        <f>F15</f>
        <v>17</v>
      </c>
      <c r="G16" s="544">
        <f>G15</f>
        <v>17</v>
      </c>
      <c r="J16" s="37"/>
      <c r="K16" s="37"/>
      <c r="L16" s="37"/>
    </row>
    <row r="17" spans="3:12" x14ac:dyDescent="0.25">
      <c r="C17" s="241"/>
      <c r="D17" s="243" t="s">
        <v>284</v>
      </c>
      <c r="E17" s="79" t="s">
        <v>311</v>
      </c>
      <c r="F17" s="476">
        <f>+'5.a sz.mell.'!AB54</f>
        <v>3</v>
      </c>
      <c r="G17" s="476">
        <f>+'5.a sz.mell.'!AC50</f>
        <v>3</v>
      </c>
      <c r="J17" s="37"/>
      <c r="K17" s="37"/>
      <c r="L17" s="37"/>
    </row>
    <row r="18" spans="3:12" ht="18" customHeight="1" x14ac:dyDescent="0.25">
      <c r="C18" s="248" t="s">
        <v>41</v>
      </c>
      <c r="D18" s="82" t="s">
        <v>228</v>
      </c>
      <c r="E18" s="83"/>
      <c r="F18" s="544">
        <f>SUM(F17)</f>
        <v>3</v>
      </c>
      <c r="G18" s="544">
        <f>+'5.a sz.mell.'!AC54</f>
        <v>4</v>
      </c>
      <c r="J18" s="37"/>
      <c r="K18" s="37"/>
      <c r="L18" s="37"/>
    </row>
    <row r="19" spans="3:12" x14ac:dyDescent="0.25">
      <c r="C19" s="241"/>
      <c r="D19" s="243" t="s">
        <v>289</v>
      </c>
      <c r="E19" s="79" t="s">
        <v>215</v>
      </c>
      <c r="F19" s="476">
        <f>+'5.a sz.mell.'!AB57</f>
        <v>1</v>
      </c>
      <c r="G19" s="476">
        <f>+'5.a sz.mell.'!AC57</f>
        <v>1</v>
      </c>
      <c r="J19" s="37"/>
      <c r="K19" s="37"/>
      <c r="L19" s="37"/>
    </row>
    <row r="20" spans="3:12" x14ac:dyDescent="0.25">
      <c r="C20" s="248" t="s">
        <v>43</v>
      </c>
      <c r="D20" s="82" t="s">
        <v>229</v>
      </c>
      <c r="E20" s="83"/>
      <c r="F20" s="395">
        <v>1</v>
      </c>
      <c r="G20" s="395">
        <v>1</v>
      </c>
      <c r="J20" s="37"/>
      <c r="K20" s="37"/>
      <c r="L20" s="37"/>
    </row>
    <row r="21" spans="3:12" x14ac:dyDescent="0.25">
      <c r="C21" s="241"/>
      <c r="D21" s="80">
        <v>107052</v>
      </c>
      <c r="E21" s="79" t="s">
        <v>280</v>
      </c>
      <c r="F21" s="476">
        <f>+'5.a sz.mell.'!AB59</f>
        <v>4</v>
      </c>
      <c r="G21" s="476">
        <f>+'5.a sz.mell.'!AC59</f>
        <v>5</v>
      </c>
      <c r="J21" s="37"/>
      <c r="K21" s="37"/>
      <c r="L21" s="37"/>
    </row>
    <row r="22" spans="3:12" x14ac:dyDescent="0.25">
      <c r="C22" s="241"/>
      <c r="D22" s="80">
        <v>104042</v>
      </c>
      <c r="E22" s="79" t="s">
        <v>281</v>
      </c>
      <c r="F22" s="476">
        <f>+'5.a sz.mell.'!AB60</f>
        <v>2</v>
      </c>
      <c r="G22" s="476">
        <f>+'5.a sz.mell.'!AC60</f>
        <v>1</v>
      </c>
      <c r="J22" s="37"/>
      <c r="K22" s="37"/>
      <c r="L22" s="37"/>
    </row>
    <row r="23" spans="3:12" x14ac:dyDescent="0.25">
      <c r="C23" s="241"/>
      <c r="D23" s="80">
        <v>102031</v>
      </c>
      <c r="E23" s="79" t="s">
        <v>282</v>
      </c>
      <c r="F23" s="476">
        <f>+'5.a sz.mell.'!AB61</f>
        <v>2</v>
      </c>
      <c r="G23" s="476">
        <f>+'5.a sz.mell.'!AC61</f>
        <v>2</v>
      </c>
      <c r="J23" s="37"/>
      <c r="K23" s="37"/>
      <c r="L23" s="37"/>
    </row>
    <row r="24" spans="3:12" x14ac:dyDescent="0.25">
      <c r="C24" s="241"/>
      <c r="D24" s="80">
        <v>107051</v>
      </c>
      <c r="E24" s="79" t="s">
        <v>283</v>
      </c>
      <c r="F24" s="476">
        <f>+'5.a sz.mell.'!AB63</f>
        <v>1</v>
      </c>
      <c r="G24" s="476">
        <f>+'5.a sz.mell.'!AC63</f>
        <v>1</v>
      </c>
      <c r="J24" s="37"/>
      <c r="K24" s="37"/>
      <c r="L24" s="37"/>
    </row>
    <row r="25" spans="3:12" x14ac:dyDescent="0.25">
      <c r="C25" s="241"/>
      <c r="D25" s="244" t="s">
        <v>226</v>
      </c>
      <c r="E25" s="79" t="s">
        <v>67</v>
      </c>
      <c r="F25" s="476">
        <f>+'5.a sz.mell.'!AB67</f>
        <v>9</v>
      </c>
      <c r="G25" s="476">
        <f>+'5.a sz.mell.'!AC67</f>
        <v>9</v>
      </c>
      <c r="J25" s="37"/>
      <c r="K25" s="37"/>
      <c r="L25" s="37"/>
    </row>
    <row r="26" spans="3:12" ht="19.5" customHeight="1" x14ac:dyDescent="0.25">
      <c r="C26" s="248" t="s">
        <v>210</v>
      </c>
      <c r="D26" s="82" t="s">
        <v>312</v>
      </c>
      <c r="E26" s="83"/>
      <c r="F26" s="395">
        <f>SUM(F21:F25)</f>
        <v>18</v>
      </c>
      <c r="G26" s="395">
        <f>SUM(G21:G25)</f>
        <v>18</v>
      </c>
      <c r="J26" s="37"/>
      <c r="K26" s="37"/>
      <c r="L26" s="37"/>
    </row>
    <row r="27" spans="3:12" ht="36" customHeight="1" x14ac:dyDescent="0.25">
      <c r="C27" s="730" t="s">
        <v>68</v>
      </c>
      <c r="D27" s="731"/>
      <c r="E27" s="732"/>
      <c r="F27" s="571">
        <f>SUM(F14,F16,F18,F20,F26)</f>
        <v>58</v>
      </c>
      <c r="G27" s="571">
        <f>SUM(G14,G16,G18,G20,G26)</f>
        <v>59</v>
      </c>
      <c r="J27" s="37"/>
      <c r="K27" s="37"/>
      <c r="L27" s="37"/>
    </row>
  </sheetData>
  <mergeCells count="4">
    <mergeCell ref="A1:I1"/>
    <mergeCell ref="C27:E27"/>
    <mergeCell ref="A4:H4"/>
    <mergeCell ref="A5:G5"/>
  </mergeCells>
  <phoneticPr fontId="0" type="noConversion"/>
  <pageMargins left="0.25" right="0.25" top="0.75" bottom="0.75" header="0.3" footer="0.3"/>
  <pageSetup paperSize="9" scale="89" orientation="portrait" r:id="rId1"/>
  <headerFooter alignWithMargins="0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  <pageSetUpPr fitToPage="1"/>
  </sheetPr>
  <dimension ref="A1:J19"/>
  <sheetViews>
    <sheetView zoomScaleNormal="100" workbookViewId="0">
      <selection activeCell="A2" sqref="A2"/>
    </sheetView>
  </sheetViews>
  <sheetFormatPr defaultColWidth="8.85546875" defaultRowHeight="15.75" x14ac:dyDescent="0.25"/>
  <cols>
    <col min="1" max="1" width="8.85546875" style="73"/>
    <col min="2" max="2" width="38.42578125" style="73" customWidth="1"/>
    <col min="3" max="3" width="9.140625" style="69" hidden="1" customWidth="1"/>
    <col min="4" max="4" width="9.140625" style="73" hidden="1" customWidth="1"/>
    <col min="5" max="10" width="8.85546875" style="73"/>
    <col min="11" max="16384" width="8.85546875" style="37"/>
  </cols>
  <sheetData>
    <row r="1" spans="1:9" ht="30" customHeight="1" x14ac:dyDescent="0.25">
      <c r="A1" s="669" t="s">
        <v>710</v>
      </c>
      <c r="B1" s="669"/>
      <c r="C1" s="669"/>
      <c r="D1" s="669"/>
      <c r="E1" s="669"/>
      <c r="F1" s="669"/>
      <c r="G1" s="669"/>
      <c r="H1" s="669"/>
    </row>
    <row r="4" spans="1:9" ht="37.5" customHeight="1" x14ac:dyDescent="0.25">
      <c r="A4" s="735" t="s">
        <v>559</v>
      </c>
      <c r="B4" s="735"/>
      <c r="C4" s="735"/>
      <c r="D4" s="735"/>
      <c r="E4" s="735"/>
      <c r="F4" s="735"/>
      <c r="G4" s="735"/>
      <c r="H4" s="735"/>
    </row>
    <row r="5" spans="1:9" ht="37.5" customHeight="1" x14ac:dyDescent="0.25">
      <c r="A5" s="545"/>
      <c r="B5" s="545"/>
      <c r="C5" s="545"/>
      <c r="D5" s="545"/>
      <c r="E5" s="545"/>
      <c r="F5" s="545"/>
      <c r="G5" s="545"/>
      <c r="H5" s="546"/>
      <c r="I5" s="37"/>
    </row>
    <row r="6" spans="1:9" ht="39.75" customHeight="1" x14ac:dyDescent="0.25">
      <c r="A6" s="546"/>
      <c r="B6" s="546"/>
      <c r="C6" s="547"/>
      <c r="D6" s="546"/>
      <c r="E6" s="734" t="s">
        <v>509</v>
      </c>
      <c r="F6" s="734"/>
      <c r="G6" s="734" t="s">
        <v>610</v>
      </c>
      <c r="H6" s="734"/>
    </row>
    <row r="7" spans="1:9" ht="20.25" x14ac:dyDescent="0.3">
      <c r="A7" s="548" t="s">
        <v>266</v>
      </c>
      <c r="B7" s="548"/>
      <c r="C7" s="549"/>
      <c r="D7" s="548"/>
      <c r="E7" s="550">
        <f>+'5.a sz.mell.'!AB11</f>
        <v>13</v>
      </c>
      <c r="F7" s="548" t="s">
        <v>371</v>
      </c>
      <c r="G7" s="550">
        <f>+'5.a sz.mell.'!AC11</f>
        <v>12</v>
      </c>
      <c r="H7" s="548" t="s">
        <v>371</v>
      </c>
    </row>
    <row r="8" spans="1:9" ht="20.25" x14ac:dyDescent="0.3">
      <c r="A8" s="548"/>
      <c r="B8" s="548"/>
      <c r="C8" s="549"/>
      <c r="D8" s="548"/>
      <c r="E8" s="548"/>
      <c r="F8" s="546"/>
      <c r="G8" s="548"/>
      <c r="H8" s="546"/>
    </row>
    <row r="9" spans="1:9" ht="20.25" x14ac:dyDescent="0.3">
      <c r="A9" s="548"/>
      <c r="B9" s="548"/>
      <c r="C9" s="549"/>
      <c r="D9" s="548"/>
      <c r="E9" s="548"/>
      <c r="F9" s="546"/>
      <c r="G9" s="548"/>
      <c r="H9" s="546"/>
    </row>
    <row r="10" spans="1:9" ht="20.25" x14ac:dyDescent="0.3">
      <c r="A10" s="548" t="s">
        <v>341</v>
      </c>
      <c r="B10" s="548"/>
      <c r="C10" s="549"/>
      <c r="D10" s="548"/>
      <c r="E10" s="550">
        <f>+'5.a sz.mell.'!AB10</f>
        <v>15</v>
      </c>
      <c r="F10" s="548" t="s">
        <v>371</v>
      </c>
      <c r="G10" s="550">
        <f>+'5.a sz.mell.'!AC10</f>
        <v>17</v>
      </c>
      <c r="H10" s="548" t="s">
        <v>371</v>
      </c>
    </row>
    <row r="11" spans="1:9" ht="20.25" x14ac:dyDescent="0.3">
      <c r="A11" s="548"/>
      <c r="B11" s="548"/>
      <c r="C11" s="549"/>
      <c r="D11" s="548"/>
      <c r="E11" s="548"/>
      <c r="F11" s="546"/>
      <c r="G11" s="548"/>
      <c r="H11" s="546"/>
    </row>
    <row r="12" spans="1:9" ht="20.25" x14ac:dyDescent="0.3">
      <c r="A12" s="548"/>
      <c r="B12" s="548"/>
      <c r="C12" s="549"/>
      <c r="D12" s="548"/>
      <c r="E12" s="548"/>
      <c r="F12" s="546"/>
      <c r="G12" s="548"/>
      <c r="H12" s="546"/>
    </row>
    <row r="13" spans="1:9" ht="20.25" x14ac:dyDescent="0.3">
      <c r="A13" s="548"/>
      <c r="B13" s="548"/>
      <c r="C13" s="549"/>
      <c r="D13" s="548"/>
      <c r="E13" s="548"/>
      <c r="F13" s="546"/>
      <c r="G13" s="548"/>
      <c r="H13" s="546"/>
    </row>
    <row r="14" spans="1:9" ht="21" thickBot="1" x14ac:dyDescent="0.35">
      <c r="A14" s="551"/>
      <c r="B14" s="551" t="s">
        <v>44</v>
      </c>
      <c r="C14" s="552"/>
      <c r="D14" s="551"/>
      <c r="E14" s="553">
        <f>+E7+E10</f>
        <v>28</v>
      </c>
      <c r="F14" s="551" t="s">
        <v>371</v>
      </c>
      <c r="G14" s="553">
        <f>+G7+G10</f>
        <v>29</v>
      </c>
      <c r="H14" s="551" t="s">
        <v>371</v>
      </c>
    </row>
    <row r="15" spans="1:9" ht="20.25" x14ac:dyDescent="0.3">
      <c r="A15" s="397"/>
      <c r="B15" s="397"/>
      <c r="C15" s="398"/>
      <c r="D15" s="397"/>
      <c r="E15" s="397"/>
    </row>
    <row r="16" spans="1:9" ht="13.5" customHeight="1" x14ac:dyDescent="0.25"/>
    <row r="19" ht="18" customHeight="1" x14ac:dyDescent="0.25"/>
  </sheetData>
  <mergeCells count="4">
    <mergeCell ref="E6:F6"/>
    <mergeCell ref="G6:H6"/>
    <mergeCell ref="A4:H4"/>
    <mergeCell ref="A1:H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2"/>
  <sheetViews>
    <sheetView view="pageBreakPreview" zoomScale="55" zoomScaleNormal="80" zoomScaleSheetLayoutView="55" workbookViewId="0">
      <selection activeCell="A2" sqref="A2"/>
    </sheetView>
  </sheetViews>
  <sheetFormatPr defaultRowHeight="15.75" x14ac:dyDescent="0.2"/>
  <cols>
    <col min="1" max="1" width="47.140625" style="86" customWidth="1"/>
    <col min="2" max="2" width="15.140625" style="91" customWidth="1"/>
    <col min="3" max="3" width="21.28515625" style="91" customWidth="1"/>
    <col min="4" max="4" width="23.7109375" style="91" customWidth="1"/>
    <col min="5" max="5" width="14" style="91" customWidth="1"/>
    <col min="6" max="6" width="21.7109375" style="91" customWidth="1"/>
    <col min="7" max="7" width="18.28515625" style="91" customWidth="1"/>
    <col min="8" max="8" width="21.7109375" style="91" customWidth="1"/>
    <col min="9" max="9" width="19.7109375" style="91" customWidth="1"/>
    <col min="10" max="10" width="21.5703125" style="89" customWidth="1"/>
    <col min="11" max="11" width="26.140625" style="89" customWidth="1"/>
    <col min="12" max="12" width="23.85546875" style="89" customWidth="1"/>
    <col min="13" max="13" width="17.7109375" style="89" customWidth="1"/>
    <col min="14" max="14" width="25.85546875" style="90" customWidth="1"/>
    <col min="15" max="15" width="20.5703125" style="87" customWidth="1"/>
    <col min="16" max="16384" width="9.140625" style="87"/>
  </cols>
  <sheetData>
    <row r="1" spans="1:15" ht="21" customHeight="1" x14ac:dyDescent="0.2">
      <c r="A1" s="669" t="s">
        <v>714</v>
      </c>
      <c r="B1" s="669"/>
      <c r="C1" s="669"/>
      <c r="D1" s="669"/>
      <c r="E1" s="669"/>
      <c r="F1" s="669"/>
      <c r="G1" s="669"/>
      <c r="H1" s="669"/>
      <c r="I1" s="669"/>
      <c r="J1" s="250"/>
      <c r="K1" s="250"/>
      <c r="L1" s="250"/>
      <c r="M1" s="250"/>
      <c r="N1" s="250"/>
    </row>
    <row r="2" spans="1:15" x14ac:dyDescent="0.2">
      <c r="B2" s="88"/>
      <c r="C2" s="88"/>
      <c r="D2" s="88"/>
      <c r="E2" s="88"/>
      <c r="F2" s="88"/>
      <c r="G2" s="88"/>
      <c r="H2" s="88"/>
      <c r="I2" s="88"/>
    </row>
    <row r="3" spans="1:15" ht="27.75" customHeight="1" x14ac:dyDescent="0.2">
      <c r="A3" s="738" t="s">
        <v>63</v>
      </c>
      <c r="B3" s="738"/>
      <c r="C3" s="738"/>
      <c r="D3" s="738"/>
      <c r="E3" s="738"/>
      <c r="F3" s="738"/>
      <c r="G3" s="738"/>
      <c r="H3" s="738"/>
      <c r="I3" s="738"/>
      <c r="J3" s="341"/>
      <c r="K3" s="341"/>
      <c r="L3" s="341"/>
      <c r="M3" s="341"/>
      <c r="N3" s="341"/>
    </row>
    <row r="4" spans="1:15" ht="42.75" customHeight="1" x14ac:dyDescent="0.2">
      <c r="A4" s="675" t="s">
        <v>69</v>
      </c>
      <c r="B4" s="675"/>
      <c r="C4" s="675"/>
      <c r="D4" s="675"/>
      <c r="E4" s="675"/>
      <c r="F4" s="675"/>
      <c r="G4" s="675"/>
      <c r="H4" s="675"/>
      <c r="I4" s="675"/>
      <c r="J4" s="274"/>
      <c r="K4" s="274"/>
      <c r="L4" s="274"/>
      <c r="M4" s="274"/>
      <c r="N4" s="274"/>
    </row>
    <row r="5" spans="1:15" ht="30" customHeight="1" x14ac:dyDescent="0.2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</row>
    <row r="6" spans="1:15" ht="54.75" customHeight="1" x14ac:dyDescent="0.2">
      <c r="A6" s="737" t="s">
        <v>313</v>
      </c>
      <c r="B6" s="736" t="s">
        <v>351</v>
      </c>
      <c r="C6" s="736" t="s">
        <v>510</v>
      </c>
      <c r="D6" s="739" t="s">
        <v>349</v>
      </c>
      <c r="E6" s="740"/>
      <c r="F6" s="741" t="s">
        <v>511</v>
      </c>
      <c r="G6" s="742"/>
      <c r="H6" s="739" t="s">
        <v>512</v>
      </c>
      <c r="I6" s="740"/>
      <c r="J6" s="736" t="s">
        <v>572</v>
      </c>
      <c r="K6" s="736"/>
      <c r="L6" s="736" t="s">
        <v>573</v>
      </c>
      <c r="M6" s="736"/>
      <c r="N6" s="736" t="s">
        <v>637</v>
      </c>
      <c r="O6" s="736"/>
    </row>
    <row r="7" spans="1:15" ht="73.5" customHeight="1" x14ac:dyDescent="0.2">
      <c r="A7" s="737"/>
      <c r="B7" s="736"/>
      <c r="C7" s="736"/>
      <c r="D7" s="343" t="s">
        <v>372</v>
      </c>
      <c r="E7" s="343" t="s">
        <v>373</v>
      </c>
      <c r="F7" s="515" t="s">
        <v>372</v>
      </c>
      <c r="G7" s="515" t="s">
        <v>373</v>
      </c>
      <c r="H7" s="515" t="s">
        <v>372</v>
      </c>
      <c r="I7" s="515" t="s">
        <v>373</v>
      </c>
      <c r="J7" s="515" t="s">
        <v>372</v>
      </c>
      <c r="K7" s="515" t="s">
        <v>373</v>
      </c>
      <c r="L7" s="560" t="s">
        <v>372</v>
      </c>
      <c r="M7" s="560" t="s">
        <v>373</v>
      </c>
      <c r="N7" s="583" t="s">
        <v>372</v>
      </c>
      <c r="O7" s="583" t="s">
        <v>373</v>
      </c>
    </row>
    <row r="8" spans="1:15" ht="83.25" customHeight="1" x14ac:dyDescent="0.2">
      <c r="A8" s="344" t="s">
        <v>352</v>
      </c>
      <c r="B8" s="346" t="s">
        <v>304</v>
      </c>
      <c r="C8" s="348">
        <v>89180205</v>
      </c>
      <c r="D8" s="349">
        <v>49599394</v>
      </c>
      <c r="E8" s="350">
        <f>+D8/C8</f>
        <v>0.55617044163556251</v>
      </c>
      <c r="F8" s="349">
        <f>+D8-14740137+4</f>
        <v>34859261</v>
      </c>
      <c r="G8" s="350">
        <f>+F8/C8</f>
        <v>0.39088563431761564</v>
      </c>
      <c r="H8" s="349">
        <f>+C8-D8-1821018-868060</f>
        <v>36891733</v>
      </c>
      <c r="I8" s="350">
        <f>+H8/C8</f>
        <v>0.41367625248226331</v>
      </c>
      <c r="J8" s="349">
        <f>6839200+39857738</f>
        <v>46696938</v>
      </c>
      <c r="K8" s="350">
        <f>+J8/C8</f>
        <v>0.52362447473629381</v>
      </c>
      <c r="L8" s="349">
        <f>+C8-F8-J8-868060</f>
        <v>6755946</v>
      </c>
      <c r="M8" s="350">
        <f>+L8/C8</f>
        <v>7.5756116505899487E-2</v>
      </c>
      <c r="N8" s="349">
        <v>0</v>
      </c>
      <c r="O8" s="350">
        <f>+N8/E8</f>
        <v>0</v>
      </c>
    </row>
    <row r="9" spans="1:15" s="92" customFormat="1" ht="82.5" customHeight="1" x14ac:dyDescent="0.2">
      <c r="A9" s="345" t="s">
        <v>350</v>
      </c>
      <c r="B9" s="347" t="s">
        <v>304</v>
      </c>
      <c r="C9" s="352">
        <v>88739589</v>
      </c>
      <c r="D9" s="353">
        <v>48307343</v>
      </c>
      <c r="E9" s="351">
        <f>+D9/C9</f>
        <v>0.54437194880404505</v>
      </c>
      <c r="F9" s="353">
        <f>+D9-23005204+426907</f>
        <v>25729046</v>
      </c>
      <c r="G9" s="350">
        <f>+F9/C9</f>
        <v>0.28993875551981652</v>
      </c>
      <c r="H9" s="353">
        <f>+C9-D9-1340680-3275011</f>
        <v>35816555</v>
      </c>
      <c r="I9" s="350">
        <f>+H9/C9</f>
        <v>0.40361416368516201</v>
      </c>
      <c r="J9" s="353">
        <v>34972924</v>
      </c>
      <c r="K9" s="350">
        <f>+J9/C9</f>
        <v>0.39410734706017175</v>
      </c>
      <c r="L9" s="353">
        <f>+C9-F9-J9-1340680</f>
        <v>26696939</v>
      </c>
      <c r="M9" s="350">
        <f>+L9/C9</f>
        <v>0.30084587162106419</v>
      </c>
      <c r="N9" s="353">
        <v>0</v>
      </c>
      <c r="O9" s="350">
        <f>+N9/E9</f>
        <v>0</v>
      </c>
    </row>
    <row r="10" spans="1:15" ht="83.25" customHeight="1" x14ac:dyDescent="0.2">
      <c r="A10" s="344" t="s">
        <v>634</v>
      </c>
      <c r="B10" s="346" t="s">
        <v>304</v>
      </c>
      <c r="C10" s="348">
        <f>+'2.sz.mell.'!D64</f>
        <v>284433287</v>
      </c>
      <c r="D10" s="349">
        <v>0</v>
      </c>
      <c r="E10" s="350">
        <f t="shared" ref="E10:E12" si="0">+D10/C10</f>
        <v>0</v>
      </c>
      <c r="F10" s="349">
        <v>0</v>
      </c>
      <c r="G10" s="350">
        <f t="shared" ref="G10:G12" si="1">+F10/C10</f>
        <v>0</v>
      </c>
      <c r="H10" s="349">
        <v>0</v>
      </c>
      <c r="I10" s="350">
        <f t="shared" ref="I10:I12" si="2">+H10/C10</f>
        <v>0</v>
      </c>
      <c r="J10" s="349">
        <v>0</v>
      </c>
      <c r="K10" s="350">
        <f t="shared" ref="K10:K12" si="3">+J10/C10</f>
        <v>0</v>
      </c>
      <c r="L10" s="349">
        <v>25000000</v>
      </c>
      <c r="M10" s="350">
        <f t="shared" ref="M10:M12" si="4">+L10/C10</f>
        <v>8.7894072679334467E-2</v>
      </c>
      <c r="N10" s="349">
        <f>+C10-L10</f>
        <v>259433287</v>
      </c>
      <c r="O10" s="350">
        <f>+N10/C10</f>
        <v>0.91210592732066553</v>
      </c>
    </row>
    <row r="11" spans="1:15" ht="83.25" customHeight="1" x14ac:dyDescent="0.2">
      <c r="A11" s="344" t="s">
        <v>635</v>
      </c>
      <c r="B11" s="346" t="s">
        <v>304</v>
      </c>
      <c r="C11" s="348">
        <f>+'2.sz.mell.'!D66</f>
        <v>154655790</v>
      </c>
      <c r="D11" s="349">
        <v>0</v>
      </c>
      <c r="E11" s="350">
        <f t="shared" si="0"/>
        <v>0</v>
      </c>
      <c r="F11" s="349">
        <v>0</v>
      </c>
      <c r="G11" s="350">
        <f t="shared" si="1"/>
        <v>0</v>
      </c>
      <c r="H11" s="349">
        <v>0</v>
      </c>
      <c r="I11" s="350">
        <f t="shared" si="2"/>
        <v>0</v>
      </c>
      <c r="J11" s="349">
        <v>0</v>
      </c>
      <c r="K11" s="350">
        <f t="shared" si="3"/>
        <v>0</v>
      </c>
      <c r="L11" s="349">
        <f>+C11</f>
        <v>154655790</v>
      </c>
      <c r="M11" s="350">
        <f t="shared" si="4"/>
        <v>1</v>
      </c>
      <c r="N11" s="349">
        <v>0</v>
      </c>
      <c r="O11" s="350">
        <v>0</v>
      </c>
    </row>
    <row r="12" spans="1:15" ht="83.25" customHeight="1" x14ac:dyDescent="0.2">
      <c r="A12" s="344" t="s">
        <v>636</v>
      </c>
      <c r="B12" s="346" t="s">
        <v>304</v>
      </c>
      <c r="C12" s="348">
        <f>+'2.sz.mell.'!D65</f>
        <v>8798088</v>
      </c>
      <c r="D12" s="349">
        <v>0</v>
      </c>
      <c r="E12" s="350">
        <f t="shared" si="0"/>
        <v>0</v>
      </c>
      <c r="F12" s="349">
        <v>0</v>
      </c>
      <c r="G12" s="350">
        <f t="shared" si="1"/>
        <v>0</v>
      </c>
      <c r="H12" s="349">
        <v>0</v>
      </c>
      <c r="I12" s="350">
        <f t="shared" si="2"/>
        <v>0</v>
      </c>
      <c r="J12" s="349">
        <v>0</v>
      </c>
      <c r="K12" s="350">
        <f t="shared" si="3"/>
        <v>0</v>
      </c>
      <c r="L12" s="349">
        <f>+C12</f>
        <v>8798088</v>
      </c>
      <c r="M12" s="350">
        <f t="shared" si="4"/>
        <v>1</v>
      </c>
      <c r="N12" s="349">
        <v>0</v>
      </c>
      <c r="O12" s="350">
        <v>0</v>
      </c>
    </row>
  </sheetData>
  <mergeCells count="12">
    <mergeCell ref="N6:O6"/>
    <mergeCell ref="L6:M6"/>
    <mergeCell ref="J6:K6"/>
    <mergeCell ref="A1:I1"/>
    <mergeCell ref="C6:C7"/>
    <mergeCell ref="B6:B7"/>
    <mergeCell ref="A6:A7"/>
    <mergeCell ref="A4:I4"/>
    <mergeCell ref="A3:I3"/>
    <mergeCell ref="D6:E6"/>
    <mergeCell ref="F6:G6"/>
    <mergeCell ref="H6:I6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  <pageSetUpPr fitToPage="1"/>
  </sheetPr>
  <dimension ref="A1:I19"/>
  <sheetViews>
    <sheetView topLeftCell="B1" zoomScaleNormal="100" workbookViewId="0">
      <selection activeCell="J15" sqref="J15"/>
    </sheetView>
  </sheetViews>
  <sheetFormatPr defaultColWidth="8.85546875" defaultRowHeight="15.75" x14ac:dyDescent="0.25"/>
  <cols>
    <col min="1" max="1" width="12.28515625" style="37" hidden="1" customWidth="1"/>
    <col min="2" max="2" width="47.28515625" style="37" customWidth="1"/>
    <col min="3" max="3" width="20.7109375" style="73" customWidth="1"/>
    <col min="4" max="4" width="27.42578125" style="73" customWidth="1"/>
    <col min="5" max="7" width="9.140625" style="73" customWidth="1"/>
    <col min="8" max="9" width="8.85546875" style="101"/>
    <col min="10" max="16384" width="8.85546875" style="37"/>
  </cols>
  <sheetData>
    <row r="1" spans="1:9" ht="40.5" customHeight="1" x14ac:dyDescent="0.2">
      <c r="A1" s="743" t="s">
        <v>711</v>
      </c>
      <c r="B1" s="743"/>
      <c r="C1" s="743"/>
      <c r="D1" s="250"/>
      <c r="E1" s="250"/>
      <c r="F1" s="250"/>
      <c r="G1" s="250"/>
    </row>
    <row r="4" spans="1:9" ht="38.25" customHeight="1" x14ac:dyDescent="0.2">
      <c r="A4" s="399" t="s">
        <v>474</v>
      </c>
      <c r="B4" s="744" t="s">
        <v>560</v>
      </c>
      <c r="C4" s="744"/>
      <c r="D4" s="399"/>
      <c r="E4" s="399"/>
      <c r="F4" s="399"/>
      <c r="G4" s="399"/>
    </row>
    <row r="6" spans="1:9" ht="16.5" thickBot="1" x14ac:dyDescent="0.3">
      <c r="C6" s="102" t="s">
        <v>322</v>
      </c>
      <c r="D6" s="102" t="s">
        <v>322</v>
      </c>
    </row>
    <row r="7" spans="1:9" ht="16.5" customHeight="1" thickBot="1" x14ac:dyDescent="0.3">
      <c r="C7" s="453" t="s">
        <v>368</v>
      </c>
      <c r="D7" s="453" t="s">
        <v>611</v>
      </c>
    </row>
    <row r="8" spans="1:9" s="39" customFormat="1" ht="35.1" customHeight="1" thickBot="1" x14ac:dyDescent="0.3">
      <c r="B8" s="455" t="s">
        <v>90</v>
      </c>
      <c r="C8" s="452">
        <f>+'2.sz.mell.'!C92</f>
        <v>98896424</v>
      </c>
      <c r="D8" s="452">
        <f>+'2.sz.mell.'!D92</f>
        <v>121227071</v>
      </c>
      <c r="E8" s="103"/>
      <c r="F8" s="103"/>
      <c r="G8" s="103"/>
      <c r="H8" s="104"/>
      <c r="I8" s="104"/>
    </row>
    <row r="9" spans="1:9" x14ac:dyDescent="0.25">
      <c r="B9" s="454" t="s">
        <v>362</v>
      </c>
      <c r="C9" s="354">
        <f>+'5.a sz.mell.'!P18</f>
        <v>50933440</v>
      </c>
      <c r="D9" s="354">
        <f>+'5.a sz.mell.'!Q18</f>
        <v>48915103</v>
      </c>
    </row>
    <row r="10" spans="1:9" ht="47.25" x14ac:dyDescent="0.25">
      <c r="B10" s="155" t="s">
        <v>513</v>
      </c>
      <c r="C10" s="354">
        <f>+'5.a sz.mell.'!P16</f>
        <v>24944510</v>
      </c>
      <c r="D10" s="354">
        <f>+'5.a sz.mell.'!Q16</f>
        <v>24328399</v>
      </c>
    </row>
    <row r="11" spans="1:9" ht="31.5" x14ac:dyDescent="0.25">
      <c r="B11" s="155" t="s">
        <v>561</v>
      </c>
      <c r="C11" s="354">
        <f>+'5.a sz.mell.'!P20</f>
        <v>4508070</v>
      </c>
      <c r="D11" s="354">
        <f>+'5.a sz.mell.'!Q20</f>
        <v>4508070</v>
      </c>
    </row>
    <row r="12" spans="1:9" ht="47.25" x14ac:dyDescent="0.25">
      <c r="B12" s="155" t="s">
        <v>562</v>
      </c>
      <c r="C12" s="354">
        <f>+'5.a sz.mell.'!P29</f>
        <v>8815656</v>
      </c>
      <c r="D12" s="354">
        <f>+'5.a sz.mell.'!Q29</f>
        <v>8815656</v>
      </c>
    </row>
    <row r="13" spans="1:9" ht="47.25" x14ac:dyDescent="0.25">
      <c r="B13" s="155" t="s">
        <v>563</v>
      </c>
      <c r="C13" s="354">
        <f>+'5.a sz.mell.'!P8</f>
        <v>8344429</v>
      </c>
      <c r="D13" s="354">
        <f>+'5.a sz.mell.'!Q8</f>
        <v>8309524</v>
      </c>
    </row>
    <row r="14" spans="1:9" ht="47.25" x14ac:dyDescent="0.25">
      <c r="B14" s="155" t="s">
        <v>564</v>
      </c>
      <c r="C14" s="354">
        <f>+'5.a sz.mell.'!P10</f>
        <v>1350319</v>
      </c>
      <c r="D14" s="354">
        <f>+'5.a sz.mell.'!Q10</f>
        <v>1350319</v>
      </c>
    </row>
    <row r="15" spans="1:9" x14ac:dyDescent="0.25">
      <c r="B15" s="155" t="s">
        <v>712</v>
      </c>
      <c r="C15" s="354">
        <v>0</v>
      </c>
      <c r="D15" s="354">
        <f>+'5.a sz.mell.'!Q13</f>
        <v>25000000</v>
      </c>
    </row>
    <row r="16" spans="1:9" s="39" customFormat="1" ht="28.5" customHeight="1" x14ac:dyDescent="0.25">
      <c r="B16" s="434" t="s">
        <v>363</v>
      </c>
      <c r="C16" s="433">
        <f>+'2.sz.mell.'!C91</f>
        <v>0</v>
      </c>
      <c r="D16" s="433">
        <f>+'2.sz.mell.'!D91</f>
        <v>0</v>
      </c>
      <c r="E16" s="103"/>
      <c r="F16" s="103"/>
      <c r="G16" s="103"/>
      <c r="H16" s="104"/>
      <c r="I16" s="104"/>
    </row>
    <row r="17" spans="2:4" ht="20.25" x14ac:dyDescent="0.3">
      <c r="B17" s="415" t="s">
        <v>232</v>
      </c>
      <c r="C17" s="416">
        <f>+C16+C8</f>
        <v>98896424</v>
      </c>
      <c r="D17" s="416">
        <f>+D16+D8</f>
        <v>121227071</v>
      </c>
    </row>
    <row r="19" spans="2:4" x14ac:dyDescent="0.25">
      <c r="C19" s="72">
        <f>+'5.a sz.mell.'!P69</f>
        <v>98896424</v>
      </c>
      <c r="D19" s="72">
        <f>+'5.a sz.mell.'!Q69</f>
        <v>121227071</v>
      </c>
    </row>
  </sheetData>
  <mergeCells count="2">
    <mergeCell ref="A1:C1"/>
    <mergeCell ref="B4:C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20"/>
  <sheetViews>
    <sheetView view="pageBreakPreview" zoomScale="70" zoomScaleNormal="70" zoomScaleSheetLayoutView="70" workbookViewId="0">
      <selection activeCell="A2" sqref="A2:N2"/>
    </sheetView>
  </sheetViews>
  <sheetFormatPr defaultColWidth="8.85546875" defaultRowHeight="12.75" x14ac:dyDescent="0.2"/>
  <cols>
    <col min="1" max="1" width="29.28515625" style="37" customWidth="1"/>
    <col min="2" max="2" width="22.7109375" style="37" customWidth="1"/>
    <col min="3" max="3" width="23.7109375" style="37" customWidth="1"/>
    <col min="4" max="4" width="22.5703125" style="37" customWidth="1"/>
    <col min="5" max="5" width="23" style="37" customWidth="1"/>
    <col min="6" max="6" width="22.140625" style="37" customWidth="1"/>
    <col min="7" max="8" width="17" style="37" customWidth="1"/>
    <col min="9" max="9" width="17" style="37" bestFit="1" customWidth="1"/>
    <col min="10" max="10" width="22.140625" style="37" customWidth="1"/>
    <col min="11" max="11" width="17" style="37" bestFit="1" customWidth="1"/>
    <col min="12" max="21" width="22" style="37" bestFit="1" customWidth="1"/>
    <col min="22" max="22" width="21.5703125" style="37" bestFit="1" customWidth="1"/>
    <col min="23" max="23" width="10.42578125" style="37" customWidth="1"/>
    <col min="24" max="16384" width="8.85546875" style="37"/>
  </cols>
  <sheetData>
    <row r="1" spans="1:23" ht="15.75" x14ac:dyDescent="0.2">
      <c r="A1" s="669" t="s">
        <v>715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250"/>
      <c r="P1" s="250"/>
      <c r="Q1" s="250"/>
      <c r="R1" s="250"/>
      <c r="S1" s="250"/>
      <c r="T1" s="250"/>
      <c r="U1" s="250"/>
      <c r="V1" s="250"/>
      <c r="W1" s="93"/>
    </row>
    <row r="2" spans="1:23" ht="20.25" customHeight="1" x14ac:dyDescent="0.3">
      <c r="A2" s="749" t="s">
        <v>70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263"/>
      <c r="P2" s="263"/>
      <c r="Q2" s="263"/>
      <c r="R2" s="263"/>
      <c r="S2" s="263"/>
      <c r="T2" s="263"/>
      <c r="U2" s="263"/>
      <c r="V2" s="263"/>
      <c r="W2" s="263"/>
    </row>
    <row r="3" spans="1:23" ht="15.75" thickBo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  <c r="N3" s="95" t="s">
        <v>316</v>
      </c>
      <c r="O3" s="95"/>
      <c r="P3" s="95"/>
      <c r="Q3" s="95"/>
      <c r="R3" s="95"/>
      <c r="S3" s="95"/>
      <c r="T3" s="95"/>
      <c r="U3" s="95"/>
      <c r="W3" s="94"/>
    </row>
    <row r="4" spans="1:23" ht="15.75" x14ac:dyDescent="0.25">
      <c r="A4" s="745" t="s">
        <v>71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</row>
    <row r="5" spans="1:23" ht="16.5" thickBot="1" x14ac:dyDescent="0.3">
      <c r="A5" s="746"/>
      <c r="B5" s="301" t="s">
        <v>613</v>
      </c>
      <c r="C5" s="301" t="s">
        <v>612</v>
      </c>
      <c r="D5" s="301" t="s">
        <v>73</v>
      </c>
      <c r="E5" s="301" t="s">
        <v>74</v>
      </c>
      <c r="F5" s="301" t="s">
        <v>75</v>
      </c>
      <c r="G5" s="301" t="s">
        <v>76</v>
      </c>
      <c r="H5" s="301" t="s">
        <v>77</v>
      </c>
      <c r="I5" s="301" t="s">
        <v>78</v>
      </c>
      <c r="J5" s="301" t="s">
        <v>79</v>
      </c>
      <c r="K5" s="301" t="s">
        <v>80</v>
      </c>
      <c r="L5" s="301" t="s">
        <v>81</v>
      </c>
      <c r="M5" s="301" t="s">
        <v>82</v>
      </c>
      <c r="N5" s="301">
        <v>2031</v>
      </c>
    </row>
    <row r="6" spans="1:23" ht="36" x14ac:dyDescent="0.2">
      <c r="A6" s="96" t="s">
        <v>86</v>
      </c>
      <c r="B6" s="302">
        <f>7500000+60000000+6000000</f>
        <v>73500000</v>
      </c>
      <c r="C6" s="302">
        <f>7500000+60000000</f>
        <v>67500000</v>
      </c>
      <c r="D6" s="302">
        <f t="shared" ref="D6" si="0">7500000+60000000+6000000</f>
        <v>73500000</v>
      </c>
      <c r="E6" s="302">
        <v>60000000</v>
      </c>
      <c r="F6" s="302">
        <v>60000000</v>
      </c>
      <c r="G6" s="302">
        <v>60000000</v>
      </c>
      <c r="H6" s="302">
        <v>60000000</v>
      </c>
      <c r="I6" s="302">
        <v>60000000</v>
      </c>
      <c r="J6" s="302">
        <v>60000000</v>
      </c>
      <c r="K6" s="302">
        <v>60000000</v>
      </c>
      <c r="L6" s="302">
        <v>60000000</v>
      </c>
      <c r="M6" s="302">
        <v>60000000</v>
      </c>
      <c r="N6" s="302">
        <v>60000000</v>
      </c>
    </row>
    <row r="7" spans="1:23" ht="54" x14ac:dyDescent="0.2">
      <c r="A7" s="97" t="s">
        <v>307</v>
      </c>
      <c r="B7" s="304">
        <v>17145000</v>
      </c>
      <c r="C7" s="304">
        <v>17145000</v>
      </c>
      <c r="D7" s="304">
        <v>17145000</v>
      </c>
      <c r="E7" s="304">
        <v>15000000</v>
      </c>
      <c r="F7" s="304">
        <v>15000000</v>
      </c>
      <c r="G7" s="304">
        <v>15000000</v>
      </c>
      <c r="H7" s="304">
        <v>15000000</v>
      </c>
      <c r="I7" s="304">
        <v>15000000</v>
      </c>
      <c r="J7" s="304">
        <v>15000000</v>
      </c>
      <c r="K7" s="304">
        <v>15000000</v>
      </c>
      <c r="L7" s="304">
        <v>15000000</v>
      </c>
      <c r="M7" s="304">
        <v>15000000</v>
      </c>
      <c r="N7" s="304">
        <v>15000000</v>
      </c>
    </row>
    <row r="8" spans="1:23" ht="36.75" thickBot="1" x14ac:dyDescent="0.25">
      <c r="A8" s="98" t="s">
        <v>87</v>
      </c>
      <c r="B8" s="305">
        <v>5700000</v>
      </c>
      <c r="C8" s="305">
        <v>5700000</v>
      </c>
      <c r="D8" s="305">
        <v>5700000</v>
      </c>
      <c r="E8" s="305">
        <v>2000000</v>
      </c>
      <c r="F8" s="305">
        <v>2000000</v>
      </c>
      <c r="G8" s="305">
        <v>2000000</v>
      </c>
      <c r="H8" s="305">
        <v>2000000</v>
      </c>
      <c r="I8" s="305">
        <v>2000000</v>
      </c>
      <c r="J8" s="305">
        <v>2000000</v>
      </c>
      <c r="K8" s="305">
        <v>2000000</v>
      </c>
      <c r="L8" s="305">
        <v>2000000</v>
      </c>
      <c r="M8" s="305">
        <v>2000000</v>
      </c>
      <c r="N8" s="305">
        <v>2000000</v>
      </c>
    </row>
    <row r="9" spans="1:23" ht="18.75" thickBot="1" x14ac:dyDescent="0.25">
      <c r="A9" s="99" t="s">
        <v>88</v>
      </c>
      <c r="B9" s="306">
        <f>SUM(B6:B8)</f>
        <v>96345000</v>
      </c>
      <c r="C9" s="306">
        <f t="shared" ref="C9:D9" si="1">SUM(C6:C8)</f>
        <v>90345000</v>
      </c>
      <c r="D9" s="306">
        <f t="shared" si="1"/>
        <v>96345000</v>
      </c>
      <c r="E9" s="306">
        <f t="shared" ref="E9:N9" si="2">SUM(E6:E8)</f>
        <v>77000000</v>
      </c>
      <c r="F9" s="306">
        <f t="shared" si="2"/>
        <v>77000000</v>
      </c>
      <c r="G9" s="306">
        <f t="shared" si="2"/>
        <v>77000000</v>
      </c>
      <c r="H9" s="306">
        <f t="shared" si="2"/>
        <v>77000000</v>
      </c>
      <c r="I9" s="306">
        <f t="shared" si="2"/>
        <v>77000000</v>
      </c>
      <c r="J9" s="306">
        <f t="shared" si="2"/>
        <v>77000000</v>
      </c>
      <c r="K9" s="306">
        <f t="shared" si="2"/>
        <v>77000000</v>
      </c>
      <c r="L9" s="306">
        <f t="shared" si="2"/>
        <v>77000000</v>
      </c>
      <c r="M9" s="306">
        <f t="shared" si="2"/>
        <v>77000000</v>
      </c>
      <c r="N9" s="306">
        <f t="shared" si="2"/>
        <v>77000000</v>
      </c>
    </row>
    <row r="10" spans="1:23" ht="228" thickBot="1" x14ac:dyDescent="0.25">
      <c r="A10" s="100" t="s">
        <v>89</v>
      </c>
      <c r="B10" s="307">
        <v>1900000</v>
      </c>
      <c r="C10" s="307">
        <v>1900000</v>
      </c>
      <c r="D10" s="307">
        <v>1900000</v>
      </c>
      <c r="E10" s="307">
        <v>1800000</v>
      </c>
      <c r="F10" s="307">
        <v>1750000</v>
      </c>
      <c r="G10" s="307">
        <v>1700000</v>
      </c>
      <c r="H10" s="307">
        <v>1650000</v>
      </c>
      <c r="I10" s="307">
        <v>1600000</v>
      </c>
      <c r="J10" s="307">
        <v>1550000</v>
      </c>
      <c r="K10" s="307">
        <v>1500000</v>
      </c>
      <c r="L10" s="307">
        <v>1450000</v>
      </c>
      <c r="M10" s="307">
        <v>1400000</v>
      </c>
      <c r="N10" s="307">
        <v>1350000</v>
      </c>
    </row>
    <row r="13" spans="1:23" ht="13.5" thickBot="1" x14ac:dyDescent="0.25">
      <c r="C13" s="355"/>
      <c r="D13" s="355"/>
      <c r="E13" s="355"/>
      <c r="F13" s="355"/>
      <c r="G13" s="355"/>
      <c r="H13" s="355"/>
    </row>
    <row r="14" spans="1:23" ht="15.75" x14ac:dyDescent="0.25">
      <c r="A14" s="745" t="s">
        <v>71</v>
      </c>
      <c r="B14" s="300"/>
      <c r="C14" s="300"/>
      <c r="D14" s="300"/>
      <c r="E14" s="300"/>
      <c r="F14" s="300"/>
      <c r="G14" s="300"/>
      <c r="H14" s="300"/>
      <c r="I14" s="300"/>
      <c r="J14" s="747" t="s">
        <v>72</v>
      </c>
    </row>
    <row r="15" spans="1:23" ht="16.5" thickBot="1" x14ac:dyDescent="0.3">
      <c r="A15" s="746"/>
      <c r="B15" s="301" t="s">
        <v>83</v>
      </c>
      <c r="C15" s="301" t="s">
        <v>84</v>
      </c>
      <c r="D15" s="301" t="s">
        <v>85</v>
      </c>
      <c r="E15" s="301" t="s">
        <v>306</v>
      </c>
      <c r="F15" s="301" t="s">
        <v>321</v>
      </c>
      <c r="G15" s="301" t="s">
        <v>353</v>
      </c>
      <c r="H15" s="301" t="s">
        <v>514</v>
      </c>
      <c r="I15" s="301" t="s">
        <v>574</v>
      </c>
      <c r="J15" s="748"/>
    </row>
    <row r="16" spans="1:23" ht="36" x14ac:dyDescent="0.2">
      <c r="A16" s="96" t="s">
        <v>86</v>
      </c>
      <c r="B16" s="302">
        <v>60000000</v>
      </c>
      <c r="C16" s="302">
        <v>60000000</v>
      </c>
      <c r="D16" s="302">
        <v>60000000</v>
      </c>
      <c r="E16" s="302">
        <v>60000000</v>
      </c>
      <c r="F16" s="302">
        <v>60000000</v>
      </c>
      <c r="G16" s="302">
        <v>60000000</v>
      </c>
      <c r="H16" s="302">
        <v>60000000</v>
      </c>
      <c r="I16" s="302">
        <v>60000000</v>
      </c>
      <c r="J16" s="303">
        <f>+B6+D6+E6+F6+G6+H6+I6+K6+L6+M6+N6+B16+C16+D16+E16+F16+G16+H16+I16</f>
        <v>1167000000</v>
      </c>
    </row>
    <row r="17" spans="1:10" ht="54" x14ac:dyDescent="0.2">
      <c r="A17" s="97" t="s">
        <v>307</v>
      </c>
      <c r="B17" s="304">
        <v>15000000</v>
      </c>
      <c r="C17" s="304">
        <v>15000000</v>
      </c>
      <c r="D17" s="304">
        <v>15000000</v>
      </c>
      <c r="E17" s="304">
        <v>15000000</v>
      </c>
      <c r="F17" s="304">
        <v>15000000</v>
      </c>
      <c r="G17" s="304">
        <v>15000000</v>
      </c>
      <c r="H17" s="304">
        <v>15000000</v>
      </c>
      <c r="I17" s="304">
        <v>15000000</v>
      </c>
      <c r="J17" s="303">
        <f t="shared" ref="J17:J20" si="3">+B7+D7+E7+F7+G7+H7+I7+K7+L7+M7+N7+B17+C17+D17+E17+F17+G17+H17+I17</f>
        <v>289290000</v>
      </c>
    </row>
    <row r="18" spans="1:10" ht="36.75" thickBot="1" x14ac:dyDescent="0.25">
      <c r="A18" s="98" t="s">
        <v>87</v>
      </c>
      <c r="B18" s="305">
        <v>2000000</v>
      </c>
      <c r="C18" s="305">
        <v>2000000</v>
      </c>
      <c r="D18" s="305">
        <v>2000000</v>
      </c>
      <c r="E18" s="305">
        <v>2000000</v>
      </c>
      <c r="F18" s="305">
        <v>2000000</v>
      </c>
      <c r="G18" s="305">
        <v>2000000</v>
      </c>
      <c r="H18" s="305">
        <v>2000000</v>
      </c>
      <c r="I18" s="305">
        <v>2000000</v>
      </c>
      <c r="J18" s="303">
        <f t="shared" si="3"/>
        <v>45400000</v>
      </c>
    </row>
    <row r="19" spans="1:10" ht="18.75" thickBot="1" x14ac:dyDescent="0.25">
      <c r="A19" s="99" t="s">
        <v>88</v>
      </c>
      <c r="B19" s="306">
        <f t="shared" ref="B19:H19" si="4">SUM(B16:B18)</f>
        <v>77000000</v>
      </c>
      <c r="C19" s="306">
        <f t="shared" si="4"/>
        <v>77000000</v>
      </c>
      <c r="D19" s="306">
        <f t="shared" si="4"/>
        <v>77000000</v>
      </c>
      <c r="E19" s="306">
        <f t="shared" si="4"/>
        <v>77000000</v>
      </c>
      <c r="F19" s="306">
        <f t="shared" si="4"/>
        <v>77000000</v>
      </c>
      <c r="G19" s="306">
        <f t="shared" si="4"/>
        <v>77000000</v>
      </c>
      <c r="H19" s="306">
        <f t="shared" si="4"/>
        <v>77000000</v>
      </c>
      <c r="I19" s="306">
        <f t="shared" ref="I19" si="5">SUM(I16:I18)</f>
        <v>77000000</v>
      </c>
      <c r="J19" s="303">
        <f t="shared" si="3"/>
        <v>1501690000</v>
      </c>
    </row>
    <row r="20" spans="1:10" ht="228" thickBot="1" x14ac:dyDescent="0.25">
      <c r="A20" s="100" t="s">
        <v>89</v>
      </c>
      <c r="B20" s="307">
        <v>1300000</v>
      </c>
      <c r="C20" s="307">
        <v>1250000</v>
      </c>
      <c r="D20" s="307">
        <v>1200000</v>
      </c>
      <c r="E20" s="307">
        <v>1150000</v>
      </c>
      <c r="F20" s="307">
        <v>1100000</v>
      </c>
      <c r="G20" s="307">
        <v>1050000</v>
      </c>
      <c r="H20" s="307">
        <v>1000000</v>
      </c>
      <c r="I20" s="307">
        <f>+H20-50000</f>
        <v>950000</v>
      </c>
      <c r="J20" s="303">
        <f t="shared" si="3"/>
        <v>27000000</v>
      </c>
    </row>
  </sheetData>
  <mergeCells count="5">
    <mergeCell ref="A4:A5"/>
    <mergeCell ref="J14:J15"/>
    <mergeCell ref="A14:A15"/>
    <mergeCell ref="A2:N2"/>
    <mergeCell ref="A1:N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3" fitToHeight="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58"/>
  <sheetViews>
    <sheetView topLeftCell="A4" zoomScaleNormal="100" workbookViewId="0">
      <selection activeCell="A2" sqref="A2:G3"/>
    </sheetView>
  </sheetViews>
  <sheetFormatPr defaultRowHeight="15" x14ac:dyDescent="0.2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6" width="20.7109375" customWidth="1"/>
    <col min="7" max="7" width="16.28515625" customWidth="1"/>
  </cols>
  <sheetData>
    <row r="1" spans="1:11" ht="15.75" x14ac:dyDescent="0.25">
      <c r="A1" s="751" t="s">
        <v>520</v>
      </c>
      <c r="B1" s="751"/>
      <c r="C1" s="751"/>
      <c r="D1" s="751"/>
      <c r="E1" s="751"/>
      <c r="F1" s="751"/>
      <c r="G1" s="751"/>
      <c r="H1" s="435"/>
      <c r="I1" s="435"/>
      <c r="J1" s="435"/>
      <c r="K1" s="127"/>
    </row>
    <row r="2" spans="1:11" ht="15.75" x14ac:dyDescent="0.25">
      <c r="A2" s="753" t="s">
        <v>63</v>
      </c>
      <c r="B2" s="753"/>
      <c r="C2" s="753"/>
      <c r="D2" s="753"/>
      <c r="E2" s="753"/>
      <c r="F2" s="753"/>
      <c r="G2" s="753"/>
      <c r="H2" s="128"/>
      <c r="I2" s="128"/>
      <c r="J2" s="128"/>
      <c r="K2" s="127"/>
    </row>
    <row r="3" spans="1:11" x14ac:dyDescent="0.25">
      <c r="A3" s="753"/>
      <c r="B3" s="753"/>
      <c r="C3" s="753"/>
      <c r="D3" s="753"/>
      <c r="E3" s="753"/>
      <c r="F3" s="753"/>
      <c r="G3" s="753"/>
      <c r="H3" s="504"/>
      <c r="I3" s="504"/>
      <c r="J3" s="504"/>
    </row>
    <row r="4" spans="1:11" ht="41.45" customHeight="1" x14ac:dyDescent="0.25">
      <c r="A4" s="752" t="s">
        <v>91</v>
      </c>
      <c r="B4" s="752"/>
      <c r="C4" s="752"/>
      <c r="D4" s="752"/>
      <c r="E4" s="752"/>
      <c r="F4" s="752"/>
      <c r="G4" s="752"/>
      <c r="H4" s="503"/>
      <c r="I4" s="503"/>
      <c r="J4" s="503"/>
    </row>
    <row r="7" spans="1:11" ht="24" customHeight="1" x14ac:dyDescent="0.25">
      <c r="A7" s="754" t="s">
        <v>453</v>
      </c>
      <c r="B7" s="754"/>
      <c r="C7" s="754"/>
      <c r="D7" s="754"/>
      <c r="E7" s="754"/>
      <c r="F7" s="754"/>
      <c r="G7" s="754"/>
      <c r="H7" s="505"/>
      <c r="I7" s="505"/>
      <c r="J7" s="505"/>
    </row>
    <row r="9" spans="1:11" ht="30" x14ac:dyDescent="0.25">
      <c r="A9" s="488" t="s">
        <v>457</v>
      </c>
      <c r="B9" s="489">
        <v>2019</v>
      </c>
      <c r="C9" s="489">
        <v>2020</v>
      </c>
      <c r="D9" s="489">
        <v>2021</v>
      </c>
      <c r="E9" s="489">
        <v>2022</v>
      </c>
      <c r="F9" s="489" t="s">
        <v>88</v>
      </c>
    </row>
    <row r="10" spans="1:11" s="492" customFormat="1" ht="21.75" customHeight="1" x14ac:dyDescent="0.25">
      <c r="A10" s="490" t="s">
        <v>454</v>
      </c>
      <c r="B10" s="491">
        <f>+((C19+C20+C21+C22+C23+C24+C25+C26)/127)*100</f>
        <v>1001484.2519685038</v>
      </c>
      <c r="C10" s="491">
        <f>((+C31+C32+C33+C34+C35+C36+C37+C38+C39+C40+C41+C42)/127)*100</f>
        <v>545951.18110236223</v>
      </c>
      <c r="D10" s="491">
        <f>((C39+C40+C41+C42+C43+C44+C45+C46+C47+C48+C49+C50)/127)*100+1</f>
        <v>563832.49606299214</v>
      </c>
      <c r="E10" s="491">
        <f>((C51+C52+C53+C54+C55)/127)*100</f>
        <v>243060.62992125985</v>
      </c>
      <c r="F10" s="497">
        <f>E10+D10+C10+B10</f>
        <v>2354328.5590551179</v>
      </c>
    </row>
    <row r="11" spans="1:11" s="492" customFormat="1" ht="21.75" customHeight="1" x14ac:dyDescent="0.25">
      <c r="A11" s="490" t="s">
        <v>456</v>
      </c>
      <c r="B11" s="491">
        <f>+B10*0.27</f>
        <v>270400.74803149607</v>
      </c>
      <c r="C11" s="491">
        <f>+C10*0.27</f>
        <v>147406.8188976378</v>
      </c>
      <c r="D11" s="491">
        <f>+D10*0.27</f>
        <v>152234.77393700788</v>
      </c>
      <c r="E11" s="491">
        <f>+E10*0.27</f>
        <v>65626.370078740161</v>
      </c>
      <c r="F11" s="497">
        <f t="shared" ref="F11:F13" si="0">E11+D11+C11+B11</f>
        <v>635668.7109448819</v>
      </c>
    </row>
    <row r="12" spans="1:11" s="492" customFormat="1" ht="21.75" customHeight="1" x14ac:dyDescent="0.25">
      <c r="A12" s="490" t="s">
        <v>455</v>
      </c>
      <c r="B12" s="491">
        <f>+D20+D21+D22+D23+D24+D25+D26</f>
        <v>59237</v>
      </c>
      <c r="C12" s="491">
        <f>+D31+D32+D33+D34+D35+D36+D37+D38+D39+D40+D41+D42</f>
        <v>56508</v>
      </c>
      <c r="D12" s="491">
        <f>+D39+D40+D41+D42+D43+D44+D45+D46+D47+D48+D49+D50</f>
        <v>33798</v>
      </c>
      <c r="E12" s="491">
        <f>+D51+D52+D53+D54+D55</f>
        <v>3760</v>
      </c>
      <c r="F12" s="497">
        <f t="shared" si="0"/>
        <v>153303</v>
      </c>
    </row>
    <row r="13" spans="1:11" s="492" customFormat="1" ht="21.75" customHeight="1" x14ac:dyDescent="0.25">
      <c r="A13" s="490" t="s">
        <v>72</v>
      </c>
      <c r="B13" s="491">
        <f>+B10+B11+B12</f>
        <v>1331122</v>
      </c>
      <c r="C13" s="491">
        <f t="shared" ref="C13" si="1">+C10+C11+C12</f>
        <v>749866</v>
      </c>
      <c r="D13" s="491">
        <f>+D10+D11+D12</f>
        <v>749865.27</v>
      </c>
      <c r="E13" s="491">
        <f>+E10+E11+E12</f>
        <v>312447</v>
      </c>
      <c r="F13" s="497">
        <f t="shared" si="0"/>
        <v>3143300.27</v>
      </c>
    </row>
    <row r="14" spans="1:11" x14ac:dyDescent="0.25">
      <c r="B14" s="573"/>
      <c r="C14" s="573"/>
      <c r="D14" s="573"/>
      <c r="E14" s="573"/>
      <c r="F14" s="486"/>
      <c r="G14" s="486"/>
    </row>
    <row r="15" spans="1:11" x14ac:dyDescent="0.25">
      <c r="B15" s="573"/>
      <c r="G15" s="486"/>
    </row>
    <row r="16" spans="1:11" ht="22.5" customHeight="1" x14ac:dyDescent="0.25">
      <c r="A16" s="750" t="s">
        <v>458</v>
      </c>
      <c r="B16" s="750"/>
      <c r="C16" s="750"/>
      <c r="D16" s="750"/>
      <c r="E16" s="750"/>
      <c r="F16" s="750"/>
      <c r="G16" s="750"/>
    </row>
    <row r="18" spans="2:6" ht="27.75" customHeight="1" x14ac:dyDescent="0.25">
      <c r="B18" s="489" t="s">
        <v>459</v>
      </c>
      <c r="C18" s="489" t="s">
        <v>460</v>
      </c>
      <c r="D18" s="489" t="s">
        <v>462</v>
      </c>
      <c r="E18" s="489" t="s">
        <v>461</v>
      </c>
      <c r="F18" s="554"/>
    </row>
    <row r="19" spans="2:6" ht="27.75" customHeight="1" x14ac:dyDescent="0.25">
      <c r="B19" s="496" t="s">
        <v>464</v>
      </c>
      <c r="C19" s="491">
        <v>893700</v>
      </c>
      <c r="D19" s="489">
        <v>0</v>
      </c>
      <c r="E19" s="491">
        <f>+C19+D19</f>
        <v>893700</v>
      </c>
      <c r="F19" s="555"/>
    </row>
    <row r="20" spans="2:6" x14ac:dyDescent="0.25">
      <c r="B20" s="493">
        <v>43633</v>
      </c>
      <c r="C20" s="487">
        <v>48965</v>
      </c>
      <c r="D20" s="487">
        <v>13524</v>
      </c>
      <c r="E20" s="487">
        <f>+C20+D20</f>
        <v>62489</v>
      </c>
      <c r="F20" s="556"/>
    </row>
    <row r="21" spans="2:6" x14ac:dyDescent="0.25">
      <c r="B21" s="493">
        <v>43661</v>
      </c>
      <c r="C21" s="487">
        <v>54943</v>
      </c>
      <c r="D21" s="487">
        <v>7546</v>
      </c>
      <c r="E21" s="487">
        <f t="shared" ref="E21:E55" si="2">+C21+D21</f>
        <v>62489</v>
      </c>
      <c r="F21" s="556"/>
    </row>
    <row r="22" spans="2:6" x14ac:dyDescent="0.25">
      <c r="B22" s="493">
        <v>43692</v>
      </c>
      <c r="C22" s="487">
        <v>54359</v>
      </c>
      <c r="D22" s="487">
        <v>8129</v>
      </c>
      <c r="E22" s="487">
        <f t="shared" si="2"/>
        <v>62488</v>
      </c>
      <c r="F22" s="556"/>
    </row>
    <row r="23" spans="2:6" x14ac:dyDescent="0.25">
      <c r="B23" s="493">
        <v>43724</v>
      </c>
      <c r="C23" s="487">
        <v>54327</v>
      </c>
      <c r="D23" s="487">
        <v>8162</v>
      </c>
      <c r="E23" s="487">
        <f t="shared" si="2"/>
        <v>62489</v>
      </c>
      <c r="F23" s="556"/>
    </row>
    <row r="24" spans="2:6" x14ac:dyDescent="0.25">
      <c r="B24" s="493">
        <v>43753</v>
      </c>
      <c r="C24" s="487">
        <v>55301</v>
      </c>
      <c r="D24" s="487">
        <v>7188</v>
      </c>
      <c r="E24" s="487">
        <f t="shared" si="2"/>
        <v>62489</v>
      </c>
      <c r="F24" s="556"/>
    </row>
    <row r="25" spans="2:6" x14ac:dyDescent="0.25">
      <c r="B25" s="493">
        <v>43784</v>
      </c>
      <c r="C25" s="487">
        <v>55032</v>
      </c>
      <c r="D25" s="487">
        <v>7457</v>
      </c>
      <c r="E25" s="487">
        <f t="shared" si="2"/>
        <v>62489</v>
      </c>
      <c r="F25" s="556"/>
    </row>
    <row r="26" spans="2:6" x14ac:dyDescent="0.25">
      <c r="B26" s="493">
        <v>43815</v>
      </c>
      <c r="C26" s="487">
        <v>55258</v>
      </c>
      <c r="D26" s="487">
        <v>7231</v>
      </c>
      <c r="E26" s="487">
        <f t="shared" si="2"/>
        <v>62489</v>
      </c>
      <c r="F26" s="556"/>
    </row>
    <row r="27" spans="2:6" x14ac:dyDescent="0.25">
      <c r="B27" s="493">
        <v>43845</v>
      </c>
      <c r="C27" s="487">
        <v>55711</v>
      </c>
      <c r="D27" s="487">
        <v>6778</v>
      </c>
      <c r="E27" s="487">
        <f t="shared" si="2"/>
        <v>62489</v>
      </c>
      <c r="F27" s="556"/>
    </row>
    <row r="28" spans="2:6" x14ac:dyDescent="0.25">
      <c r="B28" s="493">
        <v>43878</v>
      </c>
      <c r="C28" s="487">
        <v>55276</v>
      </c>
      <c r="D28" s="487">
        <v>7213</v>
      </c>
      <c r="E28" s="487">
        <f t="shared" si="2"/>
        <v>62489</v>
      </c>
      <c r="F28" s="556"/>
    </row>
    <row r="29" spans="2:6" x14ac:dyDescent="0.25">
      <c r="B29" s="493">
        <v>43906</v>
      </c>
      <c r="C29" s="487">
        <v>56574</v>
      </c>
      <c r="D29" s="487">
        <v>5915</v>
      </c>
      <c r="E29" s="487">
        <f t="shared" si="2"/>
        <v>62489</v>
      </c>
      <c r="F29" s="556"/>
    </row>
    <row r="30" spans="2:6" x14ac:dyDescent="0.25">
      <c r="B30" s="493">
        <v>43936</v>
      </c>
      <c r="C30" s="487">
        <v>56376</v>
      </c>
      <c r="D30" s="487">
        <v>6113</v>
      </c>
      <c r="E30" s="487">
        <f t="shared" si="2"/>
        <v>62489</v>
      </c>
      <c r="F30" s="556"/>
    </row>
    <row r="31" spans="2:6" x14ac:dyDescent="0.25">
      <c r="B31" s="493">
        <v>43966</v>
      </c>
      <c r="C31" s="487">
        <v>56600</v>
      </c>
      <c r="D31" s="487">
        <v>5889</v>
      </c>
      <c r="E31" s="487">
        <f t="shared" si="2"/>
        <v>62489</v>
      </c>
      <c r="F31" s="556"/>
    </row>
    <row r="32" spans="2:6" x14ac:dyDescent="0.25">
      <c r="B32" s="493">
        <v>43997</v>
      </c>
      <c r="C32" s="487">
        <v>56636</v>
      </c>
      <c r="D32" s="487">
        <v>5853</v>
      </c>
      <c r="E32" s="487">
        <f t="shared" si="2"/>
        <v>62489</v>
      </c>
      <c r="F32" s="556"/>
    </row>
    <row r="33" spans="2:6" x14ac:dyDescent="0.25">
      <c r="B33" s="493">
        <v>44027</v>
      </c>
      <c r="C33" s="487">
        <v>57049</v>
      </c>
      <c r="D33" s="487">
        <v>5439</v>
      </c>
      <c r="E33" s="487">
        <f t="shared" si="2"/>
        <v>62488</v>
      </c>
      <c r="F33" s="556"/>
    </row>
    <row r="34" spans="2:6" x14ac:dyDescent="0.25">
      <c r="B34" s="493">
        <v>44060</v>
      </c>
      <c r="C34" s="487">
        <v>56755</v>
      </c>
      <c r="D34" s="487">
        <v>5734</v>
      </c>
      <c r="E34" s="487">
        <f t="shared" si="2"/>
        <v>62489</v>
      </c>
      <c r="F34" s="556"/>
    </row>
    <row r="35" spans="2:6" x14ac:dyDescent="0.25">
      <c r="B35" s="493">
        <v>44089</v>
      </c>
      <c r="C35" s="487">
        <v>57668</v>
      </c>
      <c r="D35" s="487">
        <v>4821</v>
      </c>
      <c r="E35" s="487">
        <f t="shared" si="2"/>
        <v>62489</v>
      </c>
      <c r="F35" s="556"/>
    </row>
    <row r="36" spans="2:6" x14ac:dyDescent="0.25">
      <c r="B36" s="493">
        <v>44119</v>
      </c>
      <c r="C36" s="487">
        <v>57730</v>
      </c>
      <c r="D36" s="487">
        <v>4759</v>
      </c>
      <c r="E36" s="487">
        <f t="shared" si="2"/>
        <v>62489</v>
      </c>
      <c r="F36" s="556"/>
    </row>
    <row r="37" spans="2:6" x14ac:dyDescent="0.25">
      <c r="B37" s="493">
        <v>44151</v>
      </c>
      <c r="C37" s="487">
        <v>57658</v>
      </c>
      <c r="D37" s="487">
        <v>4831</v>
      </c>
      <c r="E37" s="487">
        <f t="shared" si="2"/>
        <v>62489</v>
      </c>
      <c r="F37" s="556"/>
    </row>
    <row r="38" spans="2:6" x14ac:dyDescent="0.25">
      <c r="B38" s="493">
        <v>44180</v>
      </c>
      <c r="C38" s="487">
        <v>58332</v>
      </c>
      <c r="D38" s="487">
        <v>4157</v>
      </c>
      <c r="E38" s="487">
        <f t="shared" si="2"/>
        <v>62489</v>
      </c>
      <c r="F38" s="556"/>
    </row>
    <row r="39" spans="2:6" x14ac:dyDescent="0.25">
      <c r="B39" s="493">
        <v>44211</v>
      </c>
      <c r="C39" s="487">
        <v>58284</v>
      </c>
      <c r="D39" s="487">
        <v>4204</v>
      </c>
      <c r="E39" s="487">
        <f t="shared" si="2"/>
        <v>62488</v>
      </c>
      <c r="F39" s="556"/>
    </row>
    <row r="40" spans="2:6" x14ac:dyDescent="0.25">
      <c r="B40" s="493">
        <v>44242</v>
      </c>
      <c r="C40" s="487">
        <v>58524</v>
      </c>
      <c r="D40" s="487">
        <v>3965</v>
      </c>
      <c r="E40" s="487">
        <f t="shared" si="2"/>
        <v>62489</v>
      </c>
      <c r="F40" s="556"/>
    </row>
    <row r="41" spans="2:6" x14ac:dyDescent="0.25">
      <c r="B41" s="493">
        <v>44271</v>
      </c>
      <c r="C41" s="487">
        <v>59004</v>
      </c>
      <c r="D41" s="487">
        <v>3485</v>
      </c>
      <c r="E41" s="487">
        <f t="shared" si="2"/>
        <v>62489</v>
      </c>
      <c r="F41" s="556"/>
    </row>
    <row r="42" spans="2:6" x14ac:dyDescent="0.25">
      <c r="B42" s="493">
        <v>44301</v>
      </c>
      <c r="C42" s="487">
        <v>59118</v>
      </c>
      <c r="D42" s="487">
        <v>3371</v>
      </c>
      <c r="E42" s="487">
        <f t="shared" si="2"/>
        <v>62489</v>
      </c>
      <c r="F42" s="556"/>
    </row>
    <row r="43" spans="2:6" x14ac:dyDescent="0.25">
      <c r="B43" s="493">
        <v>44333</v>
      </c>
      <c r="C43" s="487">
        <v>59144</v>
      </c>
      <c r="D43" s="487">
        <v>3345</v>
      </c>
      <c r="E43" s="487">
        <f t="shared" si="2"/>
        <v>62489</v>
      </c>
      <c r="F43" s="556"/>
    </row>
    <row r="44" spans="2:6" x14ac:dyDescent="0.25">
      <c r="B44" s="493">
        <v>44362</v>
      </c>
      <c r="C44" s="487">
        <v>59684</v>
      </c>
      <c r="D44" s="487">
        <v>2804</v>
      </c>
      <c r="E44" s="487">
        <f t="shared" si="2"/>
        <v>62488</v>
      </c>
      <c r="F44" s="556"/>
    </row>
    <row r="45" spans="2:6" x14ac:dyDescent="0.25">
      <c r="B45" s="493">
        <v>44392</v>
      </c>
      <c r="C45" s="487">
        <v>59825</v>
      </c>
      <c r="D45" s="487">
        <v>2664</v>
      </c>
      <c r="E45" s="487">
        <f t="shared" si="2"/>
        <v>62489</v>
      </c>
      <c r="F45" s="556"/>
    </row>
    <row r="46" spans="2:6" x14ac:dyDescent="0.25">
      <c r="B46" s="493">
        <v>44424</v>
      </c>
      <c r="C46" s="487">
        <v>59900</v>
      </c>
      <c r="D46" s="487">
        <v>2588</v>
      </c>
      <c r="E46" s="487">
        <f t="shared" si="2"/>
        <v>62488</v>
      </c>
      <c r="F46" s="556"/>
    </row>
    <row r="47" spans="2:6" x14ac:dyDescent="0.25">
      <c r="B47" s="493">
        <v>44454</v>
      </c>
      <c r="C47" s="487">
        <v>60300</v>
      </c>
      <c r="D47" s="487">
        <v>2189</v>
      </c>
      <c r="E47" s="487">
        <f t="shared" si="2"/>
        <v>62489</v>
      </c>
      <c r="F47" s="556"/>
    </row>
    <row r="48" spans="2:6" x14ac:dyDescent="0.25">
      <c r="B48" s="493">
        <v>44484</v>
      </c>
      <c r="C48" s="487">
        <v>60539</v>
      </c>
      <c r="D48" s="487">
        <v>1949</v>
      </c>
      <c r="E48" s="487">
        <f t="shared" si="2"/>
        <v>62488</v>
      </c>
      <c r="F48" s="556"/>
    </row>
    <row r="49" spans="2:6" x14ac:dyDescent="0.25">
      <c r="B49" s="493">
        <v>44515</v>
      </c>
      <c r="C49" s="487">
        <v>60723</v>
      </c>
      <c r="D49" s="487">
        <v>1766</v>
      </c>
      <c r="E49" s="487">
        <f t="shared" si="2"/>
        <v>62489</v>
      </c>
      <c r="F49" s="556"/>
    </row>
    <row r="50" spans="2:6" x14ac:dyDescent="0.25">
      <c r="B50" s="493">
        <v>44545</v>
      </c>
      <c r="C50" s="487">
        <v>61021</v>
      </c>
      <c r="D50" s="487">
        <v>1468</v>
      </c>
      <c r="E50" s="487">
        <f t="shared" si="2"/>
        <v>62489</v>
      </c>
      <c r="F50" s="556"/>
    </row>
    <row r="51" spans="2:6" x14ac:dyDescent="0.25">
      <c r="B51" s="493">
        <v>44576</v>
      </c>
      <c r="C51" s="487">
        <v>61141</v>
      </c>
      <c r="D51" s="487">
        <v>1348</v>
      </c>
      <c r="E51" s="487">
        <f t="shared" si="2"/>
        <v>62489</v>
      </c>
      <c r="F51" s="556"/>
    </row>
    <row r="52" spans="2:6" x14ac:dyDescent="0.25">
      <c r="B52" s="493">
        <v>44607</v>
      </c>
      <c r="C52" s="487">
        <v>61539</v>
      </c>
      <c r="D52" s="487">
        <v>950</v>
      </c>
      <c r="E52" s="487">
        <f t="shared" si="2"/>
        <v>62489</v>
      </c>
      <c r="F52" s="556"/>
    </row>
    <row r="53" spans="2:6" x14ac:dyDescent="0.25">
      <c r="B53" s="493">
        <v>44636</v>
      </c>
      <c r="C53" s="487">
        <v>61775</v>
      </c>
      <c r="D53" s="487">
        <v>714</v>
      </c>
      <c r="E53" s="487">
        <f t="shared" si="2"/>
        <v>62489</v>
      </c>
      <c r="F53" s="556"/>
    </row>
    <row r="54" spans="2:6" x14ac:dyDescent="0.25">
      <c r="B54" s="493">
        <v>44666</v>
      </c>
      <c r="C54" s="487">
        <v>61996</v>
      </c>
      <c r="D54" s="487">
        <v>493</v>
      </c>
      <c r="E54" s="487">
        <f t="shared" si="2"/>
        <v>62489</v>
      </c>
      <c r="F54" s="556"/>
    </row>
    <row r="55" spans="2:6" x14ac:dyDescent="0.25">
      <c r="B55" s="493">
        <v>44697</v>
      </c>
      <c r="C55" s="487">
        <f>62234+2</f>
        <v>62236</v>
      </c>
      <c r="D55" s="487">
        <v>255</v>
      </c>
      <c r="E55" s="487">
        <f t="shared" si="2"/>
        <v>62491</v>
      </c>
      <c r="F55" s="556"/>
    </row>
    <row r="56" spans="2:6" ht="30.75" customHeight="1" x14ac:dyDescent="0.25">
      <c r="B56" s="494" t="s">
        <v>463</v>
      </c>
      <c r="C56" s="495">
        <f>SUM(C19:C55)</f>
        <v>2979003</v>
      </c>
      <c r="D56" s="495">
        <f>SUM(D19:D55)</f>
        <v>164297</v>
      </c>
      <c r="E56" s="495">
        <f>SUM(E19:E55)</f>
        <v>3143300</v>
      </c>
      <c r="F56" s="557"/>
    </row>
    <row r="58" spans="2:6" x14ac:dyDescent="0.25">
      <c r="C58" s="486"/>
      <c r="D58" s="572"/>
    </row>
  </sheetData>
  <mergeCells count="5">
    <mergeCell ref="A16:G16"/>
    <mergeCell ref="A1:G1"/>
    <mergeCell ref="A4:G4"/>
    <mergeCell ref="A2:G3"/>
    <mergeCell ref="A7:G7"/>
  </mergeCells>
  <phoneticPr fontId="0" type="noConversion"/>
  <pageMargins left="0.75" right="0.75" top="1" bottom="1" header="0.5" footer="0.5"/>
  <pageSetup paperSize="9" scale="6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FF"/>
    <pageSetUpPr fitToPage="1"/>
  </sheetPr>
  <dimension ref="A1:AG24"/>
  <sheetViews>
    <sheetView zoomScale="80" zoomScaleNormal="80" zoomScaleSheetLayoutView="80" workbookViewId="0">
      <pane xSplit="1" ySplit="1" topLeftCell="B2" activePane="bottomRight" state="frozen"/>
      <selection activeCell="C98" sqref="C98"/>
      <selection pane="topRight" activeCell="C98" sqref="C98"/>
      <selection pane="bottomLeft" activeCell="C98" sqref="C98"/>
      <selection pane="bottomRight" activeCell="A3" sqref="A3"/>
    </sheetView>
  </sheetViews>
  <sheetFormatPr defaultRowHeight="15.75" x14ac:dyDescent="0.25"/>
  <cols>
    <col min="1" max="1" width="36.85546875" style="111" customWidth="1"/>
    <col min="2" max="12" width="20.28515625" style="111" customWidth="1"/>
    <col min="13" max="13" width="20.28515625" style="125" customWidth="1"/>
    <col min="14" max="14" width="20.28515625" style="126" customWidth="1"/>
    <col min="15" max="15" width="16.5703125" style="126" customWidth="1"/>
    <col min="16" max="16" width="17.7109375" style="106" customWidth="1"/>
    <col min="17" max="17" width="16.42578125" style="106" customWidth="1"/>
    <col min="18" max="19" width="16.42578125" style="107" customWidth="1"/>
    <col min="20" max="21" width="16.42578125" style="106" customWidth="1"/>
    <col min="22" max="22" width="15" style="106" customWidth="1"/>
    <col min="23" max="27" width="17" style="106" customWidth="1"/>
    <col min="28" max="28" width="16.85546875" style="106" customWidth="1"/>
    <col min="29" max="29" width="20.28515625" style="106" customWidth="1"/>
    <col min="30" max="30" width="16.85546875" style="106" customWidth="1"/>
    <col min="31" max="31" width="15.28515625" style="106" customWidth="1"/>
    <col min="32" max="33" width="15.85546875" style="106" bestFit="1" customWidth="1"/>
    <col min="34" max="16384" width="9.140625" style="106"/>
  </cols>
  <sheetData>
    <row r="1" spans="1:33" x14ac:dyDescent="0.2">
      <c r="A1" s="757" t="s">
        <v>663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105"/>
      <c r="O1" s="105"/>
    </row>
    <row r="2" spans="1:33" s="109" customFormat="1" ht="28.5" customHeight="1" x14ac:dyDescent="0.25">
      <c r="A2" s="758" t="s">
        <v>716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108"/>
      <c r="O2" s="108"/>
      <c r="R2" s="110"/>
      <c r="S2" s="110"/>
    </row>
    <row r="3" spans="1:33" ht="26.25" customHeight="1" thickBot="1" x14ac:dyDescent="0.3">
      <c r="M3" s="112" t="s">
        <v>316</v>
      </c>
      <c r="N3" s="113"/>
      <c r="O3" s="113"/>
      <c r="AC3" s="588"/>
      <c r="AD3" s="588"/>
    </row>
    <row r="4" spans="1:33" s="116" customFormat="1" ht="24.95" customHeight="1" thickBot="1" x14ac:dyDescent="0.3">
      <c r="A4" s="114"/>
      <c r="B4" s="759" t="s">
        <v>92</v>
      </c>
      <c r="C4" s="760"/>
      <c r="D4" s="759" t="s">
        <v>93</v>
      </c>
      <c r="E4" s="760"/>
      <c r="F4" s="759" t="s">
        <v>94</v>
      </c>
      <c r="G4" s="760"/>
      <c r="H4" s="759" t="s">
        <v>95</v>
      </c>
      <c r="I4" s="760"/>
      <c r="J4" s="759" t="s">
        <v>96</v>
      </c>
      <c r="K4" s="760"/>
      <c r="L4" s="759" t="s">
        <v>97</v>
      </c>
      <c r="M4" s="760"/>
      <c r="N4" s="759" t="s">
        <v>98</v>
      </c>
      <c r="O4" s="760"/>
      <c r="P4" s="759" t="s">
        <v>99</v>
      </c>
      <c r="Q4" s="760"/>
      <c r="R4" s="759" t="s">
        <v>100</v>
      </c>
      <c r="S4" s="760"/>
      <c r="T4" s="759" t="s">
        <v>101</v>
      </c>
      <c r="U4" s="760"/>
      <c r="V4" s="759" t="s">
        <v>102</v>
      </c>
      <c r="W4" s="760"/>
      <c r="X4" s="761" t="s">
        <v>103</v>
      </c>
      <c r="Y4" s="761"/>
      <c r="Z4" s="584" t="s">
        <v>88</v>
      </c>
      <c r="AA4" s="558" t="s">
        <v>88</v>
      </c>
      <c r="AB4" s="755" t="s">
        <v>509</v>
      </c>
      <c r="AC4" s="756"/>
      <c r="AD4" s="756"/>
      <c r="AE4" s="755" t="s">
        <v>638</v>
      </c>
      <c r="AF4" s="756"/>
      <c r="AG4" s="756"/>
    </row>
    <row r="5" spans="1:33" s="116" customFormat="1" ht="45.75" customHeight="1" x14ac:dyDescent="0.25">
      <c r="A5" s="114"/>
      <c r="B5" s="456" t="s">
        <v>368</v>
      </c>
      <c r="C5" s="456" t="s">
        <v>611</v>
      </c>
      <c r="D5" s="456" t="s">
        <v>368</v>
      </c>
      <c r="E5" s="456" t="s">
        <v>611</v>
      </c>
      <c r="F5" s="456" t="s">
        <v>368</v>
      </c>
      <c r="G5" s="456" t="s">
        <v>611</v>
      </c>
      <c r="H5" s="456" t="s">
        <v>368</v>
      </c>
      <c r="I5" s="456" t="s">
        <v>611</v>
      </c>
      <c r="J5" s="456" t="s">
        <v>368</v>
      </c>
      <c r="K5" s="456" t="s">
        <v>611</v>
      </c>
      <c r="L5" s="456" t="s">
        <v>368</v>
      </c>
      <c r="M5" s="456" t="s">
        <v>611</v>
      </c>
      <c r="N5" s="456" t="s">
        <v>368</v>
      </c>
      <c r="O5" s="456" t="s">
        <v>611</v>
      </c>
      <c r="P5" s="456" t="s">
        <v>368</v>
      </c>
      <c r="Q5" s="456" t="s">
        <v>611</v>
      </c>
      <c r="R5" s="456" t="s">
        <v>368</v>
      </c>
      <c r="S5" s="456" t="s">
        <v>611</v>
      </c>
      <c r="T5" s="456" t="s">
        <v>368</v>
      </c>
      <c r="U5" s="456" t="s">
        <v>611</v>
      </c>
      <c r="V5" s="456" t="s">
        <v>368</v>
      </c>
      <c r="W5" s="456" t="s">
        <v>611</v>
      </c>
      <c r="X5" s="456" t="s">
        <v>368</v>
      </c>
      <c r="Y5" s="456" t="s">
        <v>611</v>
      </c>
      <c r="Z5" s="456" t="s">
        <v>368</v>
      </c>
      <c r="AA5" s="456" t="s">
        <v>611</v>
      </c>
      <c r="AB5" s="115"/>
      <c r="AD5" s="117"/>
    </row>
    <row r="6" spans="1:33" ht="24.95" customHeight="1" x14ac:dyDescent="0.25">
      <c r="A6" s="118" t="s">
        <v>115</v>
      </c>
      <c r="B6" s="382">
        <v>30380654</v>
      </c>
      <c r="C6" s="382">
        <f>30380654+2800000</f>
        <v>33180654</v>
      </c>
      <c r="D6" s="382">
        <v>30380654</v>
      </c>
      <c r="E6" s="382">
        <f>30380654+2800000</f>
        <v>33180654</v>
      </c>
      <c r="F6" s="382">
        <v>30380654</v>
      </c>
      <c r="G6" s="382">
        <f>30380654+2800000</f>
        <v>33180654</v>
      </c>
      <c r="H6" s="382">
        <v>30380654</v>
      </c>
      <c r="I6" s="382">
        <f>30380654+2800000</f>
        <v>33180654</v>
      </c>
      <c r="J6" s="382">
        <v>30380654</v>
      </c>
      <c r="K6" s="382">
        <f>30380654+2800000</f>
        <v>33180654</v>
      </c>
      <c r="L6" s="382">
        <v>30380654</v>
      </c>
      <c r="M6" s="382">
        <f>30380654+2800000</f>
        <v>33180654</v>
      </c>
      <c r="N6" s="382">
        <v>30380654</v>
      </c>
      <c r="O6" s="382">
        <f>30380654+2800000+3666000</f>
        <v>36846654</v>
      </c>
      <c r="P6" s="382">
        <v>30380654</v>
      </c>
      <c r="Q6" s="382">
        <f>30380654+2800000+3666000</f>
        <v>36846654</v>
      </c>
      <c r="R6" s="382">
        <v>30380654</v>
      </c>
      <c r="S6" s="382">
        <f>30380654+2800000+3666000</f>
        <v>36846654</v>
      </c>
      <c r="T6" s="382">
        <v>30380654</v>
      </c>
      <c r="U6" s="382">
        <f>30380654+2800000+3666000-50180047</f>
        <v>-13333393</v>
      </c>
      <c r="V6" s="382">
        <v>30380654</v>
      </c>
      <c r="W6" s="382">
        <f>30380654+2800000+3666000</f>
        <v>36846654</v>
      </c>
      <c r="X6" s="382">
        <f>30380654+2</f>
        <v>30380656</v>
      </c>
      <c r="Y6" s="382">
        <f>30380654+3953095+3671162</f>
        <v>38004911</v>
      </c>
      <c r="Z6" s="383">
        <f t="shared" ref="Z6:AA12" si="0">+X6+V6+T6+R6+P6+N6+L6+J6+H6+F6+D6+B6</f>
        <v>364567850</v>
      </c>
      <c r="AA6" s="383">
        <f t="shared" si="0"/>
        <v>371142058</v>
      </c>
      <c r="AB6" s="119">
        <f>+'5 b.sz.mell.'!F62</f>
        <v>364567850</v>
      </c>
      <c r="AC6" s="381">
        <f>+AB6-Z6</f>
        <v>0</v>
      </c>
      <c r="AD6" s="107">
        <f>+AB6/12</f>
        <v>30380654.166666668</v>
      </c>
      <c r="AE6" s="119">
        <f>+'5 b.sz.mell.'!G62</f>
        <v>371142058</v>
      </c>
      <c r="AF6" s="381">
        <f>+AE6-AA6</f>
        <v>0</v>
      </c>
      <c r="AG6" s="107">
        <f>+AF6/6</f>
        <v>0</v>
      </c>
    </row>
    <row r="7" spans="1:33" ht="24.95" customHeight="1" x14ac:dyDescent="0.25">
      <c r="A7" s="118" t="s">
        <v>104</v>
      </c>
      <c r="B7" s="382">
        <v>6600000</v>
      </c>
      <c r="C7" s="382">
        <f>6600000-500000</f>
        <v>6100000</v>
      </c>
      <c r="D7" s="382">
        <v>6600000</v>
      </c>
      <c r="E7" s="382">
        <f>6600000-500000</f>
        <v>6100000</v>
      </c>
      <c r="F7" s="382">
        <v>6600000</v>
      </c>
      <c r="G7" s="382">
        <f>6600000-500000</f>
        <v>6100000</v>
      </c>
      <c r="H7" s="382">
        <v>6600000</v>
      </c>
      <c r="I7" s="382">
        <f>6600000-500000</f>
        <v>6100000</v>
      </c>
      <c r="J7" s="382">
        <v>6600000</v>
      </c>
      <c r="K7" s="382">
        <f>6600000-500000</f>
        <v>6100000</v>
      </c>
      <c r="L7" s="382">
        <v>6600000</v>
      </c>
      <c r="M7" s="382">
        <f>6600000-500000</f>
        <v>6100000</v>
      </c>
      <c r="N7" s="382">
        <v>6600000</v>
      </c>
      <c r="O7" s="382">
        <f>6600000-500000</f>
        <v>6100000</v>
      </c>
      <c r="P7" s="382">
        <v>6600000</v>
      </c>
      <c r="Q7" s="382">
        <f>6600000-500000+2000000+2000000</f>
        <v>10100000</v>
      </c>
      <c r="R7" s="382">
        <v>6600000</v>
      </c>
      <c r="S7" s="382">
        <f>6600000-500000+2000000+2000000</f>
        <v>10100000</v>
      </c>
      <c r="T7" s="382">
        <v>6600000</v>
      </c>
      <c r="U7" s="382">
        <f>6600000-500000+2000000+2000000</f>
        <v>10100000</v>
      </c>
      <c r="V7" s="382">
        <v>6600000</v>
      </c>
      <c r="W7" s="382">
        <f>6600000-500000+2000000+2000000</f>
        <v>10100000</v>
      </c>
      <c r="X7" s="382">
        <f>70000+6600000</f>
        <v>6670000</v>
      </c>
      <c r="Y7" s="382">
        <f>6600000-500000+70000+2000000+2159115</f>
        <v>10329115</v>
      </c>
      <c r="Z7" s="383">
        <f t="shared" si="0"/>
        <v>79270000</v>
      </c>
      <c r="AA7" s="383">
        <f t="shared" si="0"/>
        <v>93429115</v>
      </c>
      <c r="AB7" s="119">
        <f>+'5 b.sz.mell.'!P62</f>
        <v>79270000</v>
      </c>
      <c r="AC7" s="120">
        <f t="shared" ref="AC7:AC12" si="1">+AB7-Z7</f>
        <v>0</v>
      </c>
      <c r="AD7" s="107">
        <f>+AB7/12</f>
        <v>6605833.333333333</v>
      </c>
      <c r="AE7" s="119">
        <f>+'5 b.sz.mell.'!Q62</f>
        <v>93429115</v>
      </c>
      <c r="AF7" s="381">
        <f t="shared" ref="AF7:AF23" si="2">+AE7-AA7</f>
        <v>0</v>
      </c>
      <c r="AG7" s="107">
        <f t="shared" ref="AG7:AG21" si="3">+AF7/12</f>
        <v>0</v>
      </c>
    </row>
    <row r="8" spans="1:33" ht="24.95" customHeight="1" x14ac:dyDescent="0.25">
      <c r="A8" s="118" t="s">
        <v>105</v>
      </c>
      <c r="B8" s="382">
        <v>4620000</v>
      </c>
      <c r="C8" s="382">
        <v>4620000</v>
      </c>
      <c r="D8" s="382">
        <v>4620000</v>
      </c>
      <c r="E8" s="382">
        <v>4620000</v>
      </c>
      <c r="F8" s="382">
        <v>4620000</v>
      </c>
      <c r="G8" s="382">
        <v>4620000</v>
      </c>
      <c r="H8" s="382">
        <v>4620000</v>
      </c>
      <c r="I8" s="382">
        <v>4620000</v>
      </c>
      <c r="J8" s="382">
        <v>4620000</v>
      </c>
      <c r="K8" s="382">
        <v>4620000</v>
      </c>
      <c r="L8" s="382">
        <v>4620000</v>
      </c>
      <c r="M8" s="382">
        <v>4620000</v>
      </c>
      <c r="N8" s="382">
        <v>4620000</v>
      </c>
      <c r="O8" s="382">
        <v>4620000</v>
      </c>
      <c r="P8" s="382">
        <v>4620000</v>
      </c>
      <c r="Q8" s="382">
        <f>4620000+6000000</f>
        <v>10620000</v>
      </c>
      <c r="R8" s="382">
        <v>4620000</v>
      </c>
      <c r="S8" s="382">
        <f>4620000+6000000</f>
        <v>10620000</v>
      </c>
      <c r="T8" s="382">
        <v>4620000</v>
      </c>
      <c r="U8" s="382">
        <f>4620000+6000000</f>
        <v>10620000</v>
      </c>
      <c r="V8" s="382">
        <v>4620000</v>
      </c>
      <c r="W8" s="382">
        <f>4620000+6000000</f>
        <v>10620000</v>
      </c>
      <c r="X8" s="382">
        <f>10000+4620000</f>
        <v>4630000</v>
      </c>
      <c r="Y8" s="382">
        <f>10000+4620000+9012001</f>
        <v>13642001</v>
      </c>
      <c r="Z8" s="383">
        <f t="shared" si="0"/>
        <v>55450000</v>
      </c>
      <c r="AA8" s="383">
        <f t="shared" si="0"/>
        <v>88462001</v>
      </c>
      <c r="AB8" s="119">
        <f>+'5 b.sz.mell.'!D62</f>
        <v>55450000</v>
      </c>
      <c r="AC8" s="120">
        <f t="shared" si="1"/>
        <v>0</v>
      </c>
      <c r="AD8" s="107">
        <f t="shared" ref="AD8:AD9" si="4">+AB8/12</f>
        <v>4620833.333333333</v>
      </c>
      <c r="AE8" s="119">
        <f>+'5 b.sz.mell.'!E62</f>
        <v>88462001</v>
      </c>
      <c r="AF8" s="381">
        <f t="shared" si="2"/>
        <v>0</v>
      </c>
      <c r="AG8" s="107">
        <f t="shared" si="3"/>
        <v>0</v>
      </c>
    </row>
    <row r="9" spans="1:33" ht="24.95" customHeight="1" x14ac:dyDescent="0.25">
      <c r="A9" s="118" t="s">
        <v>106</v>
      </c>
      <c r="B9" s="382"/>
      <c r="C9" s="382"/>
      <c r="D9" s="382">
        <v>3275011</v>
      </c>
      <c r="E9" s="382">
        <v>3275011</v>
      </c>
      <c r="F9" s="382">
        <v>1821018</v>
      </c>
      <c r="G9" s="382">
        <v>1821018</v>
      </c>
      <c r="H9" s="382"/>
      <c r="I9" s="382"/>
      <c r="J9" s="382"/>
      <c r="K9" s="382">
        <f>+'2.sz.mell.'!D65</f>
        <v>8798088</v>
      </c>
      <c r="L9" s="382"/>
      <c r="M9" s="382">
        <f>408708723-300</f>
        <v>408708423</v>
      </c>
      <c r="N9" s="382"/>
      <c r="O9" s="382"/>
      <c r="P9" s="382"/>
      <c r="Q9" s="382">
        <v>909000</v>
      </c>
      <c r="R9" s="382"/>
      <c r="S9" s="382">
        <v>1100000</v>
      </c>
      <c r="T9" s="382"/>
      <c r="U9" s="382">
        <v>19685</v>
      </c>
      <c r="V9" s="382"/>
      <c r="W9" s="382"/>
      <c r="X9" s="382"/>
      <c r="Y9" s="382">
        <v>30380654</v>
      </c>
      <c r="Z9" s="383">
        <f t="shared" si="0"/>
        <v>5096029</v>
      </c>
      <c r="AA9" s="383">
        <f t="shared" si="0"/>
        <v>455011879</v>
      </c>
      <c r="AB9" s="119">
        <f>+'5 b.sz.mell.'!H62</f>
        <v>5096029</v>
      </c>
      <c r="AC9" s="120">
        <f t="shared" si="1"/>
        <v>0</v>
      </c>
      <c r="AD9" s="107">
        <f t="shared" si="4"/>
        <v>424669.08333333331</v>
      </c>
      <c r="AE9" s="119">
        <f>+'5 b.sz.mell.'!I62</f>
        <v>453892194</v>
      </c>
      <c r="AF9" s="381">
        <f t="shared" si="2"/>
        <v>-1119685</v>
      </c>
      <c r="AG9" s="107">
        <f t="shared" si="3"/>
        <v>-93307.083333333328</v>
      </c>
    </row>
    <row r="10" spans="1:33" ht="24.95" customHeight="1" x14ac:dyDescent="0.25">
      <c r="A10" s="118" t="s">
        <v>342</v>
      </c>
      <c r="B10" s="382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3">
        <f t="shared" si="0"/>
        <v>0</v>
      </c>
      <c r="AA10" s="383">
        <f t="shared" si="0"/>
        <v>0</v>
      </c>
      <c r="AB10" s="119"/>
      <c r="AC10" s="120">
        <f t="shared" si="1"/>
        <v>0</v>
      </c>
      <c r="AD10" s="107"/>
      <c r="AE10" s="119"/>
      <c r="AF10" s="381">
        <f t="shared" si="2"/>
        <v>0</v>
      </c>
      <c r="AG10" s="107">
        <f t="shared" si="3"/>
        <v>0</v>
      </c>
    </row>
    <row r="11" spans="1:33" ht="24.95" customHeight="1" x14ac:dyDescent="0.25">
      <c r="A11" s="118" t="s">
        <v>308</v>
      </c>
      <c r="B11" s="382">
        <v>18700000</v>
      </c>
      <c r="C11" s="382">
        <f>18700000+320000</f>
        <v>19020000</v>
      </c>
      <c r="D11" s="382">
        <f>18700000+656072</f>
        <v>19356072</v>
      </c>
      <c r="E11" s="382">
        <f>18700000+656072+320000</f>
        <v>19676072</v>
      </c>
      <c r="F11" s="382">
        <v>18700000</v>
      </c>
      <c r="G11" s="382">
        <f>18700000+320000</f>
        <v>19020000</v>
      </c>
      <c r="H11" s="382">
        <v>18700000</v>
      </c>
      <c r="I11" s="382">
        <f>18700000+320000</f>
        <v>19020000</v>
      </c>
      <c r="J11" s="382">
        <v>18700000</v>
      </c>
      <c r="K11" s="382">
        <f>18700000+320000</f>
        <v>19020000</v>
      </c>
      <c r="L11" s="382">
        <v>18700000</v>
      </c>
      <c r="M11" s="382">
        <f>320000+18700000</f>
        <v>19020000</v>
      </c>
      <c r="N11" s="382">
        <v>18700000</v>
      </c>
      <c r="O11" s="382">
        <f>18700000+320000</f>
        <v>19020000</v>
      </c>
      <c r="P11" s="382">
        <v>18700000</v>
      </c>
      <c r="Q11" s="382">
        <f>18700000+320000</f>
        <v>19020000</v>
      </c>
      <c r="R11" s="382">
        <v>18700000</v>
      </c>
      <c r="S11" s="382">
        <f>18700000+320000</f>
        <v>19020000</v>
      </c>
      <c r="T11" s="382">
        <v>18700000</v>
      </c>
      <c r="U11" s="382">
        <f>18700000+320000</f>
        <v>19020000</v>
      </c>
      <c r="V11" s="382">
        <v>18700000</v>
      </c>
      <c r="W11" s="382">
        <f>18700000+320000</f>
        <v>19020000</v>
      </c>
      <c r="X11" s="382">
        <v>18700000</v>
      </c>
      <c r="Y11" s="382">
        <f>18700000+320000+100128+11824682</f>
        <v>30944810</v>
      </c>
      <c r="Z11" s="383">
        <f t="shared" si="0"/>
        <v>225056072</v>
      </c>
      <c r="AA11" s="383">
        <f t="shared" si="0"/>
        <v>240820882</v>
      </c>
      <c r="AB11" s="119">
        <f>+'5 b.sz.mell.'!L62</f>
        <v>225056072</v>
      </c>
      <c r="AC11" s="120">
        <f t="shared" si="1"/>
        <v>0</v>
      </c>
      <c r="AD11" s="107">
        <f>+AB11/12</f>
        <v>18754672.666666668</v>
      </c>
      <c r="AE11" s="119">
        <f>+'5 b.sz.mell.'!M62</f>
        <v>240820882</v>
      </c>
      <c r="AF11" s="381">
        <f t="shared" si="2"/>
        <v>0</v>
      </c>
      <c r="AG11" s="107">
        <f t="shared" si="3"/>
        <v>0</v>
      </c>
    </row>
    <row r="12" spans="1:33" ht="24.95" customHeight="1" x14ac:dyDescent="0.25">
      <c r="A12" s="121" t="s">
        <v>107</v>
      </c>
      <c r="B12" s="384">
        <f t="shared" ref="B12:X12" si="5">SUM(B6:B11)</f>
        <v>60300654</v>
      </c>
      <c r="C12" s="384">
        <f t="shared" ref="C12" si="6">SUM(C6:C11)</f>
        <v>62920654</v>
      </c>
      <c r="D12" s="384">
        <f t="shared" si="5"/>
        <v>64231737</v>
      </c>
      <c r="E12" s="384">
        <f t="shared" ref="E12" si="7">SUM(E6:E11)</f>
        <v>66851737</v>
      </c>
      <c r="F12" s="384">
        <f t="shared" si="5"/>
        <v>62121672</v>
      </c>
      <c r="G12" s="384">
        <f t="shared" ref="G12" si="8">SUM(G6:G11)</f>
        <v>64741672</v>
      </c>
      <c r="H12" s="384">
        <f t="shared" si="5"/>
        <v>60300654</v>
      </c>
      <c r="I12" s="384">
        <f t="shared" ref="I12" si="9">SUM(I6:I11)</f>
        <v>62920654</v>
      </c>
      <c r="J12" s="384">
        <f t="shared" si="5"/>
        <v>60300654</v>
      </c>
      <c r="K12" s="384">
        <f t="shared" ref="K12" si="10">SUM(K6:K11)</f>
        <v>71718742</v>
      </c>
      <c r="L12" s="384">
        <f t="shared" si="5"/>
        <v>60300654</v>
      </c>
      <c r="M12" s="384">
        <f t="shared" ref="M12" si="11">SUM(M6:M11)</f>
        <v>471629077</v>
      </c>
      <c r="N12" s="384">
        <f t="shared" si="5"/>
        <v>60300654</v>
      </c>
      <c r="O12" s="384">
        <f t="shared" ref="O12" si="12">SUM(O6:O11)</f>
        <v>66586654</v>
      </c>
      <c r="P12" s="384">
        <f t="shared" si="5"/>
        <v>60300654</v>
      </c>
      <c r="Q12" s="384">
        <f t="shared" ref="Q12" si="13">SUM(Q6:Q11)</f>
        <v>77495654</v>
      </c>
      <c r="R12" s="384">
        <f t="shared" si="5"/>
        <v>60300654</v>
      </c>
      <c r="S12" s="384">
        <f t="shared" ref="S12" si="14">SUM(S6:S11)</f>
        <v>77686654</v>
      </c>
      <c r="T12" s="384">
        <f t="shared" si="5"/>
        <v>60300654</v>
      </c>
      <c r="U12" s="384">
        <f t="shared" ref="U12" si="15">SUM(U6:U11)</f>
        <v>26426292</v>
      </c>
      <c r="V12" s="384">
        <f t="shared" si="5"/>
        <v>60300654</v>
      </c>
      <c r="W12" s="384">
        <f t="shared" ref="W12" si="16">SUM(W6:W11)</f>
        <v>76586654</v>
      </c>
      <c r="X12" s="384">
        <f t="shared" si="5"/>
        <v>60380656</v>
      </c>
      <c r="Y12" s="384">
        <f t="shared" ref="Y12" si="17">SUM(Y6:Y11)</f>
        <v>123301491</v>
      </c>
      <c r="Z12" s="383">
        <f t="shared" si="0"/>
        <v>729439951</v>
      </c>
      <c r="AA12" s="383">
        <f t="shared" si="0"/>
        <v>1248865935</v>
      </c>
      <c r="AB12" s="119">
        <f>+'5 b.sz.mell.'!R62-'5 b.sz.mell.'!I69</f>
        <v>948667515</v>
      </c>
      <c r="AC12" s="120">
        <f t="shared" si="1"/>
        <v>219227564</v>
      </c>
      <c r="AD12" s="107"/>
      <c r="AE12" s="119">
        <f>+'5 b.sz.mell.'!S62</f>
        <v>1469680857</v>
      </c>
      <c r="AF12" s="381">
        <f t="shared" si="2"/>
        <v>220814922</v>
      </c>
      <c r="AG12" s="107">
        <f t="shared" si="3"/>
        <v>18401243.5</v>
      </c>
    </row>
    <row r="13" spans="1:33" ht="24.95" customHeight="1" x14ac:dyDescent="0.25">
      <c r="A13" s="122"/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83"/>
      <c r="AA13" s="383"/>
      <c r="AB13" s="119"/>
      <c r="AD13" s="107"/>
      <c r="AE13" s="119"/>
      <c r="AF13" s="381">
        <f t="shared" si="2"/>
        <v>0</v>
      </c>
      <c r="AG13" s="107"/>
    </row>
    <row r="14" spans="1:33" s="123" customFormat="1" ht="24.95" customHeight="1" x14ac:dyDescent="0.25">
      <c r="A14" s="118" t="s">
        <v>17</v>
      </c>
      <c r="B14" s="382">
        <v>18583000</v>
      </c>
      <c r="C14" s="382">
        <f>18583000+1703000</f>
        <v>20286000</v>
      </c>
      <c r="D14" s="382">
        <v>18583000</v>
      </c>
      <c r="E14" s="382">
        <f>18583000+1703000</f>
        <v>20286000</v>
      </c>
      <c r="F14" s="382">
        <v>18583000</v>
      </c>
      <c r="G14" s="382">
        <f>18583000+1703000</f>
        <v>20286000</v>
      </c>
      <c r="H14" s="382">
        <v>18583000</v>
      </c>
      <c r="I14" s="382">
        <f>18583000+1703000</f>
        <v>20286000</v>
      </c>
      <c r="J14" s="382">
        <v>18583000</v>
      </c>
      <c r="K14" s="382">
        <f>18583000+1703000</f>
        <v>20286000</v>
      </c>
      <c r="L14" s="382">
        <v>18583000</v>
      </c>
      <c r="M14" s="382">
        <f>18583000+1703000</f>
        <v>20286000</v>
      </c>
      <c r="N14" s="382">
        <v>18583000</v>
      </c>
      <c r="O14" s="382">
        <f>18583000+1703000+1028395</f>
        <v>21314395</v>
      </c>
      <c r="P14" s="382">
        <v>18583000</v>
      </c>
      <c r="Q14" s="382">
        <f>18583000+1703000+1263000+1000000</f>
        <v>22549000</v>
      </c>
      <c r="R14" s="382">
        <v>18583000</v>
      </c>
      <c r="S14" s="382">
        <f>18583000+1703000+1263000+1000000</f>
        <v>22549000</v>
      </c>
      <c r="T14" s="382">
        <v>18583000</v>
      </c>
      <c r="U14" s="382">
        <f>18583000+1703000+1263000+1000000</f>
        <v>22549000</v>
      </c>
      <c r="V14" s="382">
        <v>18583000</v>
      </c>
      <c r="W14" s="382">
        <f>18583000+1703000+1263000+3000+1000000</f>
        <v>22552000</v>
      </c>
      <c r="X14" s="382">
        <f>3810+18583000</f>
        <v>18586810</v>
      </c>
      <c r="Y14" s="382">
        <f>3810+18583000+1709361+1263000+1265818+1000000</f>
        <v>23824989</v>
      </c>
      <c r="Z14" s="383">
        <f t="shared" ref="Z14:Z24" si="18">+X14+V14+T14+R14+P14+N14+L14+J14+H14+F14+D14+B14</f>
        <v>222999810</v>
      </c>
      <c r="AA14" s="383">
        <f t="shared" ref="AA14:AA24" si="19">+Y14+W14+U14+S14+Q14+O14+M14+K14+I14+G14+E14+C14</f>
        <v>257054384</v>
      </c>
      <c r="AB14" s="119">
        <f>+'5.a sz.mell.'!D69</f>
        <v>222999810</v>
      </c>
      <c r="AC14" s="457">
        <f t="shared" ref="AC14:AC20" si="20">+AB14-Z14</f>
        <v>0</v>
      </c>
      <c r="AD14" s="124">
        <f>+AB14/12</f>
        <v>18583317.5</v>
      </c>
      <c r="AE14" s="119">
        <f>+'5.a sz.mell.'!E69</f>
        <v>257054384</v>
      </c>
      <c r="AF14" s="381">
        <f t="shared" si="2"/>
        <v>0</v>
      </c>
      <c r="AG14" s="107">
        <f>+AF14/6</f>
        <v>0</v>
      </c>
    </row>
    <row r="15" spans="1:33" s="123" customFormat="1" ht="24.95" customHeight="1" x14ac:dyDescent="0.25">
      <c r="A15" s="118" t="s">
        <v>108</v>
      </c>
      <c r="B15" s="382">
        <v>3147000</v>
      </c>
      <c r="C15" s="382">
        <f>3147000+185000</f>
        <v>3332000</v>
      </c>
      <c r="D15" s="382">
        <v>3147000</v>
      </c>
      <c r="E15" s="382">
        <f>3147000+185000</f>
        <v>3332000</v>
      </c>
      <c r="F15" s="382">
        <v>3147000</v>
      </c>
      <c r="G15" s="382">
        <f>3147000+185000</f>
        <v>3332000</v>
      </c>
      <c r="H15" s="382">
        <v>3147000</v>
      </c>
      <c r="I15" s="382">
        <f>3147000+185000+179805</f>
        <v>3511805</v>
      </c>
      <c r="J15" s="382">
        <v>3147000</v>
      </c>
      <c r="K15" s="382">
        <f>3147000+185000</f>
        <v>3332000</v>
      </c>
      <c r="L15" s="382">
        <v>3147000</v>
      </c>
      <c r="M15" s="382">
        <f>3147000+185000</f>
        <v>3332000</v>
      </c>
      <c r="N15" s="382">
        <v>3147000</v>
      </c>
      <c r="O15" s="382">
        <f>3147000+185000+175000</f>
        <v>3507000</v>
      </c>
      <c r="P15" s="382">
        <v>3147000</v>
      </c>
      <c r="Q15" s="382">
        <f>3147000+185000+175000</f>
        <v>3507000</v>
      </c>
      <c r="R15" s="382">
        <v>3147000</v>
      </c>
      <c r="S15" s="382">
        <f>3147000+185000+175000</f>
        <v>3507000</v>
      </c>
      <c r="T15" s="382">
        <v>3147000</v>
      </c>
      <c r="U15" s="382">
        <f>3147000+185000+175000</f>
        <v>3507000</v>
      </c>
      <c r="V15" s="382">
        <v>3147000</v>
      </c>
      <c r="W15" s="382">
        <f>3147000+185000</f>
        <v>3332000</v>
      </c>
      <c r="X15" s="382">
        <f>10837+3147000</f>
        <v>3157837</v>
      </c>
      <c r="Y15" s="382">
        <f>3147000+185000+43658+175000+3-98688</f>
        <v>3451973</v>
      </c>
      <c r="Z15" s="383">
        <f t="shared" si="18"/>
        <v>37774837</v>
      </c>
      <c r="AA15" s="383">
        <f t="shared" si="19"/>
        <v>40983778</v>
      </c>
      <c r="AB15" s="119">
        <f>+'5.a sz.mell.'!F69</f>
        <v>37774837</v>
      </c>
      <c r="AC15" s="457">
        <f t="shared" si="20"/>
        <v>0</v>
      </c>
      <c r="AD15" s="124">
        <f>+AB15/12</f>
        <v>3147903.0833333335</v>
      </c>
      <c r="AE15" s="119">
        <f>+'5.a sz.mell.'!G69</f>
        <v>40983778</v>
      </c>
      <c r="AF15" s="381">
        <f t="shared" si="2"/>
        <v>0</v>
      </c>
      <c r="AG15" s="107">
        <f>+AF15/6</f>
        <v>0</v>
      </c>
    </row>
    <row r="16" spans="1:33" s="123" customFormat="1" ht="24.95" customHeight="1" x14ac:dyDescent="0.25">
      <c r="A16" s="118" t="s">
        <v>109</v>
      </c>
      <c r="B16" s="382">
        <v>16702000</v>
      </c>
      <c r="C16" s="382">
        <f>16702000+5940000</f>
        <v>22642000</v>
      </c>
      <c r="D16" s="382">
        <v>16702000</v>
      </c>
      <c r="E16" s="382">
        <f>16702000+5940000</f>
        <v>22642000</v>
      </c>
      <c r="F16" s="382">
        <v>16702000</v>
      </c>
      <c r="G16" s="382">
        <f>16702000+5940000</f>
        <v>22642000</v>
      </c>
      <c r="H16" s="382">
        <v>16702000</v>
      </c>
      <c r="I16" s="382">
        <f>16702000+5940000</f>
        <v>22642000</v>
      </c>
      <c r="J16" s="382">
        <v>16702000</v>
      </c>
      <c r="K16" s="382">
        <f>16702000+5940000</f>
        <v>22642000</v>
      </c>
      <c r="L16" s="382">
        <v>16702000</v>
      </c>
      <c r="M16" s="382">
        <f>16702000+5940000</f>
        <v>22642000</v>
      </c>
      <c r="N16" s="382">
        <v>16702000</v>
      </c>
      <c r="O16" s="382">
        <f>16702000+5940000+1187000-1000000</f>
        <v>22829000</v>
      </c>
      <c r="P16" s="382">
        <v>16702000</v>
      </c>
      <c r="Q16" s="382">
        <f>16702000+5940000+1187000-1000000</f>
        <v>22829000</v>
      </c>
      <c r="R16" s="382">
        <v>16702000</v>
      </c>
      <c r="S16" s="382">
        <f>16702000+5940000+1187000-1000000</f>
        <v>22829000</v>
      </c>
      <c r="T16" s="382">
        <v>16702000</v>
      </c>
      <c r="U16" s="382">
        <f>16702000+5940000+1187000-1000000</f>
        <v>22829000</v>
      </c>
      <c r="V16" s="382">
        <v>16702000</v>
      </c>
      <c r="W16" s="382">
        <f>16702000+5940000+175000+1187000-1000000</f>
        <v>23004000</v>
      </c>
      <c r="X16" s="382">
        <f>2841+16702000</f>
        <v>16704841</v>
      </c>
      <c r="Y16" s="382">
        <f>16702000+5940000+104127+1190337-2123008</f>
        <v>21813456</v>
      </c>
      <c r="Z16" s="383">
        <f t="shared" si="18"/>
        <v>200426841</v>
      </c>
      <c r="AA16" s="383">
        <f t="shared" si="19"/>
        <v>271985456</v>
      </c>
      <c r="AB16" s="119">
        <f>+'5.a sz.mell.'!H69</f>
        <v>200426841</v>
      </c>
      <c r="AC16" s="457">
        <f t="shared" si="20"/>
        <v>0</v>
      </c>
      <c r="AD16" s="124">
        <f>+AB16/12</f>
        <v>16702236.75</v>
      </c>
      <c r="AE16" s="119">
        <f>+'5.a sz.mell.'!I69</f>
        <v>271985456</v>
      </c>
      <c r="AF16" s="381">
        <f t="shared" si="2"/>
        <v>0</v>
      </c>
      <c r="AG16" s="107">
        <f>+AF16/6</f>
        <v>0</v>
      </c>
    </row>
    <row r="17" spans="1:33" s="123" customFormat="1" ht="24.95" customHeight="1" x14ac:dyDescent="0.25">
      <c r="A17" s="118" t="s">
        <v>114</v>
      </c>
      <c r="B17" s="382">
        <v>262250</v>
      </c>
      <c r="C17" s="382">
        <v>262250</v>
      </c>
      <c r="D17" s="382">
        <v>262250</v>
      </c>
      <c r="E17" s="382">
        <v>262250</v>
      </c>
      <c r="F17" s="382">
        <v>262250</v>
      </c>
      <c r="G17" s="382">
        <v>262250</v>
      </c>
      <c r="H17" s="382">
        <v>262250</v>
      </c>
      <c r="I17" s="382">
        <v>262250</v>
      </c>
      <c r="J17" s="382">
        <v>262250</v>
      </c>
      <c r="K17" s="382">
        <v>262250</v>
      </c>
      <c r="L17" s="382">
        <v>262250</v>
      </c>
      <c r="M17" s="382">
        <v>262250</v>
      </c>
      <c r="N17" s="382">
        <v>262250</v>
      </c>
      <c r="O17" s="382">
        <f>262250+8360</f>
        <v>270610</v>
      </c>
      <c r="P17" s="382">
        <v>262250</v>
      </c>
      <c r="Q17" s="382">
        <f>262250+8360</f>
        <v>270610</v>
      </c>
      <c r="R17" s="382">
        <v>262250</v>
      </c>
      <c r="S17" s="382">
        <f>262250+8360</f>
        <v>270610</v>
      </c>
      <c r="T17" s="382">
        <v>262250</v>
      </c>
      <c r="U17" s="382">
        <f>262250+8360</f>
        <v>270610</v>
      </c>
      <c r="V17" s="382">
        <v>262250</v>
      </c>
      <c r="W17" s="382">
        <f>262250+8360</f>
        <v>270610</v>
      </c>
      <c r="X17" s="382">
        <v>262250</v>
      </c>
      <c r="Y17" s="382">
        <f>262250+8360+66960</f>
        <v>337570</v>
      </c>
      <c r="Z17" s="383">
        <f t="shared" si="18"/>
        <v>3147000</v>
      </c>
      <c r="AA17" s="383">
        <f t="shared" si="19"/>
        <v>3264120</v>
      </c>
      <c r="AB17" s="119">
        <f>+'5.a sz.mell.'!N69</f>
        <v>3147000</v>
      </c>
      <c r="AC17" s="457">
        <f t="shared" si="20"/>
        <v>0</v>
      </c>
      <c r="AD17" s="124">
        <f>+AB17/12</f>
        <v>262250</v>
      </c>
      <c r="AE17" s="119">
        <f>+'5.a sz.mell.'!O69+'5.a sz.mell.'!K69</f>
        <v>3264120</v>
      </c>
      <c r="AF17" s="381">
        <f t="shared" si="2"/>
        <v>0</v>
      </c>
      <c r="AG17" s="107">
        <f t="shared" si="3"/>
        <v>0</v>
      </c>
    </row>
    <row r="18" spans="1:33" s="123" customFormat="1" ht="24.95" customHeight="1" x14ac:dyDescent="0.25">
      <c r="A18" s="118" t="s">
        <v>110</v>
      </c>
      <c r="B18" s="382">
        <v>7968000</v>
      </c>
      <c r="C18" s="382">
        <f>7968000+95000</f>
        <v>8063000</v>
      </c>
      <c r="D18" s="382">
        <f>11898+7968000</f>
        <v>7979898</v>
      </c>
      <c r="E18" s="382">
        <f>7968000+95000</f>
        <v>8063000</v>
      </c>
      <c r="F18" s="382">
        <v>7968000</v>
      </c>
      <c r="G18" s="382">
        <f>7968000+95000</f>
        <v>8063000</v>
      </c>
      <c r="H18" s="382">
        <v>7968000</v>
      </c>
      <c r="I18" s="382">
        <f>7968000+95000</f>
        <v>8063000</v>
      </c>
      <c r="J18" s="382">
        <v>7968000</v>
      </c>
      <c r="K18" s="382">
        <f>7968000+95000</f>
        <v>8063000</v>
      </c>
      <c r="L18" s="382">
        <v>7968000</v>
      </c>
      <c r="M18" s="382">
        <f>7968000+95000</f>
        <v>8063000</v>
      </c>
      <c r="N18" s="382">
        <v>7968000</v>
      </c>
      <c r="O18" s="382">
        <f>7968000+95000+972750</f>
        <v>9035750</v>
      </c>
      <c r="P18" s="382">
        <v>7968000</v>
      </c>
      <c r="Q18" s="382">
        <f>7968000+95000+972750</f>
        <v>9035750</v>
      </c>
      <c r="R18" s="382">
        <v>7968000</v>
      </c>
      <c r="S18" s="382">
        <f>7968000+95000+972750</f>
        <v>9035750</v>
      </c>
      <c r="T18" s="382">
        <v>7968000</v>
      </c>
      <c r="U18" s="382">
        <f>7968000+95000+972750</f>
        <v>9035750</v>
      </c>
      <c r="V18" s="382">
        <v>7968000</v>
      </c>
      <c r="W18" s="382">
        <f>7968000+95000+972750</f>
        <v>9035750</v>
      </c>
      <c r="X18" s="382">
        <v>7968000</v>
      </c>
      <c r="Y18" s="382">
        <f>7968000+95000+41091+972750+207170</f>
        <v>9284011</v>
      </c>
      <c r="Z18" s="383">
        <f t="shared" si="18"/>
        <v>95627898</v>
      </c>
      <c r="AA18" s="383">
        <f t="shared" si="19"/>
        <v>102840761</v>
      </c>
      <c r="AB18" s="119">
        <f>+'5.a sz.mell.'!L69</f>
        <v>95627898</v>
      </c>
      <c r="AC18" s="457">
        <f t="shared" si="20"/>
        <v>0</v>
      </c>
      <c r="AD18" s="124">
        <f>+AB18/12</f>
        <v>7968991.5</v>
      </c>
      <c r="AE18" s="119">
        <f>+'5.a sz.mell.'!M69</f>
        <v>102840761</v>
      </c>
      <c r="AF18" s="381">
        <f t="shared" si="2"/>
        <v>0</v>
      </c>
      <c r="AG18" s="107">
        <f>+AF18/6</f>
        <v>0</v>
      </c>
    </row>
    <row r="19" spans="1:33" s="123" customFormat="1" ht="24.95" customHeight="1" x14ac:dyDescent="0.25">
      <c r="A19" s="118" t="s">
        <v>343</v>
      </c>
      <c r="B19" s="382">
        <v>10751039</v>
      </c>
      <c r="C19" s="382">
        <v>10751039</v>
      </c>
      <c r="D19" s="385"/>
      <c r="E19" s="385"/>
      <c r="F19" s="385">
        <v>0</v>
      </c>
      <c r="G19" s="385">
        <v>246037</v>
      </c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3">
        <f t="shared" si="18"/>
        <v>10751039</v>
      </c>
      <c r="AA19" s="383">
        <f t="shared" si="19"/>
        <v>10997076</v>
      </c>
      <c r="AB19" s="119">
        <f>+'5.a sz.mell.'!R69</f>
        <v>10751039</v>
      </c>
      <c r="AC19" s="457">
        <f t="shared" si="20"/>
        <v>0</v>
      </c>
      <c r="AD19" s="124"/>
      <c r="AE19" s="119">
        <f>+'5.a sz.mell.'!S69</f>
        <v>10997076</v>
      </c>
      <c r="AF19" s="381">
        <f t="shared" si="2"/>
        <v>0</v>
      </c>
      <c r="AG19" s="107">
        <f t="shared" si="3"/>
        <v>0</v>
      </c>
    </row>
    <row r="20" spans="1:33" s="123" customFormat="1" ht="24.95" customHeight="1" x14ac:dyDescent="0.25">
      <c r="A20" s="118" t="s">
        <v>465</v>
      </c>
      <c r="B20" s="382"/>
      <c r="C20" s="382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3">
        <f t="shared" si="18"/>
        <v>0</v>
      </c>
      <c r="AA20" s="383">
        <f t="shared" si="19"/>
        <v>0</v>
      </c>
      <c r="AB20" s="119">
        <f>+'5.a sz.mell.'!T36</f>
        <v>0</v>
      </c>
      <c r="AC20" s="457">
        <f t="shared" si="20"/>
        <v>0</v>
      </c>
      <c r="AD20" s="124">
        <f>+AC20/11</f>
        <v>0</v>
      </c>
      <c r="AE20" s="119">
        <f>+'5.a sz.mell.'!U69</f>
        <v>0</v>
      </c>
      <c r="AF20" s="381">
        <f t="shared" si="2"/>
        <v>0</v>
      </c>
      <c r="AG20" s="107">
        <f t="shared" si="3"/>
        <v>0</v>
      </c>
    </row>
    <row r="21" spans="1:33" ht="24.95" customHeight="1" x14ac:dyDescent="0.25">
      <c r="A21" s="118" t="s">
        <v>111</v>
      </c>
      <c r="B21" s="385"/>
      <c r="C21" s="385"/>
      <c r="D21" s="385">
        <v>20000000</v>
      </c>
      <c r="E21" s="385">
        <f>20000000-1912761</f>
        <v>18087239</v>
      </c>
      <c r="F21" s="382"/>
      <c r="G21" s="382"/>
      <c r="H21" s="382">
        <v>15000000</v>
      </c>
      <c r="I21" s="382">
        <v>15000000</v>
      </c>
      <c r="J21" s="382">
        <v>40000000</v>
      </c>
      <c r="K21" s="382">
        <v>40000000</v>
      </c>
      <c r="L21" s="382"/>
      <c r="M21" s="382"/>
      <c r="N21" s="382"/>
      <c r="O21" s="382"/>
      <c r="P21" s="382">
        <v>12000000</v>
      </c>
      <c r="Q21" s="382">
        <v>12000000</v>
      </c>
      <c r="R21" s="382"/>
      <c r="S21" s="382"/>
      <c r="T21" s="382">
        <v>11896424</v>
      </c>
      <c r="U21" s="382">
        <v>11896424</v>
      </c>
      <c r="V21" s="382"/>
      <c r="W21" s="382">
        <v>24243408</v>
      </c>
      <c r="X21" s="382"/>
      <c r="Y21" s="382"/>
      <c r="Z21" s="383">
        <f t="shared" si="18"/>
        <v>98896424</v>
      </c>
      <c r="AA21" s="383">
        <f t="shared" si="19"/>
        <v>121227071</v>
      </c>
      <c r="AB21" s="119">
        <f>+'5.a sz.mell.'!P69</f>
        <v>98896424</v>
      </c>
      <c r="AC21" s="457">
        <f>+Z21-AB21</f>
        <v>0</v>
      </c>
      <c r="AD21" s="107"/>
      <c r="AE21" s="119">
        <f>+'5.a sz.mell.'!Q69</f>
        <v>121227071</v>
      </c>
      <c r="AF21" s="381">
        <f t="shared" si="2"/>
        <v>0</v>
      </c>
      <c r="AG21" s="107">
        <f t="shared" si="3"/>
        <v>0</v>
      </c>
    </row>
    <row r="22" spans="1:33" ht="24.95" customHeight="1" x14ac:dyDescent="0.25">
      <c r="A22" s="118" t="s">
        <v>60</v>
      </c>
      <c r="B22" s="385"/>
      <c r="C22" s="385"/>
      <c r="D22" s="385">
        <v>14000000</v>
      </c>
      <c r="E22" s="385">
        <v>14000000</v>
      </c>
      <c r="F22" s="385"/>
      <c r="G22" s="385"/>
      <c r="H22" s="385">
        <v>10000000</v>
      </c>
      <c r="I22" s="385">
        <v>10000000</v>
      </c>
      <c r="J22" s="385">
        <v>22000000</v>
      </c>
      <c r="K22" s="385">
        <v>22000000</v>
      </c>
      <c r="L22" s="385"/>
      <c r="M22" s="385"/>
      <c r="N22" s="385"/>
      <c r="O22" s="385"/>
      <c r="P22" s="385">
        <v>11000000</v>
      </c>
      <c r="Q22" s="385">
        <v>11000000</v>
      </c>
      <c r="R22" s="385">
        <v>0</v>
      </c>
      <c r="S22" s="382">
        <f>+K9</f>
        <v>8798088</v>
      </c>
      <c r="T22" s="385">
        <v>2816102</v>
      </c>
      <c r="U22" s="385">
        <f>2816102+175539</f>
        <v>2991641</v>
      </c>
      <c r="V22" s="385"/>
      <c r="W22" s="385"/>
      <c r="X22" s="385"/>
      <c r="Y22" s="385">
        <f>378203361-6479801</f>
        <v>371723560</v>
      </c>
      <c r="Z22" s="383">
        <f t="shared" si="18"/>
        <v>59816102</v>
      </c>
      <c r="AA22" s="383">
        <f t="shared" si="19"/>
        <v>440513289</v>
      </c>
      <c r="AB22" s="119">
        <f>+'5.a sz.mell.'!V69+'5.a sz.mell.'!X69</f>
        <v>59816102</v>
      </c>
      <c r="AC22" s="457">
        <f>+Z22-AB22</f>
        <v>0</v>
      </c>
      <c r="AD22" s="107"/>
      <c r="AE22" s="119">
        <f>+'5.a sz.mell.'!W69+'5.a sz.mell.'!Y69</f>
        <v>440513289</v>
      </c>
      <c r="AF22" s="381">
        <f t="shared" si="2"/>
        <v>0</v>
      </c>
      <c r="AG22" s="107">
        <f>+AF22/6</f>
        <v>0</v>
      </c>
    </row>
    <row r="23" spans="1:33" ht="24.95" customHeight="1" x14ac:dyDescent="0.25">
      <c r="A23" s="121" t="s">
        <v>112</v>
      </c>
      <c r="B23" s="384">
        <f t="shared" ref="B23:X23" si="21">SUM(B14:B22)</f>
        <v>57413289</v>
      </c>
      <c r="C23" s="384">
        <f t="shared" ref="C23" si="22">SUM(C14:C22)</f>
        <v>65336289</v>
      </c>
      <c r="D23" s="384">
        <f t="shared" si="21"/>
        <v>80674148</v>
      </c>
      <c r="E23" s="384">
        <f t="shared" ref="E23" si="23">SUM(E14:E22)</f>
        <v>86672489</v>
      </c>
      <c r="F23" s="384">
        <f t="shared" si="21"/>
        <v>46662250</v>
      </c>
      <c r="G23" s="384">
        <f t="shared" ref="G23" si="24">SUM(G14:G22)</f>
        <v>54831287</v>
      </c>
      <c r="H23" s="384">
        <f t="shared" si="21"/>
        <v>71662250</v>
      </c>
      <c r="I23" s="384">
        <f t="shared" ref="I23" si="25">SUM(I14:I22)</f>
        <v>79765055</v>
      </c>
      <c r="J23" s="384">
        <f t="shared" si="21"/>
        <v>108662250</v>
      </c>
      <c r="K23" s="384">
        <f t="shared" ref="K23" si="26">SUM(K14:K22)</f>
        <v>116585250</v>
      </c>
      <c r="L23" s="384">
        <f t="shared" si="21"/>
        <v>46662250</v>
      </c>
      <c r="M23" s="384">
        <f t="shared" ref="M23" si="27">SUM(M14:M22)</f>
        <v>54585250</v>
      </c>
      <c r="N23" s="384">
        <f t="shared" si="21"/>
        <v>46662250</v>
      </c>
      <c r="O23" s="384">
        <f t="shared" ref="O23" si="28">SUM(O14:O22)</f>
        <v>56956755</v>
      </c>
      <c r="P23" s="384">
        <f t="shared" si="21"/>
        <v>69662250</v>
      </c>
      <c r="Q23" s="384">
        <f t="shared" ref="Q23" si="29">SUM(Q14:Q22)</f>
        <v>81191360</v>
      </c>
      <c r="R23" s="384">
        <f t="shared" si="21"/>
        <v>46662250</v>
      </c>
      <c r="S23" s="384">
        <f t="shared" ref="S23" si="30">SUM(S14:S22)</f>
        <v>66989448</v>
      </c>
      <c r="T23" s="384">
        <f t="shared" si="21"/>
        <v>61374776</v>
      </c>
      <c r="U23" s="384">
        <f t="shared" ref="U23" si="31">SUM(U14:U22)</f>
        <v>73079425</v>
      </c>
      <c r="V23" s="384">
        <f t="shared" si="21"/>
        <v>46662250</v>
      </c>
      <c r="W23" s="384">
        <f t="shared" ref="W23" si="32">SUM(W14:W22)</f>
        <v>82437768</v>
      </c>
      <c r="X23" s="384">
        <f t="shared" si="21"/>
        <v>46679738</v>
      </c>
      <c r="Y23" s="384">
        <f t="shared" ref="Y23" si="33">SUM(Y14:Y22)</f>
        <v>430435559</v>
      </c>
      <c r="Z23" s="383">
        <f t="shared" si="18"/>
        <v>729439951</v>
      </c>
      <c r="AA23" s="383">
        <f t="shared" si="19"/>
        <v>1248865935</v>
      </c>
      <c r="AB23" s="119">
        <f>+'5.a sz.mell.'!Z69</f>
        <v>729439951</v>
      </c>
      <c r="AC23" s="457">
        <f>+Z23-AB23</f>
        <v>0</v>
      </c>
      <c r="AD23" s="107"/>
      <c r="AE23" s="119">
        <f>+'5.a sz.mell.'!AA69</f>
        <v>1248865935</v>
      </c>
      <c r="AF23" s="381">
        <f t="shared" si="2"/>
        <v>0</v>
      </c>
      <c r="AG23" s="107">
        <f>+AF23/6</f>
        <v>0</v>
      </c>
    </row>
    <row r="24" spans="1:33" ht="24.95" customHeight="1" x14ac:dyDescent="0.25">
      <c r="A24" s="121" t="s">
        <v>113</v>
      </c>
      <c r="B24" s="384">
        <f t="shared" ref="B24:X24" si="34">B12-B23</f>
        <v>2887365</v>
      </c>
      <c r="C24" s="384">
        <f t="shared" ref="C24" si="35">C12-C23</f>
        <v>-2415635</v>
      </c>
      <c r="D24" s="384">
        <f t="shared" si="34"/>
        <v>-16442411</v>
      </c>
      <c r="E24" s="384">
        <f t="shared" ref="E24" si="36">E12-E23</f>
        <v>-19820752</v>
      </c>
      <c r="F24" s="384">
        <f t="shared" si="34"/>
        <v>15459422</v>
      </c>
      <c r="G24" s="384">
        <f t="shared" ref="G24" si="37">G12-G23</f>
        <v>9910385</v>
      </c>
      <c r="H24" s="384">
        <f t="shared" si="34"/>
        <v>-11361596</v>
      </c>
      <c r="I24" s="384">
        <f t="shared" ref="I24" si="38">I12-I23</f>
        <v>-16844401</v>
      </c>
      <c r="J24" s="384">
        <f t="shared" si="34"/>
        <v>-48361596</v>
      </c>
      <c r="K24" s="384">
        <f t="shared" ref="K24" si="39">K12-K23</f>
        <v>-44866508</v>
      </c>
      <c r="L24" s="384">
        <f t="shared" si="34"/>
        <v>13638404</v>
      </c>
      <c r="M24" s="384">
        <f t="shared" ref="M24" si="40">M12-M23</f>
        <v>417043827</v>
      </c>
      <c r="N24" s="384">
        <f t="shared" si="34"/>
        <v>13638404</v>
      </c>
      <c r="O24" s="384">
        <f t="shared" ref="O24" si="41">O12-O23</f>
        <v>9629899</v>
      </c>
      <c r="P24" s="384">
        <f t="shared" si="34"/>
        <v>-9361596</v>
      </c>
      <c r="Q24" s="384">
        <f t="shared" ref="Q24" si="42">Q12-Q23</f>
        <v>-3695706</v>
      </c>
      <c r="R24" s="384">
        <f t="shared" si="34"/>
        <v>13638404</v>
      </c>
      <c r="S24" s="384">
        <f t="shared" ref="S24" si="43">S12-S23</f>
        <v>10697206</v>
      </c>
      <c r="T24" s="384">
        <f t="shared" si="34"/>
        <v>-1074122</v>
      </c>
      <c r="U24" s="384">
        <f t="shared" ref="U24" si="44">U12-U23</f>
        <v>-46653133</v>
      </c>
      <c r="V24" s="384">
        <f t="shared" si="34"/>
        <v>13638404</v>
      </c>
      <c r="W24" s="384">
        <f t="shared" ref="W24" si="45">W12-W23</f>
        <v>-5851114</v>
      </c>
      <c r="X24" s="384">
        <f t="shared" si="34"/>
        <v>13700918</v>
      </c>
      <c r="Y24" s="384">
        <f t="shared" ref="Y24" si="46">Y12-Y23</f>
        <v>-307134068</v>
      </c>
      <c r="Z24" s="383">
        <f t="shared" si="18"/>
        <v>0</v>
      </c>
      <c r="AA24" s="383">
        <f t="shared" si="19"/>
        <v>0</v>
      </c>
      <c r="AB24" s="119"/>
      <c r="AD24" s="107"/>
      <c r="AE24" s="119"/>
      <c r="AG24" s="107"/>
    </row>
  </sheetData>
  <mergeCells count="16">
    <mergeCell ref="AB4:AD4"/>
    <mergeCell ref="AE4:AG4"/>
    <mergeCell ref="A1:M1"/>
    <mergeCell ref="A2:M2"/>
    <mergeCell ref="J4:K4"/>
    <mergeCell ref="H4:I4"/>
    <mergeCell ref="F4:G4"/>
    <mergeCell ref="D4:E4"/>
    <mergeCell ref="B4:C4"/>
    <mergeCell ref="L4:M4"/>
    <mergeCell ref="P4:Q4"/>
    <mergeCell ref="N4:O4"/>
    <mergeCell ref="T4:U4"/>
    <mergeCell ref="R4:S4"/>
    <mergeCell ref="X4:Y4"/>
    <mergeCell ref="V4:W4"/>
  </mergeCells>
  <phoneticPr fontId="0" type="noConversion"/>
  <pageMargins left="0.25" right="0.25" top="0.75" bottom="0.75" header="0.3" footer="0.3"/>
  <pageSetup paperSize="8" scale="3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99FF"/>
    <pageSetUpPr fitToPage="1"/>
  </sheetPr>
  <dimension ref="A1:F33"/>
  <sheetViews>
    <sheetView zoomScaleNormal="100" workbookViewId="0">
      <selection activeCell="A3" sqref="A3:C3"/>
    </sheetView>
  </sheetViews>
  <sheetFormatPr defaultColWidth="8.85546875" defaultRowHeight="15" x14ac:dyDescent="0.2"/>
  <cols>
    <col min="1" max="1" width="45.5703125" style="104" customWidth="1"/>
    <col min="2" max="2" width="16.28515625" style="130" customWidth="1"/>
    <col min="3" max="3" width="21.5703125" style="39" customWidth="1"/>
    <col min="4" max="4" width="16.85546875" style="39" customWidth="1"/>
    <col min="5" max="5" width="16.140625" style="39" customWidth="1"/>
    <col min="6" max="6" width="14.28515625" style="39" customWidth="1"/>
    <col min="7" max="16384" width="8.85546875" style="37"/>
  </cols>
  <sheetData>
    <row r="1" spans="1:6" ht="42.75" customHeight="1" x14ac:dyDescent="0.25">
      <c r="A1" s="762" t="s">
        <v>713</v>
      </c>
      <c r="B1" s="762"/>
      <c r="C1" s="762"/>
      <c r="D1" s="435"/>
    </row>
    <row r="2" spans="1:6" ht="15.75" x14ac:dyDescent="0.2">
      <c r="A2" s="129"/>
    </row>
    <row r="3" spans="1:6" ht="42" customHeight="1" x14ac:dyDescent="0.2">
      <c r="A3" s="733" t="s">
        <v>565</v>
      </c>
      <c r="B3" s="733"/>
      <c r="C3" s="733"/>
      <c r="D3" s="299"/>
    </row>
    <row r="4" spans="1:6" ht="24.75" customHeight="1" x14ac:dyDescent="0.2"/>
    <row r="5" spans="1:6" ht="17.25" customHeight="1" x14ac:dyDescent="0.2">
      <c r="A5" s="131"/>
      <c r="B5" s="276" t="s">
        <v>316</v>
      </c>
    </row>
    <row r="6" spans="1:6" ht="17.25" customHeight="1" x14ac:dyDescent="0.2">
      <c r="A6" s="82" t="s">
        <v>116</v>
      </c>
      <c r="B6" s="83" t="s">
        <v>368</v>
      </c>
      <c r="C6" s="83" t="s">
        <v>611</v>
      </c>
      <c r="F6" s="37"/>
    </row>
    <row r="7" spans="1:6" ht="17.25" customHeight="1" x14ac:dyDescent="0.2">
      <c r="A7" s="81" t="s">
        <v>117</v>
      </c>
      <c r="B7" s="356">
        <v>116455</v>
      </c>
      <c r="C7" s="356">
        <v>181348</v>
      </c>
      <c r="D7" s="616"/>
      <c r="F7" s="37"/>
    </row>
    <row r="8" spans="1:6" ht="31.5" customHeight="1" x14ac:dyDescent="0.2">
      <c r="A8" s="264" t="s">
        <v>664</v>
      </c>
      <c r="B8" s="356">
        <v>1080098</v>
      </c>
      <c r="C8" s="356">
        <v>0</v>
      </c>
      <c r="D8" s="616"/>
      <c r="E8" s="44"/>
      <c r="F8" s="37"/>
    </row>
    <row r="9" spans="1:6" ht="17.25" customHeight="1" x14ac:dyDescent="0.2">
      <c r="A9" s="81" t="s">
        <v>515</v>
      </c>
      <c r="B9" s="356">
        <v>20000</v>
      </c>
      <c r="C9" s="356">
        <v>20000</v>
      </c>
      <c r="D9" s="616"/>
      <c r="F9" s="37"/>
    </row>
    <row r="10" spans="1:6" ht="17.25" customHeight="1" x14ac:dyDescent="0.2">
      <c r="A10" s="81" t="s">
        <v>118</v>
      </c>
      <c r="B10" s="356">
        <v>140000</v>
      </c>
      <c r="C10" s="356">
        <v>140000</v>
      </c>
      <c r="F10" s="37"/>
    </row>
    <row r="11" spans="1:6" ht="17.25" customHeight="1" x14ac:dyDescent="0.2">
      <c r="A11" s="81" t="s">
        <v>309</v>
      </c>
      <c r="B11" s="356">
        <v>3000000</v>
      </c>
      <c r="C11" s="356">
        <f>3000000-58548</f>
        <v>2941452</v>
      </c>
      <c r="D11" s="616"/>
      <c r="F11" s="37"/>
    </row>
    <row r="12" spans="1:6" ht="17.25" customHeight="1" x14ac:dyDescent="0.2">
      <c r="A12" s="81" t="s">
        <v>516</v>
      </c>
      <c r="B12" s="356">
        <v>3000000</v>
      </c>
      <c r="C12" s="356">
        <v>3000000</v>
      </c>
      <c r="D12" s="616"/>
      <c r="F12" s="37"/>
    </row>
    <row r="13" spans="1:6" ht="17.25" customHeight="1" x14ac:dyDescent="0.2">
      <c r="A13" s="81" t="s">
        <v>517</v>
      </c>
      <c r="B13" s="356">
        <v>20000</v>
      </c>
      <c r="C13" s="356">
        <v>20000</v>
      </c>
      <c r="D13" s="615"/>
      <c r="F13" s="37"/>
    </row>
    <row r="14" spans="1:6" ht="17.25" customHeight="1" x14ac:dyDescent="0.2">
      <c r="A14" s="81" t="s">
        <v>569</v>
      </c>
      <c r="B14" s="356">
        <v>100000</v>
      </c>
      <c r="C14" s="356">
        <v>100000</v>
      </c>
      <c r="D14" s="615"/>
      <c r="F14" s="37"/>
    </row>
    <row r="15" spans="1:6" ht="17.25" customHeight="1" x14ac:dyDescent="0.2">
      <c r="A15" s="81" t="s">
        <v>310</v>
      </c>
      <c r="B15" s="356">
        <v>86657095</v>
      </c>
      <c r="C15" s="356">
        <v>93876591</v>
      </c>
      <c r="F15" s="37"/>
    </row>
    <row r="16" spans="1:6" ht="17.25" customHeight="1" x14ac:dyDescent="0.2">
      <c r="A16" s="81" t="s">
        <v>566</v>
      </c>
      <c r="B16" s="356">
        <v>10000</v>
      </c>
      <c r="C16" s="356">
        <v>10000</v>
      </c>
      <c r="D16" s="616"/>
      <c r="F16" s="37"/>
    </row>
    <row r="17" spans="1:6" ht="17.25" customHeight="1" x14ac:dyDescent="0.2">
      <c r="A17" s="81" t="s">
        <v>567</v>
      </c>
      <c r="B17" s="356">
        <v>20000</v>
      </c>
      <c r="C17" s="356">
        <v>20000</v>
      </c>
      <c r="D17" s="616"/>
      <c r="F17" s="37"/>
    </row>
    <row r="18" spans="1:6" ht="17.25" customHeight="1" x14ac:dyDescent="0.2">
      <c r="A18" s="81" t="s">
        <v>568</v>
      </c>
      <c r="B18" s="356">
        <v>1000000</v>
      </c>
      <c r="C18" s="356">
        <v>1000000</v>
      </c>
      <c r="D18" s="616"/>
      <c r="F18" s="37"/>
    </row>
    <row r="19" spans="1:6" ht="17.25" customHeight="1" x14ac:dyDescent="0.2">
      <c r="A19" s="81" t="s">
        <v>335</v>
      </c>
      <c r="B19" s="356">
        <v>180000</v>
      </c>
      <c r="C19" s="356">
        <v>180000</v>
      </c>
      <c r="D19" s="616"/>
      <c r="F19" s="37"/>
    </row>
    <row r="20" spans="1:6" ht="17.25" customHeight="1" x14ac:dyDescent="0.2">
      <c r="A20" s="81" t="s">
        <v>336</v>
      </c>
      <c r="B20" s="356">
        <v>64250</v>
      </c>
      <c r="C20" s="356">
        <v>61450</v>
      </c>
      <c r="D20" s="616"/>
      <c r="F20" s="37"/>
    </row>
    <row r="21" spans="1:6" ht="17.25" customHeight="1" x14ac:dyDescent="0.2">
      <c r="A21" s="81" t="s">
        <v>337</v>
      </c>
      <c r="B21" s="356">
        <v>20000</v>
      </c>
      <c r="C21" s="356">
        <v>19072</v>
      </c>
      <c r="D21" s="616"/>
      <c r="F21" s="37"/>
    </row>
    <row r="22" spans="1:6" ht="17.25" customHeight="1" x14ac:dyDescent="0.2">
      <c r="A22" s="264" t="s">
        <v>338</v>
      </c>
      <c r="B22" s="356">
        <v>200000</v>
      </c>
      <c r="C22" s="356">
        <v>100000</v>
      </c>
      <c r="D22" s="616"/>
      <c r="F22" s="37"/>
    </row>
    <row r="23" spans="1:6" ht="43.5" customHeight="1" x14ac:dyDescent="0.2">
      <c r="A23" s="264" t="s">
        <v>641</v>
      </c>
      <c r="B23" s="356">
        <v>0</v>
      </c>
      <c r="C23" s="356">
        <f>17095+1655</f>
        <v>18750</v>
      </c>
      <c r="D23" s="617"/>
      <c r="F23" s="37"/>
    </row>
    <row r="24" spans="1:6" ht="45" customHeight="1" x14ac:dyDescent="0.2">
      <c r="A24" s="264" t="s">
        <v>640</v>
      </c>
      <c r="B24" s="356">
        <v>0</v>
      </c>
      <c r="C24" s="356">
        <v>72000</v>
      </c>
      <c r="D24" s="617"/>
      <c r="F24" s="37"/>
    </row>
    <row r="25" spans="1:6" ht="45" customHeight="1" x14ac:dyDescent="0.2">
      <c r="A25" s="264" t="s">
        <v>665</v>
      </c>
      <c r="B25" s="356">
        <v>0</v>
      </c>
      <c r="C25" s="356">
        <v>1080098</v>
      </c>
      <c r="D25" s="617"/>
      <c r="F25" s="37"/>
    </row>
    <row r="26" spans="1:6" ht="17.25" customHeight="1" x14ac:dyDescent="0.2">
      <c r="A26" s="132" t="s">
        <v>58</v>
      </c>
      <c r="B26" s="265">
        <f>SUM(B7:B25)</f>
        <v>95627898</v>
      </c>
      <c r="C26" s="265">
        <f>SUM(C7:C25)</f>
        <v>102840761</v>
      </c>
      <c r="D26" s="44">
        <f>+'2.sz.mell.'!C87+'2.sz.mell.'!C88</f>
        <v>95627898</v>
      </c>
      <c r="E26" s="44">
        <f>+'2.sz.mell.'!D87+'2.sz.mell.'!D88</f>
        <v>102840761</v>
      </c>
      <c r="F26" s="156">
        <f>+E26-C26</f>
        <v>0</v>
      </c>
    </row>
    <row r="27" spans="1:6" ht="30" customHeight="1" x14ac:dyDescent="0.2">
      <c r="A27" s="133"/>
      <c r="B27" s="266"/>
      <c r="C27" s="266"/>
      <c r="E27" s="44">
        <f>+B26-D26</f>
        <v>0</v>
      </c>
    </row>
    <row r="28" spans="1:6" ht="25.5" customHeight="1" x14ac:dyDescent="0.2">
      <c r="A28" s="134" t="s">
        <v>119</v>
      </c>
      <c r="B28" s="267">
        <v>0</v>
      </c>
      <c r="C28" s="267">
        <v>0</v>
      </c>
      <c r="F28" s="37"/>
    </row>
    <row r="29" spans="1:6" ht="24.75" customHeight="1" x14ac:dyDescent="0.2">
      <c r="A29" s="132" t="s">
        <v>58</v>
      </c>
      <c r="B29" s="265">
        <v>0</v>
      </c>
      <c r="C29" s="265">
        <v>0</v>
      </c>
      <c r="F29" s="37"/>
    </row>
    <row r="30" spans="1:6" ht="18" customHeight="1" x14ac:dyDescent="0.2">
      <c r="A30" s="135"/>
      <c r="B30" s="39"/>
      <c r="F30" s="37"/>
    </row>
    <row r="31" spans="1:6" ht="18" customHeight="1" x14ac:dyDescent="0.2">
      <c r="A31" s="136" t="s">
        <v>120</v>
      </c>
      <c r="B31" s="265">
        <f>SUM(B26,B29)</f>
        <v>95627898</v>
      </c>
      <c r="C31" s="265">
        <f>SUM(C26,C29)</f>
        <v>102840761</v>
      </c>
      <c r="F31" s="37"/>
    </row>
    <row r="32" spans="1:6" ht="18" customHeight="1" x14ac:dyDescent="0.2"/>
    <row r="33" spans="3:3" x14ac:dyDescent="0.2">
      <c r="C33" s="44"/>
    </row>
  </sheetData>
  <mergeCells count="2">
    <mergeCell ref="A3:C3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tToHeight="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view="pageBreakPreview" zoomScaleNormal="100" zoomScaleSheetLayoutView="100" workbookViewId="0">
      <selection activeCell="D14" sqref="D14"/>
    </sheetView>
  </sheetViews>
  <sheetFormatPr defaultRowHeight="15.75" x14ac:dyDescent="0.25"/>
  <cols>
    <col min="1" max="1" width="11.140625" style="87" customWidth="1"/>
    <col min="2" max="2" width="64.140625" style="142" customWidth="1"/>
    <col min="3" max="3" width="14.42578125" style="137" customWidth="1"/>
    <col min="4" max="4" width="15.42578125" style="72" customWidth="1"/>
    <col min="5" max="7" width="9.140625" style="73"/>
    <col min="8" max="16384" width="9.140625" style="87"/>
  </cols>
  <sheetData>
    <row r="1" spans="1:7" x14ac:dyDescent="0.25">
      <c r="A1" s="751" t="s">
        <v>521</v>
      </c>
      <c r="B1" s="751"/>
      <c r="C1" s="751"/>
      <c r="D1" s="751"/>
      <c r="F1" s="128"/>
    </row>
    <row r="2" spans="1:7" x14ac:dyDescent="0.25">
      <c r="B2" s="70"/>
    </row>
    <row r="3" spans="1:7" s="139" customFormat="1" ht="33" customHeight="1" x14ac:dyDescent="0.3">
      <c r="A3" s="733" t="s">
        <v>63</v>
      </c>
      <c r="B3" s="733"/>
      <c r="C3" s="733"/>
      <c r="D3" s="733"/>
      <c r="E3" s="138"/>
    </row>
    <row r="4" spans="1:7" s="139" customFormat="1" ht="42" customHeight="1" x14ac:dyDescent="0.3">
      <c r="A4" s="733" t="s">
        <v>570</v>
      </c>
      <c r="B4" s="733"/>
      <c r="C4" s="733"/>
      <c r="D4" s="733"/>
      <c r="E4" s="138"/>
    </row>
    <row r="5" spans="1:7" x14ac:dyDescent="0.25">
      <c r="B5" s="140"/>
      <c r="C5" s="141"/>
    </row>
    <row r="6" spans="1:7" x14ac:dyDescent="0.25">
      <c r="C6" s="137" t="s">
        <v>316</v>
      </c>
      <c r="D6" s="137" t="s">
        <v>316</v>
      </c>
    </row>
    <row r="7" spans="1:7" s="143" customFormat="1" ht="36" customHeight="1" x14ac:dyDescent="0.25">
      <c r="B7" s="144" t="s">
        <v>121</v>
      </c>
      <c r="C7" s="132" t="s">
        <v>368</v>
      </c>
      <c r="D7" s="586" t="s">
        <v>611</v>
      </c>
      <c r="E7" s="146"/>
      <c r="F7" s="67"/>
      <c r="G7" s="67"/>
    </row>
    <row r="8" spans="1:7" s="86" customFormat="1" ht="19.5" customHeight="1" x14ac:dyDescent="0.25">
      <c r="B8" s="147" t="s">
        <v>122</v>
      </c>
      <c r="C8" s="436">
        <f>+'2.sz.mell.'!C49</f>
        <v>17150000</v>
      </c>
      <c r="D8" s="585">
        <f>+'2.sz.mell.'!D49</f>
        <v>17150000</v>
      </c>
      <c r="E8" s="103"/>
      <c r="F8" s="103"/>
      <c r="G8" s="103"/>
    </row>
    <row r="9" spans="1:7" s="143" customFormat="1" ht="15" customHeight="1" x14ac:dyDescent="0.25">
      <c r="B9" s="50" t="s">
        <v>123</v>
      </c>
      <c r="C9" s="425">
        <f>+C8</f>
        <v>17150000</v>
      </c>
      <c r="D9" s="425">
        <f>+D8</f>
        <v>17150000</v>
      </c>
      <c r="E9" s="67"/>
      <c r="F9" s="67"/>
      <c r="G9" s="67"/>
    </row>
    <row r="10" spans="1:7" s="143" customFormat="1" ht="15" customHeight="1" x14ac:dyDescent="0.25">
      <c r="B10" s="148"/>
      <c r="C10" s="309"/>
      <c r="D10" s="309"/>
      <c r="E10" s="67">
        <f>106778+29232+46282+32074+38570+60900+15428+56028+38164+53998+38976+40194+38057+15200+34691</f>
        <v>644572</v>
      </c>
      <c r="F10" s="67"/>
      <c r="G10" s="67"/>
    </row>
    <row r="11" spans="1:7" s="143" customFormat="1" ht="15" customHeight="1" x14ac:dyDescent="0.25">
      <c r="B11" s="148" t="s">
        <v>124</v>
      </c>
      <c r="C11" s="574">
        <f>+E10*9</f>
        <v>5801148</v>
      </c>
      <c r="D11" s="574">
        <f>+F10*9</f>
        <v>0</v>
      </c>
      <c r="E11" s="67"/>
      <c r="F11" s="67"/>
      <c r="G11" s="67"/>
    </row>
    <row r="12" spans="1:7" s="143" customFormat="1" ht="15" customHeight="1" x14ac:dyDescent="0.25">
      <c r="B12" s="50" t="s">
        <v>125</v>
      </c>
      <c r="C12" s="425">
        <f>SUM(C11)</f>
        <v>5801148</v>
      </c>
      <c r="D12" s="425">
        <f>SUM(D11)</f>
        <v>0</v>
      </c>
      <c r="E12" s="67"/>
      <c r="F12" s="67"/>
      <c r="G12" s="67"/>
    </row>
    <row r="13" spans="1:7" s="143" customFormat="1" ht="15" customHeight="1" x14ac:dyDescent="0.25">
      <c r="B13" s="149"/>
      <c r="C13" s="311"/>
      <c r="D13" s="311"/>
      <c r="E13" s="67"/>
      <c r="F13" s="67"/>
      <c r="G13" s="67"/>
    </row>
    <row r="14" spans="1:7" s="143" customFormat="1" ht="32.25" customHeight="1" x14ac:dyDescent="0.25">
      <c r="B14" s="144" t="s">
        <v>126</v>
      </c>
      <c r="C14" s="145">
        <v>0</v>
      </c>
      <c r="D14" s="145">
        <v>0</v>
      </c>
      <c r="E14" s="67"/>
      <c r="F14" s="67"/>
      <c r="G14" s="67"/>
    </row>
    <row r="15" spans="1:7" s="143" customFormat="1" ht="19.5" customHeight="1" x14ac:dyDescent="0.25">
      <c r="B15" s="148" t="s">
        <v>518</v>
      </c>
      <c r="C15" s="312"/>
      <c r="D15" s="312"/>
      <c r="E15" s="67"/>
      <c r="F15" s="67"/>
      <c r="G15" s="67"/>
    </row>
    <row r="16" spans="1:7" s="143" customFormat="1" ht="15" customHeight="1" x14ac:dyDescent="0.25">
      <c r="B16" s="148"/>
      <c r="C16" s="309"/>
      <c r="D16" s="309"/>
      <c r="E16" s="67"/>
      <c r="F16" s="67"/>
      <c r="G16" s="67"/>
    </row>
    <row r="17" spans="2:7" s="151" customFormat="1" ht="34.5" customHeight="1" x14ac:dyDescent="0.25">
      <c r="B17" s="144" t="s">
        <v>127</v>
      </c>
      <c r="C17" s="313"/>
      <c r="D17" s="313"/>
      <c r="E17" s="150"/>
      <c r="F17" s="146"/>
      <c r="G17" s="146"/>
    </row>
    <row r="18" spans="2:7" s="143" customFormat="1" ht="15" customHeight="1" x14ac:dyDescent="0.25">
      <c r="B18" s="149" t="s">
        <v>242</v>
      </c>
      <c r="C18" s="424">
        <f>+'2.sz.mell.'!C40</f>
        <v>7500000</v>
      </c>
      <c r="D18" s="424">
        <f>+'2.sz.mell.'!D40</f>
        <v>8273230</v>
      </c>
      <c r="E18" s="67"/>
      <c r="F18" s="67"/>
      <c r="G18" s="67"/>
    </row>
    <row r="19" spans="2:7" s="153" customFormat="1" ht="15" customHeight="1" x14ac:dyDescent="0.25">
      <c r="B19" s="148" t="s">
        <v>128</v>
      </c>
      <c r="C19" s="424">
        <v>0</v>
      </c>
      <c r="D19" s="424">
        <v>0</v>
      </c>
      <c r="E19" s="152"/>
      <c r="F19" s="152"/>
      <c r="G19" s="152"/>
    </row>
    <row r="20" spans="2:7" s="151" customFormat="1" ht="15" customHeight="1" x14ac:dyDescent="0.25">
      <c r="B20" s="50" t="s">
        <v>123</v>
      </c>
      <c r="C20" s="425">
        <f>+C18</f>
        <v>7500000</v>
      </c>
      <c r="D20" s="425">
        <f>+D18</f>
        <v>8273230</v>
      </c>
      <c r="E20" s="146"/>
      <c r="F20" s="146"/>
      <c r="G20" s="146"/>
    </row>
    <row r="21" spans="2:7" s="143" customFormat="1" ht="15" customHeight="1" x14ac:dyDescent="0.25">
      <c r="B21" s="148"/>
      <c r="C21" s="310"/>
      <c r="D21" s="310"/>
      <c r="E21" s="67"/>
      <c r="F21" s="67"/>
      <c r="G21" s="67"/>
    </row>
    <row r="22" spans="2:7" s="143" customFormat="1" ht="15" customHeight="1" x14ac:dyDescent="0.25">
      <c r="B22" s="50" t="s">
        <v>129</v>
      </c>
      <c r="C22" s="314"/>
      <c r="D22" s="314"/>
      <c r="E22" s="67"/>
      <c r="F22" s="67"/>
      <c r="G22" s="67"/>
    </row>
    <row r="23" spans="2:7" s="143" customFormat="1" ht="15" customHeight="1" x14ac:dyDescent="0.25">
      <c r="B23" s="148" t="s">
        <v>130</v>
      </c>
      <c r="C23" s="424">
        <v>0</v>
      </c>
      <c r="D23" s="424">
        <v>0</v>
      </c>
      <c r="E23" s="67"/>
      <c r="F23" s="67"/>
      <c r="G23" s="67"/>
    </row>
    <row r="24" spans="2:7" s="143" customFormat="1" ht="15" customHeight="1" x14ac:dyDescent="0.25">
      <c r="B24" s="148" t="s">
        <v>131</v>
      </c>
      <c r="C24" s="424">
        <v>0</v>
      </c>
      <c r="D24" s="424">
        <v>0</v>
      </c>
      <c r="E24" s="67"/>
      <c r="F24" s="67"/>
      <c r="G24" s="67"/>
    </row>
    <row r="25" spans="2:7" s="154" customFormat="1" ht="15" customHeight="1" x14ac:dyDescent="0.25">
      <c r="B25" s="50" t="s">
        <v>123</v>
      </c>
      <c r="C25" s="425">
        <f>+'2.sz.mell.'!C44</f>
        <v>6000000</v>
      </c>
      <c r="D25" s="425">
        <f>+'2.sz.mell.'!D44</f>
        <v>0</v>
      </c>
      <c r="E25" s="150"/>
      <c r="F25" s="150"/>
      <c r="G25" s="150"/>
    </row>
    <row r="26" spans="2:7" s="143" customFormat="1" ht="15" customHeight="1" x14ac:dyDescent="0.25">
      <c r="B26" s="50" t="s">
        <v>125</v>
      </c>
      <c r="C26" s="425">
        <v>0</v>
      </c>
      <c r="D26" s="425">
        <v>0</v>
      </c>
      <c r="E26" s="67"/>
      <c r="F26" s="67"/>
      <c r="G26" s="67"/>
    </row>
    <row r="27" spans="2:7" s="143" customFormat="1" ht="15" customHeight="1" x14ac:dyDescent="0.25">
      <c r="B27" s="148"/>
      <c r="C27" s="310"/>
      <c r="D27" s="310"/>
      <c r="E27" s="67"/>
      <c r="F27" s="67"/>
      <c r="G27" s="67"/>
    </row>
    <row r="28" spans="2:7" s="143" customFormat="1" ht="36.75" customHeight="1" x14ac:dyDescent="0.25">
      <c r="B28" s="144" t="s">
        <v>132</v>
      </c>
      <c r="C28" s="426"/>
      <c r="D28" s="426"/>
      <c r="E28" s="67"/>
      <c r="F28" s="67"/>
      <c r="G28" s="67"/>
    </row>
    <row r="29" spans="2:7" s="143" customFormat="1" ht="15" customHeight="1" x14ac:dyDescent="0.25">
      <c r="B29" s="148" t="s">
        <v>133</v>
      </c>
      <c r="C29" s="427">
        <v>0</v>
      </c>
      <c r="D29" s="427">
        <v>0</v>
      </c>
      <c r="E29" s="67"/>
      <c r="F29" s="67"/>
      <c r="G29" s="67"/>
    </row>
    <row r="30" spans="2:7" s="143" customFormat="1" ht="15" customHeight="1" x14ac:dyDescent="0.25">
      <c r="B30" s="148" t="s">
        <v>134</v>
      </c>
      <c r="C30" s="427">
        <v>0</v>
      </c>
      <c r="D30" s="427">
        <v>0</v>
      </c>
      <c r="E30" s="67"/>
      <c r="F30" s="67"/>
      <c r="G30" s="67"/>
    </row>
    <row r="31" spans="2:7" s="143" customFormat="1" ht="15" customHeight="1" x14ac:dyDescent="0.25">
      <c r="B31" s="50" t="s">
        <v>125</v>
      </c>
      <c r="C31" s="145">
        <v>0</v>
      </c>
      <c r="D31" s="145">
        <v>0</v>
      </c>
      <c r="E31" s="67"/>
      <c r="F31" s="67"/>
      <c r="G31" s="67"/>
    </row>
    <row r="32" spans="2:7" s="143" customFormat="1" ht="15" customHeight="1" x14ac:dyDescent="0.25">
      <c r="B32" s="148"/>
      <c r="C32" s="424"/>
      <c r="D32" s="424"/>
      <c r="E32" s="67"/>
      <c r="F32" s="67"/>
      <c r="G32" s="67"/>
    </row>
    <row r="33" spans="2:7" s="143" customFormat="1" ht="21" customHeight="1" x14ac:dyDescent="0.25">
      <c r="B33" s="50" t="s">
        <v>135</v>
      </c>
      <c r="C33" s="428"/>
      <c r="D33" s="428"/>
      <c r="E33" s="150"/>
      <c r="F33" s="67"/>
      <c r="G33" s="67"/>
    </row>
    <row r="34" spans="2:7" s="143" customFormat="1" ht="15" customHeight="1" x14ac:dyDescent="0.25">
      <c r="B34" s="148" t="s">
        <v>136</v>
      </c>
      <c r="C34" s="427">
        <v>0</v>
      </c>
      <c r="D34" s="427">
        <v>0</v>
      </c>
      <c r="E34" s="67"/>
      <c r="F34" s="67"/>
      <c r="G34" s="67"/>
    </row>
    <row r="35" spans="2:7" s="143" customFormat="1" ht="15" customHeight="1" x14ac:dyDescent="0.25">
      <c r="B35" s="148" t="s">
        <v>128</v>
      </c>
      <c r="C35" s="427">
        <v>0</v>
      </c>
      <c r="D35" s="427">
        <v>0</v>
      </c>
      <c r="E35" s="67"/>
      <c r="F35" s="67"/>
      <c r="G35" s="67"/>
    </row>
    <row r="36" spans="2:7" s="154" customFormat="1" ht="15" customHeight="1" x14ac:dyDescent="0.25">
      <c r="B36" s="50" t="s">
        <v>123</v>
      </c>
      <c r="C36" s="426">
        <v>0</v>
      </c>
      <c r="D36" s="426">
        <v>0</v>
      </c>
      <c r="E36" s="150"/>
      <c r="F36" s="150"/>
      <c r="G36" s="150"/>
    </row>
    <row r="37" spans="2:7" ht="15" customHeight="1" x14ac:dyDescent="0.25">
      <c r="B37" s="144" t="s">
        <v>125</v>
      </c>
      <c r="C37" s="426">
        <v>0</v>
      </c>
      <c r="D37" s="426">
        <v>0</v>
      </c>
    </row>
    <row r="38" spans="2:7" ht="15" customHeight="1" x14ac:dyDescent="0.25">
      <c r="B38" s="155"/>
      <c r="C38" s="310"/>
      <c r="D38" s="310"/>
    </row>
    <row r="39" spans="2:7" s="92" customFormat="1" ht="15" customHeight="1" x14ac:dyDescent="0.25">
      <c r="B39" s="144" t="s">
        <v>137</v>
      </c>
      <c r="C39" s="437">
        <f>SUM(C12,C26,C31,C37)</f>
        <v>5801148</v>
      </c>
      <c r="D39" s="437">
        <f>SUM(D12,D26,D31,D37)</f>
        <v>0</v>
      </c>
      <c r="E39" s="85"/>
      <c r="F39" s="85"/>
      <c r="G39" s="85"/>
    </row>
  </sheetData>
  <mergeCells count="3">
    <mergeCell ref="A1:D1"/>
    <mergeCell ref="A3:D3"/>
    <mergeCell ref="A4:D4"/>
  </mergeCells>
  <phoneticPr fontId="0" type="noConversion"/>
  <pageMargins left="0.75" right="0.75" top="1" bottom="1" header="0.5" footer="0.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3"/>
  <sheetViews>
    <sheetView view="pageBreakPreview" zoomScale="60" zoomScaleNormal="100" workbookViewId="0">
      <selection activeCell="L57" sqref="L57"/>
    </sheetView>
  </sheetViews>
  <sheetFormatPr defaultColWidth="8.85546875" defaultRowHeight="12.75" x14ac:dyDescent="0.2"/>
  <cols>
    <col min="1" max="3" width="8.85546875" style="37"/>
    <col min="4" max="4" width="66.5703125" style="37" bestFit="1" customWidth="1"/>
    <col min="5" max="5" width="13" style="156" customWidth="1"/>
    <col min="6" max="6" width="16.85546875" style="37" customWidth="1"/>
    <col min="7" max="16384" width="8.85546875" style="37"/>
  </cols>
  <sheetData>
    <row r="1" spans="1:8" ht="15.75" x14ac:dyDescent="0.25">
      <c r="A1" s="751" t="s">
        <v>522</v>
      </c>
      <c r="B1" s="751"/>
      <c r="C1" s="751"/>
      <c r="D1" s="751"/>
      <c r="E1" s="751"/>
      <c r="F1" s="751"/>
      <c r="G1" s="751"/>
      <c r="H1" s="435"/>
    </row>
    <row r="3" spans="1:8" ht="48.75" customHeight="1" x14ac:dyDescent="0.2">
      <c r="A3" s="764" t="s">
        <v>571</v>
      </c>
      <c r="B3" s="764"/>
      <c r="C3" s="764"/>
      <c r="D3" s="764"/>
      <c r="E3" s="764"/>
      <c r="F3" s="764"/>
      <c r="G3" s="764"/>
      <c r="H3" s="413"/>
    </row>
    <row r="4" spans="1:8" ht="18.75" x14ac:dyDescent="0.3">
      <c r="D4" s="763" t="s">
        <v>38</v>
      </c>
      <c r="F4" s="400"/>
    </row>
    <row r="5" spans="1:8" ht="18.75" x14ac:dyDescent="0.3">
      <c r="D5" s="763"/>
      <c r="F5" s="401" t="s">
        <v>316</v>
      </c>
    </row>
    <row r="6" spans="1:8" ht="18.75" x14ac:dyDescent="0.3">
      <c r="D6" s="402" t="s">
        <v>138</v>
      </c>
      <c r="F6" s="403"/>
    </row>
    <row r="7" spans="1:8" ht="18.75" x14ac:dyDescent="0.3">
      <c r="D7" s="404" t="s">
        <v>51</v>
      </c>
      <c r="F7" s="405">
        <v>0</v>
      </c>
    </row>
    <row r="8" spans="1:8" ht="18.75" x14ac:dyDescent="0.3">
      <c r="D8" s="402" t="s">
        <v>139</v>
      </c>
      <c r="F8" s="406">
        <v>0</v>
      </c>
    </row>
    <row r="9" spans="1:8" ht="18.75" x14ac:dyDescent="0.3">
      <c r="D9" s="402"/>
      <c r="F9" s="406"/>
    </row>
    <row r="10" spans="1:8" ht="18.75" x14ac:dyDescent="0.3">
      <c r="D10" s="407" t="s">
        <v>39</v>
      </c>
      <c r="F10" s="408"/>
    </row>
    <row r="11" spans="1:8" ht="18.75" x14ac:dyDescent="0.3">
      <c r="D11" s="402" t="s">
        <v>140</v>
      </c>
      <c r="F11" s="403"/>
    </row>
    <row r="12" spans="1:8" ht="18.75" x14ac:dyDescent="0.3">
      <c r="D12" s="404" t="s">
        <v>233</v>
      </c>
      <c r="F12" s="403">
        <f>+'5.a sz.mell.'!N38</f>
        <v>567000</v>
      </c>
    </row>
    <row r="13" spans="1:8" ht="18.75" x14ac:dyDescent="0.3">
      <c r="D13" s="404" t="s">
        <v>234</v>
      </c>
      <c r="F13" s="403">
        <f>+'5.a sz.mell.'!N39</f>
        <v>180000</v>
      </c>
    </row>
    <row r="14" spans="1:8" ht="18.75" x14ac:dyDescent="0.3">
      <c r="D14" s="404" t="s">
        <v>50</v>
      </c>
      <c r="F14" s="403">
        <v>700000</v>
      </c>
    </row>
    <row r="15" spans="1:8" ht="18.75" x14ac:dyDescent="0.3">
      <c r="D15" s="404" t="s">
        <v>339</v>
      </c>
      <c r="F15" s="403">
        <v>1700000</v>
      </c>
    </row>
    <row r="16" spans="1:8" ht="18.75" x14ac:dyDescent="0.3">
      <c r="D16" s="402" t="s">
        <v>141</v>
      </c>
      <c r="F16" s="406">
        <f>SUM(F12:F15)</f>
        <v>3147000</v>
      </c>
    </row>
    <row r="17" spans="4:6" ht="18.75" x14ac:dyDescent="0.3">
      <c r="D17" s="402"/>
      <c r="F17" s="406"/>
    </row>
    <row r="18" spans="4:6" ht="18.75" x14ac:dyDescent="0.3">
      <c r="D18" s="402" t="s">
        <v>142</v>
      </c>
      <c r="F18" s="406">
        <f>SUM(F8,F16)</f>
        <v>3147000</v>
      </c>
    </row>
    <row r="19" spans="4:6" ht="18" x14ac:dyDescent="0.25">
      <c r="D19" s="396"/>
      <c r="F19" s="409"/>
    </row>
    <row r="20" spans="4:6" ht="18.75" x14ac:dyDescent="0.3">
      <c r="D20" s="410" t="s">
        <v>143</v>
      </c>
      <c r="F20" s="409"/>
    </row>
    <row r="21" spans="4:6" ht="18.75" x14ac:dyDescent="0.3">
      <c r="D21" s="410" t="s">
        <v>144</v>
      </c>
      <c r="F21" s="411">
        <v>0</v>
      </c>
    </row>
    <row r="22" spans="4:6" ht="18.75" x14ac:dyDescent="0.3">
      <c r="D22" s="412" t="s">
        <v>145</v>
      </c>
      <c r="F22" s="411">
        <f>+F12+F13</f>
        <v>747000</v>
      </c>
    </row>
    <row r="23" spans="4:6" ht="18" x14ac:dyDescent="0.25">
      <c r="D23" s="396"/>
      <c r="E23" s="409"/>
    </row>
    <row r="24" spans="4:6" x14ac:dyDescent="0.2">
      <c r="D24" s="157"/>
    </row>
    <row r="25" spans="4:6" x14ac:dyDescent="0.2">
      <c r="D25" s="84"/>
    </row>
    <row r="26" spans="4:6" x14ac:dyDescent="0.2">
      <c r="D26" s="84"/>
    </row>
    <row r="27" spans="4:6" x14ac:dyDescent="0.2">
      <c r="D27" s="84"/>
    </row>
    <row r="28" spans="4:6" x14ac:dyDescent="0.2">
      <c r="D28" s="84"/>
    </row>
    <row r="29" spans="4:6" x14ac:dyDescent="0.2">
      <c r="D29" s="84"/>
    </row>
    <row r="32" spans="4:6" x14ac:dyDescent="0.2">
      <c r="D32" s="203"/>
      <c r="E32" s="204"/>
    </row>
    <row r="33" spans="4:5" x14ac:dyDescent="0.2">
      <c r="D33" s="205"/>
      <c r="E33" s="206"/>
    </row>
  </sheetData>
  <mergeCells count="3">
    <mergeCell ref="D4:D5"/>
    <mergeCell ref="A3:G3"/>
    <mergeCell ref="A1:G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  <pageSetUpPr fitToPage="1"/>
  </sheetPr>
  <dimension ref="A1:N529"/>
  <sheetViews>
    <sheetView zoomScale="130" zoomScaleNormal="130" workbookViewId="0">
      <selection activeCell="D14" sqref="D14:D18"/>
    </sheetView>
  </sheetViews>
  <sheetFormatPr defaultColWidth="8.85546875" defaultRowHeight="15" x14ac:dyDescent="0.2"/>
  <cols>
    <col min="1" max="1" width="9" style="94" customWidth="1"/>
    <col min="2" max="2" width="67" style="181" customWidth="1"/>
    <col min="3" max="4" width="24.7109375" style="188" customWidth="1"/>
    <col min="5" max="5" width="15.5703125" style="37" bestFit="1" customWidth="1"/>
    <col min="6" max="6" width="15.5703125" style="37" customWidth="1"/>
    <col min="7" max="7" width="12.85546875" style="37" customWidth="1"/>
    <col min="8" max="8" width="13.28515625" style="37" customWidth="1"/>
    <col min="9" max="9" width="16.28515625" style="37" bestFit="1" customWidth="1"/>
    <col min="10" max="13" width="8.85546875" style="37"/>
    <col min="14" max="14" width="16.28515625" style="37" bestFit="1" customWidth="1"/>
    <col min="15" max="16384" width="8.85546875" style="37"/>
  </cols>
  <sheetData>
    <row r="1" spans="1:10" ht="23.25" customHeight="1" x14ac:dyDescent="0.25">
      <c r="A1" s="669" t="s">
        <v>684</v>
      </c>
      <c r="B1" s="669"/>
      <c r="C1" s="669"/>
      <c r="D1" s="578"/>
      <c r="E1" s="250"/>
      <c r="F1" s="250"/>
      <c r="G1" s="250"/>
      <c r="H1" s="250"/>
      <c r="I1" s="180"/>
    </row>
    <row r="2" spans="1:10" ht="42" customHeight="1" x14ac:dyDescent="0.2">
      <c r="A2" s="668" t="s">
        <v>577</v>
      </c>
      <c r="B2" s="668"/>
      <c r="C2" s="668"/>
      <c r="D2" s="577"/>
      <c r="E2" s="182"/>
      <c r="F2" s="182"/>
      <c r="G2" s="182"/>
      <c r="H2" s="182"/>
      <c r="I2" s="214"/>
      <c r="J2" s="182"/>
    </row>
    <row r="3" spans="1:10" ht="16.5" thickBot="1" x14ac:dyDescent="0.3">
      <c r="B3" s="508" t="s">
        <v>316</v>
      </c>
      <c r="C3" s="509" t="s">
        <v>316</v>
      </c>
      <c r="D3" s="509"/>
      <c r="E3" s="215"/>
      <c r="F3" s="215"/>
    </row>
    <row r="4" spans="1:10" ht="33" customHeight="1" x14ac:dyDescent="0.2">
      <c r="B4" s="296" t="s">
        <v>175</v>
      </c>
      <c r="C4" s="184" t="s">
        <v>598</v>
      </c>
      <c r="D4" s="184" t="s">
        <v>599</v>
      </c>
      <c r="E4" s="37" t="s">
        <v>604</v>
      </c>
      <c r="F4" s="37" t="s">
        <v>605</v>
      </c>
    </row>
    <row r="5" spans="1:10" x14ac:dyDescent="0.2">
      <c r="B5" s="212" t="s">
        <v>374</v>
      </c>
      <c r="C5" s="335">
        <v>70119800</v>
      </c>
      <c r="D5" s="335">
        <v>83712000</v>
      </c>
      <c r="E5" s="670">
        <v>100042520</v>
      </c>
      <c r="F5" s="582"/>
      <c r="I5" s="37" t="s">
        <v>603</v>
      </c>
    </row>
    <row r="6" spans="1:10" x14ac:dyDescent="0.2">
      <c r="B6" s="217" t="s">
        <v>376</v>
      </c>
      <c r="C6" s="329">
        <v>10198440</v>
      </c>
      <c r="D6" s="329">
        <v>10198440</v>
      </c>
      <c r="E6" s="670"/>
      <c r="F6" s="582"/>
    </row>
    <row r="7" spans="1:10" x14ac:dyDescent="0.2">
      <c r="B7" s="217" t="s">
        <v>377</v>
      </c>
      <c r="C7" s="329">
        <v>6400000</v>
      </c>
      <c r="D7" s="329">
        <v>6400000</v>
      </c>
      <c r="E7" s="670"/>
      <c r="F7" s="582"/>
    </row>
    <row r="8" spans="1:10" x14ac:dyDescent="0.2">
      <c r="B8" s="217" t="s">
        <v>378</v>
      </c>
      <c r="C8" s="329">
        <v>100000</v>
      </c>
      <c r="D8" s="329">
        <v>100000</v>
      </c>
      <c r="E8" s="670"/>
      <c r="F8" s="582"/>
      <c r="G8" s="37" t="s">
        <v>487</v>
      </c>
    </row>
    <row r="9" spans="1:10" x14ac:dyDescent="0.2">
      <c r="B9" s="217" t="s">
        <v>379</v>
      </c>
      <c r="C9" s="329">
        <v>5309530</v>
      </c>
      <c r="D9" s="329">
        <v>5309530</v>
      </c>
      <c r="E9" s="670"/>
      <c r="F9" s="582">
        <f>+D5+D6+D7+D8+D9+D10+D11+D12+D22</f>
        <v>117051968</v>
      </c>
    </row>
    <row r="10" spans="1:10" x14ac:dyDescent="0.2">
      <c r="B10" s="217" t="s">
        <v>380</v>
      </c>
      <c r="C10" s="329">
        <v>7000000</v>
      </c>
      <c r="D10" s="329">
        <v>7000000</v>
      </c>
      <c r="E10" s="670"/>
      <c r="F10" s="582"/>
    </row>
    <row r="11" spans="1:10" x14ac:dyDescent="0.2">
      <c r="B11" s="217" t="s">
        <v>381</v>
      </c>
      <c r="C11" s="329">
        <v>0</v>
      </c>
      <c r="D11" s="329">
        <f>2873435+543813</f>
        <v>3417248</v>
      </c>
      <c r="E11" s="670"/>
      <c r="F11" s="582"/>
    </row>
    <row r="12" spans="1:10" x14ac:dyDescent="0.2">
      <c r="B12" s="217" t="s">
        <v>382</v>
      </c>
      <c r="C12" s="329">
        <v>840800</v>
      </c>
      <c r="D12" s="329">
        <v>840800</v>
      </c>
      <c r="E12" s="670"/>
      <c r="F12" s="582"/>
    </row>
    <row r="13" spans="1:10" x14ac:dyDescent="0.2">
      <c r="B13" s="217" t="s">
        <v>375</v>
      </c>
      <c r="C13" s="329">
        <v>71496700</v>
      </c>
      <c r="D13" s="329">
        <v>76040200</v>
      </c>
    </row>
    <row r="14" spans="1:10" ht="15.75" customHeight="1" x14ac:dyDescent="0.2">
      <c r="B14" s="217" t="s">
        <v>672</v>
      </c>
      <c r="C14" s="329">
        <v>19727792</v>
      </c>
      <c r="D14" s="329">
        <v>19727792</v>
      </c>
      <c r="E14" s="667">
        <f>+C14+C15+C16+C17+C18+C19+C20</f>
        <v>94161792</v>
      </c>
      <c r="F14" s="667">
        <f>+D14+D15+D16+D17+D18+D19+D20</f>
        <v>91818309</v>
      </c>
      <c r="G14" s="37" t="s">
        <v>527</v>
      </c>
    </row>
    <row r="15" spans="1:10" x14ac:dyDescent="0.2">
      <c r="B15" s="217" t="s">
        <v>673</v>
      </c>
      <c r="C15" s="329">
        <f>3230000+5940000+150000+5555600+3400000</f>
        <v>18275600</v>
      </c>
      <c r="D15" s="329">
        <f>+C15+1747500+7912702-1747500</f>
        <v>26188302</v>
      </c>
      <c r="E15" s="667"/>
      <c r="F15" s="667"/>
      <c r="G15" s="156"/>
    </row>
    <row r="16" spans="1:10" x14ac:dyDescent="0.2">
      <c r="B16" s="217" t="s">
        <v>676</v>
      </c>
      <c r="C16" s="329">
        <v>20394000</v>
      </c>
      <c r="D16" s="329">
        <f>+C16+1365760-3984740</f>
        <v>17775020</v>
      </c>
      <c r="E16" s="667"/>
      <c r="F16" s="667"/>
      <c r="G16" s="37">
        <f>3780000+5555600+150000+5940000+3230000</f>
        <v>18655600</v>
      </c>
    </row>
    <row r="17" spans="2:8" x14ac:dyDescent="0.2">
      <c r="B17" s="217" t="s">
        <v>677</v>
      </c>
      <c r="C17" s="329">
        <v>24051380</v>
      </c>
      <c r="D17" s="329">
        <v>16246025</v>
      </c>
      <c r="E17" s="667"/>
      <c r="F17" s="667"/>
      <c r="H17" s="156"/>
    </row>
    <row r="18" spans="2:8" x14ac:dyDescent="0.2">
      <c r="B18" s="217" t="s">
        <v>678</v>
      </c>
      <c r="C18" s="329">
        <v>932520</v>
      </c>
      <c r="D18" s="329">
        <v>1100670</v>
      </c>
      <c r="E18" s="667"/>
      <c r="F18" s="667"/>
    </row>
    <row r="19" spans="2:8" x14ac:dyDescent="0.2">
      <c r="B19" s="217" t="s">
        <v>674</v>
      </c>
      <c r="C19" s="329">
        <v>7482500</v>
      </c>
      <c r="D19" s="329">
        <f>+C19</f>
        <v>7482500</v>
      </c>
      <c r="E19" s="667"/>
      <c r="F19" s="667"/>
      <c r="G19" s="37">
        <v>94541792</v>
      </c>
    </row>
    <row r="20" spans="2:8" x14ac:dyDescent="0.2">
      <c r="B20" s="217" t="s">
        <v>675</v>
      </c>
      <c r="C20" s="329">
        <v>3298000</v>
      </c>
      <c r="D20" s="329">
        <v>3298000</v>
      </c>
      <c r="E20" s="667"/>
      <c r="F20" s="667"/>
    </row>
    <row r="21" spans="2:8" x14ac:dyDescent="0.2">
      <c r="B21" s="217" t="s">
        <v>384</v>
      </c>
      <c r="C21" s="329">
        <v>3074958</v>
      </c>
      <c r="D21" s="329">
        <v>5204451</v>
      </c>
      <c r="E21" s="610">
        <f>+C21</f>
        <v>3074958</v>
      </c>
      <c r="F21" s="610">
        <f>+D21</f>
        <v>5204451</v>
      </c>
    </row>
    <row r="22" spans="2:8" x14ac:dyDescent="0.2">
      <c r="B22" s="217" t="s">
        <v>383</v>
      </c>
      <c r="C22" s="329">
        <v>73950</v>
      </c>
      <c r="D22" s="329">
        <v>73950</v>
      </c>
      <c r="E22" s="642"/>
      <c r="F22" s="642"/>
    </row>
    <row r="23" spans="2:8" x14ac:dyDescent="0.2">
      <c r="B23" s="217" t="s">
        <v>424</v>
      </c>
      <c r="C23" s="329">
        <v>0</v>
      </c>
      <c r="D23" s="329">
        <v>0</v>
      </c>
      <c r="E23" s="156"/>
      <c r="F23" s="156"/>
    </row>
    <row r="24" spans="2:8" x14ac:dyDescent="0.2">
      <c r="B24" s="217" t="s">
        <v>426</v>
      </c>
      <c r="C24" s="329">
        <v>0</v>
      </c>
      <c r="D24" s="329">
        <v>3320707</v>
      </c>
      <c r="E24" s="156"/>
      <c r="F24" s="156"/>
    </row>
    <row r="25" spans="2:8" ht="15.75" thickBot="1" x14ac:dyDescent="0.25">
      <c r="B25" s="217" t="s">
        <v>679</v>
      </c>
      <c r="C25" s="329">
        <v>0</v>
      </c>
      <c r="D25" s="329">
        <v>4003040</v>
      </c>
      <c r="E25" s="156"/>
      <c r="F25" s="156"/>
    </row>
    <row r="26" spans="2:8" ht="19.899999999999999" customHeight="1" thickBot="1" x14ac:dyDescent="0.25">
      <c r="B26" s="297" t="s">
        <v>176</v>
      </c>
      <c r="C26" s="322">
        <f>SUM(C5:C24)</f>
        <v>268775970</v>
      </c>
      <c r="D26" s="322">
        <f>SUM(D5:D25)</f>
        <v>297438675</v>
      </c>
      <c r="E26" s="156"/>
      <c r="F26" s="587" t="s">
        <v>623</v>
      </c>
      <c r="H26" s="156">
        <f>+D26-285688877</f>
        <v>11749798</v>
      </c>
    </row>
    <row r="27" spans="2:8" x14ac:dyDescent="0.2">
      <c r="B27" s="186" t="s">
        <v>434</v>
      </c>
      <c r="C27" s="323">
        <f>+'5 b.sz.mell.'!F25</f>
        <v>20354748</v>
      </c>
      <c r="D27" s="323">
        <f>+'5 b.sz.mell.'!G25</f>
        <v>22200100</v>
      </c>
    </row>
    <row r="28" spans="2:8" x14ac:dyDescent="0.2">
      <c r="B28" s="217" t="s">
        <v>435</v>
      </c>
      <c r="C28" s="321">
        <f>+'5 b.sz.mell.'!F12+'5 b.sz.mell.'!F11+'5 b.sz.mell.'!F10+'5 b.sz.mell.'!F13</f>
        <v>0</v>
      </c>
      <c r="D28" s="321">
        <f>+'5 b.sz.mell.'!G12+'5 b.sz.mell.'!G11+'5 b.sz.mell.'!G10+'5 b.sz.mell.'!G13</f>
        <v>27562328</v>
      </c>
    </row>
    <row r="29" spans="2:8" x14ac:dyDescent="0.2">
      <c r="B29" s="217" t="s">
        <v>436</v>
      </c>
      <c r="C29" s="321">
        <f>+'5 b.sz.mell.'!F28</f>
        <v>7411115</v>
      </c>
      <c r="D29" s="321">
        <f>+'5 b.sz.mell.'!G28</f>
        <v>8950115</v>
      </c>
    </row>
    <row r="30" spans="2:8" x14ac:dyDescent="0.2">
      <c r="B30" s="217" t="s">
        <v>441</v>
      </c>
      <c r="C30" s="321">
        <f>+'5 b.sz.mell.'!F40</f>
        <v>1938774</v>
      </c>
      <c r="D30" s="321">
        <f>+'5 b.sz.mell.'!G40</f>
        <v>977813</v>
      </c>
    </row>
    <row r="31" spans="2:8" x14ac:dyDescent="0.2">
      <c r="B31" s="216" t="s">
        <v>437</v>
      </c>
      <c r="C31" s="324">
        <f>+'5 b.sz.mell.'!F29</f>
        <v>0</v>
      </c>
      <c r="D31" s="324">
        <f>+'5 b.sz.mell.'!G29</f>
        <v>66960</v>
      </c>
    </row>
    <row r="32" spans="2:8" x14ac:dyDescent="0.2">
      <c r="B32" s="216" t="s">
        <v>442</v>
      </c>
      <c r="C32" s="324">
        <f>+'5 b.sz.mell.'!F50</f>
        <v>2800000</v>
      </c>
      <c r="D32" s="324">
        <f>+'5 b.sz.mell.'!G50</f>
        <v>2800000</v>
      </c>
    </row>
    <row r="33" spans="2:14" x14ac:dyDescent="0.2">
      <c r="B33" s="216" t="s">
        <v>443</v>
      </c>
      <c r="C33" s="324">
        <f>+'5 b.sz.mell.'!F9</f>
        <v>0</v>
      </c>
      <c r="D33" s="324">
        <f>+'5 b.sz.mell.'!G9</f>
        <v>0</v>
      </c>
    </row>
    <row r="34" spans="2:14" x14ac:dyDescent="0.2">
      <c r="B34" s="216" t="s">
        <v>438</v>
      </c>
      <c r="C34" s="324">
        <f>+'5 b.sz.mell.'!F21</f>
        <v>0</v>
      </c>
      <c r="D34" s="324">
        <f>+'5 b.sz.mell.'!G21</f>
        <v>0</v>
      </c>
    </row>
    <row r="35" spans="2:14" x14ac:dyDescent="0.2">
      <c r="B35" s="216" t="s">
        <v>649</v>
      </c>
      <c r="C35" s="324">
        <v>0</v>
      </c>
      <c r="D35" s="324">
        <f>+'5 b.sz.mell.'!G27</f>
        <v>150000</v>
      </c>
    </row>
    <row r="36" spans="2:14" x14ac:dyDescent="0.2">
      <c r="B36" s="216" t="s">
        <v>648</v>
      </c>
      <c r="C36" s="324">
        <v>0</v>
      </c>
      <c r="D36" s="324">
        <f>+'5 b.sz.mell.'!G46</f>
        <v>2619780</v>
      </c>
    </row>
    <row r="37" spans="2:14" x14ac:dyDescent="0.2">
      <c r="B37" s="216" t="s">
        <v>647</v>
      </c>
      <c r="C37" s="324">
        <f>+'5 b.sz.mell.'!F56</f>
        <v>2024525</v>
      </c>
      <c r="D37" s="324">
        <f>+'5 b.sz.mell.'!G56</f>
        <v>8376287</v>
      </c>
    </row>
    <row r="38" spans="2:14" ht="15.75" thickBot="1" x14ac:dyDescent="0.25">
      <c r="B38" s="216" t="s">
        <v>493</v>
      </c>
      <c r="C38" s="324">
        <f>+'5 b.sz.mell.'!F6</f>
        <v>61262718</v>
      </c>
      <c r="D38" s="324">
        <f>+'5 b.sz.mell.'!G6</f>
        <v>0</v>
      </c>
    </row>
    <row r="39" spans="2:14" ht="19.899999999999999" customHeight="1" thickBot="1" x14ac:dyDescent="0.25">
      <c r="B39" s="297" t="s">
        <v>385</v>
      </c>
      <c r="C39" s="322">
        <f>SUM(C27:C38)</f>
        <v>95791880</v>
      </c>
      <c r="D39" s="322">
        <f>SUM(D27:D38)</f>
        <v>73703383</v>
      </c>
      <c r="E39" s="156">
        <f>+'5 b.sz.mell.'!F62-'5 b.sz.mell.'!F37</f>
        <v>95791880</v>
      </c>
      <c r="F39" s="156">
        <f>+'5 b.sz.mell.'!G62-'5 b.sz.mell.'!G37</f>
        <v>73703383</v>
      </c>
      <c r="G39" s="156">
        <f>+'5 b.sz.mell.'!G62-'5 b.sz.mell.'!G37</f>
        <v>73703383</v>
      </c>
    </row>
    <row r="40" spans="2:14" x14ac:dyDescent="0.2">
      <c r="B40" s="217" t="s">
        <v>386</v>
      </c>
      <c r="C40" s="321">
        <v>7500000</v>
      </c>
      <c r="D40" s="321">
        <v>8273230</v>
      </c>
      <c r="E40" s="474"/>
      <c r="F40" s="474"/>
    </row>
    <row r="41" spans="2:14" x14ac:dyDescent="0.2">
      <c r="B41" s="217" t="s">
        <v>387</v>
      </c>
      <c r="C41" s="321">
        <v>60000000</v>
      </c>
      <c r="D41" s="321">
        <v>79385885</v>
      </c>
      <c r="E41" s="185"/>
      <c r="F41" s="185"/>
    </row>
    <row r="42" spans="2:14" x14ac:dyDescent="0.2">
      <c r="B42" s="217" t="s">
        <v>389</v>
      </c>
      <c r="C42" s="321">
        <v>100000</v>
      </c>
      <c r="D42" s="321">
        <v>100000</v>
      </c>
      <c r="E42" s="185"/>
      <c r="F42" s="185"/>
    </row>
    <row r="43" spans="2:14" x14ac:dyDescent="0.2">
      <c r="B43" s="217" t="s">
        <v>390</v>
      </c>
      <c r="C43" s="321">
        <v>1000000</v>
      </c>
      <c r="D43" s="321">
        <v>1000000</v>
      </c>
      <c r="E43" s="185"/>
      <c r="F43" s="185"/>
    </row>
    <row r="44" spans="2:14" x14ac:dyDescent="0.2">
      <c r="B44" s="217" t="s">
        <v>388</v>
      </c>
      <c r="C44" s="321">
        <v>6000000</v>
      </c>
      <c r="D44" s="321">
        <v>0</v>
      </c>
      <c r="E44" s="185"/>
      <c r="F44" s="185"/>
    </row>
    <row r="45" spans="2:14" ht="15.75" thickBot="1" x14ac:dyDescent="0.25">
      <c r="B45" s="216" t="s">
        <v>391</v>
      </c>
      <c r="C45" s="324">
        <v>4670000</v>
      </c>
      <c r="D45" s="324">
        <v>4670000</v>
      </c>
      <c r="E45" s="185"/>
      <c r="F45" s="185"/>
    </row>
    <row r="46" spans="2:14" ht="19.899999999999999" customHeight="1" thickBot="1" x14ac:dyDescent="0.25">
      <c r="B46" s="297" t="s">
        <v>177</v>
      </c>
      <c r="C46" s="322">
        <f>SUM(C40:C45)</f>
        <v>79270000</v>
      </c>
      <c r="D46" s="322">
        <f>SUM(D40:D45)</f>
        <v>93429115</v>
      </c>
      <c r="E46" s="473">
        <f>+'5 b.sz.mell.'!P62</f>
        <v>79270000</v>
      </c>
      <c r="F46" s="473">
        <f>+'5 b.sz.mell.'!Q62</f>
        <v>93429115</v>
      </c>
      <c r="G46" s="473">
        <f>+'5 b.sz.mell.'!Q62</f>
        <v>93429115</v>
      </c>
    </row>
    <row r="47" spans="2:14" x14ac:dyDescent="0.2">
      <c r="B47" s="217" t="s">
        <v>392</v>
      </c>
      <c r="C47" s="321">
        <v>0</v>
      </c>
      <c r="D47" s="321">
        <v>2505532</v>
      </c>
      <c r="E47" s="473"/>
      <c r="F47" s="473"/>
    </row>
    <row r="48" spans="2:14" x14ac:dyDescent="0.2">
      <c r="B48" s="217" t="s">
        <v>528</v>
      </c>
      <c r="C48" s="321">
        <f>8630000+400000+40000+200000+50000</f>
        <v>9320000</v>
      </c>
      <c r="D48" s="321">
        <v>9740556</v>
      </c>
      <c r="E48" s="185"/>
      <c r="F48" s="185"/>
      <c r="N48" s="566"/>
    </row>
    <row r="49" spans="2:14" x14ac:dyDescent="0.2">
      <c r="B49" s="217" t="s">
        <v>396</v>
      </c>
      <c r="C49" s="321">
        <v>17150000</v>
      </c>
      <c r="D49" s="321">
        <v>17150000</v>
      </c>
      <c r="E49" s="185"/>
      <c r="F49" s="185"/>
      <c r="N49" s="566"/>
    </row>
    <row r="50" spans="2:14" x14ac:dyDescent="0.2">
      <c r="B50" s="217" t="s">
        <v>400</v>
      </c>
      <c r="C50" s="321">
        <f>150000+600000</f>
        <v>750000</v>
      </c>
      <c r="D50" s="321">
        <v>27932210</v>
      </c>
      <c r="E50" s="185"/>
      <c r="F50" s="185"/>
      <c r="N50" s="566"/>
    </row>
    <row r="51" spans="2:14" x14ac:dyDescent="0.2">
      <c r="B51" s="186" t="s">
        <v>395</v>
      </c>
      <c r="C51" s="323">
        <v>13800000</v>
      </c>
      <c r="D51" s="323">
        <v>13800000</v>
      </c>
      <c r="E51" s="185"/>
      <c r="F51" s="185"/>
      <c r="N51" s="566"/>
    </row>
    <row r="52" spans="2:14" x14ac:dyDescent="0.2">
      <c r="B52" s="186" t="s">
        <v>394</v>
      </c>
      <c r="C52" s="323"/>
      <c r="D52" s="641"/>
      <c r="E52" s="185"/>
      <c r="F52" s="185"/>
      <c r="N52" s="566"/>
    </row>
    <row r="53" spans="2:14" x14ac:dyDescent="0.2">
      <c r="B53" s="217" t="s">
        <v>397</v>
      </c>
      <c r="C53" s="321">
        <f>4675000+4735000</f>
        <v>9410000</v>
      </c>
      <c r="D53" s="321">
        <v>10570677</v>
      </c>
      <c r="E53" s="185"/>
      <c r="F53" s="185"/>
      <c r="N53" s="566"/>
    </row>
    <row r="54" spans="2:14" x14ac:dyDescent="0.2">
      <c r="B54" s="217" t="s">
        <v>398</v>
      </c>
      <c r="C54" s="321">
        <v>875000</v>
      </c>
      <c r="D54" s="321">
        <v>875000</v>
      </c>
      <c r="E54" s="185"/>
      <c r="F54" s="185"/>
      <c r="N54" s="566"/>
    </row>
    <row r="55" spans="2:14" x14ac:dyDescent="0.2">
      <c r="B55" s="217" t="s">
        <v>399</v>
      </c>
      <c r="C55" s="321">
        <v>5000</v>
      </c>
      <c r="D55" s="321">
        <v>1008</v>
      </c>
      <c r="E55" s="185"/>
      <c r="F55" s="185"/>
      <c r="N55" s="566"/>
    </row>
    <row r="56" spans="2:14" ht="18.75" customHeight="1" x14ac:dyDescent="0.2">
      <c r="B56" s="217" t="s">
        <v>393</v>
      </c>
      <c r="C56" s="321">
        <f>20000+3150000+70000+900000</f>
        <v>4140000</v>
      </c>
      <c r="D56" s="321">
        <v>5837018</v>
      </c>
      <c r="E56" s="185"/>
      <c r="F56" s="185"/>
      <c r="N56" s="566"/>
    </row>
    <row r="57" spans="2:14" ht="18.75" customHeight="1" x14ac:dyDescent="0.2">
      <c r="B57" s="217" t="s">
        <v>440</v>
      </c>
      <c r="C57" s="321">
        <v>0</v>
      </c>
      <c r="D57" s="321">
        <v>0</v>
      </c>
      <c r="E57" s="185"/>
      <c r="F57" s="185"/>
      <c r="N57" s="566"/>
    </row>
    <row r="58" spans="2:14" ht="18.75" customHeight="1" thickBot="1" x14ac:dyDescent="0.25">
      <c r="B58" s="217" t="s">
        <v>682</v>
      </c>
      <c r="C58" s="321">
        <v>0</v>
      </c>
      <c r="D58" s="321">
        <v>50000</v>
      </c>
      <c r="E58" s="185"/>
      <c r="F58" s="185"/>
      <c r="N58" s="566"/>
    </row>
    <row r="59" spans="2:14" ht="19.899999999999999" customHeight="1" thickBot="1" x14ac:dyDescent="0.25">
      <c r="B59" s="297" t="s">
        <v>178</v>
      </c>
      <c r="C59" s="322">
        <f>SUM(C47:C58)</f>
        <v>55450000</v>
      </c>
      <c r="D59" s="322">
        <f>SUM(D47:D58)</f>
        <v>88462001</v>
      </c>
      <c r="E59" s="474">
        <f>+'5 b.sz.mell.'!D62</f>
        <v>55450000</v>
      </c>
      <c r="F59" s="474">
        <f>+'5 b.sz.mell.'!E62</f>
        <v>88462001</v>
      </c>
      <c r="G59" s="474">
        <f>+'5 b.sz.mell.'!E62</f>
        <v>88462001</v>
      </c>
    </row>
    <row r="60" spans="2:14" ht="19.899999999999999" customHeight="1" thickBot="1" x14ac:dyDescent="0.25">
      <c r="B60" s="279" t="s">
        <v>402</v>
      </c>
      <c r="C60" s="325">
        <v>0</v>
      </c>
      <c r="D60" s="325">
        <v>0</v>
      </c>
      <c r="E60" s="187"/>
      <c r="F60" s="187"/>
      <c r="I60" s="567"/>
    </row>
    <row r="61" spans="2:14" ht="19.899999999999999" customHeight="1" thickBot="1" x14ac:dyDescent="0.25">
      <c r="B61" s="298" t="s">
        <v>243</v>
      </c>
      <c r="C61" s="322">
        <f>SUM(C60)</f>
        <v>0</v>
      </c>
      <c r="D61" s="322">
        <f>SUM(D60)</f>
        <v>0</v>
      </c>
      <c r="E61" s="474">
        <f>+C59+C61</f>
        <v>55450000</v>
      </c>
      <c r="F61" s="474">
        <f>+D59+D61</f>
        <v>88462001</v>
      </c>
      <c r="G61" s="474">
        <f>+D59+D61</f>
        <v>88462001</v>
      </c>
    </row>
    <row r="62" spans="2:14" ht="19.899999999999999" hidden="1" customHeight="1" x14ac:dyDescent="0.2">
      <c r="B62" s="280" t="s">
        <v>492</v>
      </c>
      <c r="C62" s="326">
        <v>0</v>
      </c>
      <c r="D62" s="326">
        <v>0</v>
      </c>
      <c r="E62" s="187"/>
      <c r="F62" s="187"/>
    </row>
    <row r="63" spans="2:14" ht="19.899999999999999" customHeight="1" x14ac:dyDescent="0.2">
      <c r="B63" s="327" t="s">
        <v>439</v>
      </c>
      <c r="C63" s="328">
        <f>+'5 b.sz.mell.'!H27</f>
        <v>5096029</v>
      </c>
      <c r="D63" s="328">
        <v>5096029</v>
      </c>
      <c r="E63" s="187"/>
      <c r="F63" s="187"/>
    </row>
    <row r="64" spans="2:14" ht="19.899999999999999" customHeight="1" x14ac:dyDescent="0.2">
      <c r="B64" s="281" t="s">
        <v>620</v>
      </c>
      <c r="C64" s="329">
        <v>0</v>
      </c>
      <c r="D64" s="329">
        <v>284433287</v>
      </c>
      <c r="E64" s="187"/>
      <c r="F64" s="187"/>
    </row>
    <row r="65" spans="1:10" ht="19.899999999999999" customHeight="1" x14ac:dyDescent="0.2">
      <c r="B65" s="281" t="s">
        <v>621</v>
      </c>
      <c r="C65" s="329">
        <v>0</v>
      </c>
      <c r="D65" s="329">
        <v>8798088</v>
      </c>
      <c r="E65" s="187"/>
      <c r="F65" s="187"/>
    </row>
    <row r="66" spans="1:10" ht="19.899999999999999" customHeight="1" x14ac:dyDescent="0.2">
      <c r="B66" s="327" t="s">
        <v>622</v>
      </c>
      <c r="C66" s="328">
        <v>0</v>
      </c>
      <c r="D66" s="328">
        <v>154655790</v>
      </c>
      <c r="E66" s="187"/>
      <c r="F66" s="187"/>
    </row>
    <row r="67" spans="1:10" ht="19.899999999999999" customHeight="1" x14ac:dyDescent="0.2">
      <c r="B67" s="327" t="s">
        <v>683</v>
      </c>
      <c r="C67" s="328">
        <v>0</v>
      </c>
      <c r="D67" s="328">
        <v>909000</v>
      </c>
      <c r="E67" s="187"/>
      <c r="F67" s="187"/>
    </row>
    <row r="68" spans="1:10" ht="19.899999999999999" customHeight="1" x14ac:dyDescent="0.2">
      <c r="B68" s="327" t="s">
        <v>680</v>
      </c>
      <c r="C68" s="328">
        <v>0</v>
      </c>
      <c r="D68" s="328">
        <v>1100000</v>
      </c>
      <c r="E68" s="187"/>
      <c r="F68" s="187"/>
    </row>
    <row r="69" spans="1:10" ht="19.899999999999999" customHeight="1" thickBot="1" x14ac:dyDescent="0.25">
      <c r="B69" s="327" t="s">
        <v>681</v>
      </c>
      <c r="C69" s="328">
        <v>0</v>
      </c>
      <c r="D69" s="328">
        <v>19685</v>
      </c>
      <c r="E69" s="187"/>
      <c r="F69" s="187"/>
    </row>
    <row r="70" spans="1:10" ht="19.899999999999999" customHeight="1" x14ac:dyDescent="0.2">
      <c r="B70" s="479" t="s">
        <v>425</v>
      </c>
      <c r="C70" s="480">
        <f>SUM(C62:C69)</f>
        <v>5096029</v>
      </c>
      <c r="D70" s="480">
        <f>SUM(D62:D69)</f>
        <v>455011879</v>
      </c>
      <c r="E70" s="474">
        <f>+'5 b.sz.mell.'!H62</f>
        <v>5096029</v>
      </c>
      <c r="F70" s="474">
        <f>+'5 b.sz.mell.'!I62</f>
        <v>453892194</v>
      </c>
      <c r="G70" s="156">
        <f>+C70-E70</f>
        <v>0</v>
      </c>
    </row>
    <row r="71" spans="1:10" x14ac:dyDescent="0.2">
      <c r="B71" s="281" t="s">
        <v>401</v>
      </c>
      <c r="C71" s="329">
        <f>+'5 b.sz.mell.'!L61+'5 b.sz.mell.'!L51+'5 b.sz.mell.'!L47+'5 b.sz.mell.'!L44+'5 b.sz.mell.'!L39</f>
        <v>225056072</v>
      </c>
      <c r="D71" s="329">
        <f>+'5 b.sz.mell.'!M61+'5 b.sz.mell.'!M51+'5 b.sz.mell.'!M47+'5 b.sz.mell.'!M44+'5 b.sz.mell.'!M39</f>
        <v>240820882</v>
      </c>
      <c r="E71" s="474">
        <f>+'5 b.sz.mell.'!L62</f>
        <v>225056072</v>
      </c>
      <c r="F71" s="474">
        <f>+'5 b.sz.mell.'!M62</f>
        <v>240820882</v>
      </c>
    </row>
    <row r="72" spans="1:10" ht="19.899999999999999" customHeight="1" thickBot="1" x14ac:dyDescent="0.25">
      <c r="B72" s="189" t="s">
        <v>179</v>
      </c>
      <c r="C72" s="481">
        <f>SUM(C71)</f>
        <v>225056072</v>
      </c>
      <c r="D72" s="481">
        <f>SUM(D71)</f>
        <v>240820882</v>
      </c>
      <c r="E72" s="185"/>
      <c r="F72" s="185"/>
    </row>
    <row r="73" spans="1:10" ht="27" customHeight="1" thickBot="1" x14ac:dyDescent="0.25">
      <c r="B73" s="189" t="s">
        <v>180</v>
      </c>
      <c r="C73" s="522">
        <f>SUM(C26,C39,C46,C59,C61,C70,C72)</f>
        <v>729439951</v>
      </c>
      <c r="D73" s="522">
        <f>SUM(D26,D39,D46,D59,D61,D70,D72)</f>
        <v>1248865935</v>
      </c>
      <c r="E73" s="474">
        <f>+'5 b.sz.mell.'!R62-'5 b.sz.mell.'!N62</f>
        <v>729439951</v>
      </c>
      <c r="F73" s="474">
        <f>+'5 b.sz.mell.'!S62-'5 b.sz.mell.'!O62</f>
        <v>1248865935</v>
      </c>
      <c r="G73" s="474">
        <f>+'5 b.sz.mell.'!S62-'5 b.sz.mell.'!O62</f>
        <v>1248865935</v>
      </c>
    </row>
    <row r="74" spans="1:10" x14ac:dyDescent="0.2">
      <c r="B74" s="190"/>
      <c r="C74" s="449">
        <f>+E73-C73</f>
        <v>0</v>
      </c>
      <c r="D74" s="449"/>
      <c r="E74" s="185"/>
      <c r="F74" s="185"/>
    </row>
    <row r="75" spans="1:10" x14ac:dyDescent="0.2">
      <c r="B75" s="191"/>
      <c r="C75" s="429"/>
      <c r="D75" s="430" t="s">
        <v>642</v>
      </c>
      <c r="E75" s="192"/>
      <c r="F75" s="192"/>
    </row>
    <row r="76" spans="1:10" ht="36.6" customHeight="1" x14ac:dyDescent="0.2">
      <c r="B76" s="506" t="s">
        <v>576</v>
      </c>
      <c r="E76" s="214"/>
      <c r="F76" s="577"/>
      <c r="G76" s="214"/>
      <c r="H76" s="214"/>
      <c r="I76" s="214"/>
      <c r="J76" s="182"/>
    </row>
    <row r="77" spans="1:10" ht="12.75" customHeight="1" x14ac:dyDescent="0.2">
      <c r="A77" s="183"/>
      <c r="B77" s="84"/>
      <c r="E77" s="84"/>
      <c r="F77" s="84"/>
    </row>
    <row r="78" spans="1:10" ht="21.75" customHeight="1" thickBot="1" x14ac:dyDescent="0.25">
      <c r="B78" s="507" t="s">
        <v>316</v>
      </c>
      <c r="E78" s="215"/>
      <c r="F78" s="215"/>
    </row>
    <row r="79" spans="1:10" ht="32.25" customHeight="1" x14ac:dyDescent="0.2">
      <c r="B79" s="296" t="s">
        <v>181</v>
      </c>
      <c r="C79" s="184" t="s">
        <v>598</v>
      </c>
      <c r="D79" s="184" t="s">
        <v>599</v>
      </c>
      <c r="E79" s="193"/>
      <c r="F79" s="193"/>
    </row>
    <row r="80" spans="1:10" x14ac:dyDescent="0.2">
      <c r="B80" s="212" t="s">
        <v>403</v>
      </c>
      <c r="C80" s="330">
        <f>+'5.a sz.mell.'!D69</f>
        <v>222999810</v>
      </c>
      <c r="D80" s="330">
        <f>+'5.a sz.mell.'!E69</f>
        <v>257054384</v>
      </c>
      <c r="E80" s="185"/>
      <c r="F80" s="185"/>
    </row>
    <row r="81" spans="1:7" x14ac:dyDescent="0.2">
      <c r="B81" s="212" t="s">
        <v>182</v>
      </c>
      <c r="C81" s="330">
        <f>+'5.a sz.mell.'!F69</f>
        <v>37774837</v>
      </c>
      <c r="D81" s="330">
        <f>+'5.a sz.mell.'!G69</f>
        <v>40983778</v>
      </c>
      <c r="E81" s="194"/>
      <c r="F81" s="194"/>
    </row>
    <row r="82" spans="1:7" ht="25.5" x14ac:dyDescent="0.2">
      <c r="B82" s="450" t="s">
        <v>444</v>
      </c>
      <c r="C82" s="330">
        <f>+'5.a sz.mell.'!H69</f>
        <v>200426841</v>
      </c>
      <c r="D82" s="330">
        <f>+'5.a sz.mell.'!I69</f>
        <v>271985456</v>
      </c>
      <c r="E82" s="195"/>
      <c r="F82" s="195"/>
    </row>
    <row r="83" spans="1:7" x14ac:dyDescent="0.2">
      <c r="B83" s="212" t="s">
        <v>404</v>
      </c>
      <c r="C83" s="330">
        <f>+'5.a sz.mell.'!N69</f>
        <v>3147000</v>
      </c>
      <c r="D83" s="330">
        <f>+'5.a sz.mell.'!O69</f>
        <v>3147000</v>
      </c>
      <c r="E83" s="185"/>
      <c r="F83" s="185"/>
      <c r="G83" s="156"/>
    </row>
    <row r="84" spans="1:7" x14ac:dyDescent="0.2">
      <c r="B84" s="212" t="s">
        <v>447</v>
      </c>
      <c r="C84" s="330">
        <v>0</v>
      </c>
      <c r="D84" s="330">
        <v>0</v>
      </c>
      <c r="E84" s="185"/>
      <c r="F84" s="185"/>
      <c r="G84" s="156"/>
    </row>
    <row r="85" spans="1:7" x14ac:dyDescent="0.2">
      <c r="B85" s="212" t="s">
        <v>408</v>
      </c>
      <c r="C85" s="330">
        <f>+'5.a sz.mell.'!R69</f>
        <v>10751039</v>
      </c>
      <c r="D85" s="330">
        <f>+'5.a sz.mell.'!S69</f>
        <v>10997076</v>
      </c>
      <c r="E85" s="185"/>
      <c r="F85" s="185"/>
    </row>
    <row r="86" spans="1:7" s="562" customFormat="1" x14ac:dyDescent="0.2">
      <c r="A86" s="94"/>
      <c r="B86" s="212" t="s">
        <v>433</v>
      </c>
      <c r="C86" s="330">
        <f>+'5.a sz.mell.'!T69</f>
        <v>0</v>
      </c>
      <c r="D86" s="330">
        <f>+'5.a sz.mell.'!U69</f>
        <v>0</v>
      </c>
      <c r="E86" s="185"/>
      <c r="F86" s="185"/>
    </row>
    <row r="87" spans="1:7" s="562" customFormat="1" x14ac:dyDescent="0.2">
      <c r="A87" s="94"/>
      <c r="B87" s="212" t="s">
        <v>445</v>
      </c>
      <c r="C87" s="330">
        <f>+E87-C88</f>
        <v>6570803</v>
      </c>
      <c r="D87" s="330">
        <f>+F87-D88</f>
        <v>6564170</v>
      </c>
      <c r="E87" s="665">
        <f>+'5.a sz.mell.'!L69</f>
        <v>95627898</v>
      </c>
      <c r="F87" s="665">
        <f>+'5.a sz.mell.'!M69</f>
        <v>102840761</v>
      </c>
      <c r="G87" s="665">
        <v>729439951</v>
      </c>
    </row>
    <row r="88" spans="1:7" s="562" customFormat="1" x14ac:dyDescent="0.2">
      <c r="A88" s="94"/>
      <c r="B88" s="213" t="s">
        <v>446</v>
      </c>
      <c r="C88" s="331">
        <f>+'5.a sz.mell.'!L26+2400000</f>
        <v>89057095</v>
      </c>
      <c r="D88" s="331">
        <f>+'5.a sz.mell.'!M26+2400000</f>
        <v>96276591</v>
      </c>
      <c r="E88" s="666"/>
      <c r="F88" s="666"/>
      <c r="G88" s="666"/>
    </row>
    <row r="89" spans="1:7" s="562" customFormat="1" ht="15.75" thickBot="1" x14ac:dyDescent="0.25">
      <c r="A89" s="94"/>
      <c r="B89" s="606" t="s">
        <v>650</v>
      </c>
      <c r="C89" s="607">
        <f>+'5.a sz.mell.'!J69</f>
        <v>0</v>
      </c>
      <c r="D89" s="607">
        <f>+'5.a sz.mell.'!K69</f>
        <v>117120</v>
      </c>
      <c r="E89" s="608"/>
      <c r="F89" s="608"/>
      <c r="G89" s="608"/>
    </row>
    <row r="90" spans="1:7" s="562" customFormat="1" ht="19.899999999999999" customHeight="1" thickBot="1" x14ac:dyDescent="0.25">
      <c r="A90" s="94"/>
      <c r="B90" s="295" t="s">
        <v>184</v>
      </c>
      <c r="C90" s="332">
        <f>SUM(C80:C88)</f>
        <v>570727425</v>
      </c>
      <c r="D90" s="332">
        <f>SUM(D80:D89)</f>
        <v>687125575</v>
      </c>
      <c r="E90" s="187"/>
      <c r="F90" s="187"/>
    </row>
    <row r="91" spans="1:7" s="562" customFormat="1" x14ac:dyDescent="0.2">
      <c r="A91" s="94"/>
      <c r="B91" s="212" t="s">
        <v>405</v>
      </c>
      <c r="C91" s="333">
        <v>0</v>
      </c>
      <c r="D91" s="333">
        <v>0</v>
      </c>
      <c r="E91" s="187"/>
      <c r="F91" s="187"/>
    </row>
    <row r="92" spans="1:7" s="562" customFormat="1" ht="15.75" thickBot="1" x14ac:dyDescent="0.25">
      <c r="A92" s="94"/>
      <c r="B92" s="213" t="s">
        <v>406</v>
      </c>
      <c r="C92" s="331">
        <f>+'5.a sz.mell.'!P69-C91</f>
        <v>98896424</v>
      </c>
      <c r="D92" s="331">
        <f>+'5.a sz.mell.'!Q69-D91</f>
        <v>121227071</v>
      </c>
      <c r="E92" s="187"/>
      <c r="F92" s="187"/>
    </row>
    <row r="93" spans="1:7" s="562" customFormat="1" ht="19.899999999999999" customHeight="1" thickBot="1" x14ac:dyDescent="0.25">
      <c r="A93" s="94"/>
      <c r="B93" s="295" t="s">
        <v>185</v>
      </c>
      <c r="C93" s="332">
        <f>SUM(C91:C92)</f>
        <v>98896424</v>
      </c>
      <c r="D93" s="332">
        <f>SUM(D91:D92)</f>
        <v>121227071</v>
      </c>
      <c r="E93" s="187"/>
      <c r="F93" s="187"/>
    </row>
    <row r="94" spans="1:7" s="562" customFormat="1" x14ac:dyDescent="0.2">
      <c r="A94" s="94"/>
      <c r="B94" s="212" t="s">
        <v>427</v>
      </c>
      <c r="C94" s="333">
        <f>+'5.a sz.mell.'!V69</f>
        <v>13396044</v>
      </c>
      <c r="D94" s="333">
        <f>+'5.a sz.mell.'!W69</f>
        <v>250050448</v>
      </c>
      <c r="E94" s="185"/>
      <c r="F94" s="185"/>
    </row>
    <row r="95" spans="1:7" s="562" customFormat="1" x14ac:dyDescent="0.2">
      <c r="A95" s="94"/>
      <c r="B95" s="213" t="s">
        <v>407</v>
      </c>
      <c r="C95" s="331">
        <f>+'5.a sz.mell.'!X69</f>
        <v>46420058</v>
      </c>
      <c r="D95" s="331">
        <f>+'5.a sz.mell.'!Y69</f>
        <v>190462841</v>
      </c>
      <c r="E95" s="185"/>
      <c r="F95" s="185"/>
    </row>
    <row r="96" spans="1:7" s="562" customFormat="1" ht="15.75" thickBot="1" x14ac:dyDescent="0.25">
      <c r="A96" s="94"/>
      <c r="B96" s="213" t="s">
        <v>241</v>
      </c>
      <c r="C96" s="331">
        <v>0</v>
      </c>
      <c r="D96" s="331">
        <v>0</v>
      </c>
      <c r="E96" s="185"/>
      <c r="F96" s="185"/>
    </row>
    <row r="97" spans="1:6" s="562" customFormat="1" ht="19.899999999999999" customHeight="1" thickBot="1" x14ac:dyDescent="0.25">
      <c r="A97" s="94"/>
      <c r="B97" s="295" t="s">
        <v>186</v>
      </c>
      <c r="C97" s="332">
        <f>SUM(C94:C96)</f>
        <v>59816102</v>
      </c>
      <c r="D97" s="332">
        <f>SUM(D94:D96)</f>
        <v>440513289</v>
      </c>
      <c r="E97" s="185"/>
      <c r="F97" s="185"/>
    </row>
    <row r="98" spans="1:6" s="562" customFormat="1" ht="24.6" customHeight="1" thickBot="1" x14ac:dyDescent="0.25">
      <c r="A98" s="94"/>
      <c r="B98" s="189" t="s">
        <v>187</v>
      </c>
      <c r="C98" s="334">
        <f>C90+C93+C97</f>
        <v>729439951</v>
      </c>
      <c r="D98" s="334">
        <f>D90+D93+D97</f>
        <v>1248865935</v>
      </c>
      <c r="E98" s="483">
        <f>+'5.a sz.mell.'!Z69</f>
        <v>729439951</v>
      </c>
      <c r="F98" s="483">
        <f>+'5.a sz.mell.'!AA69</f>
        <v>1248865935</v>
      </c>
    </row>
    <row r="99" spans="1:6" x14ac:dyDescent="0.2">
      <c r="B99" s="87"/>
      <c r="E99" s="185"/>
      <c r="F99" s="185"/>
    </row>
    <row r="100" spans="1:6" x14ac:dyDescent="0.2">
      <c r="B100" s="87"/>
      <c r="C100" s="449">
        <f>+C98-C73</f>
        <v>0</v>
      </c>
      <c r="D100" s="449"/>
      <c r="E100" s="185"/>
      <c r="F100" s="185"/>
    </row>
    <row r="101" spans="1:6" x14ac:dyDescent="0.2">
      <c r="B101" s="87"/>
      <c r="E101" s="185"/>
      <c r="F101" s="185"/>
    </row>
    <row r="102" spans="1:6" x14ac:dyDescent="0.2">
      <c r="B102" s="188"/>
      <c r="D102" s="430" t="s">
        <v>364</v>
      </c>
    </row>
    <row r="103" spans="1:6" x14ac:dyDescent="0.2">
      <c r="B103" s="188"/>
    </row>
    <row r="104" spans="1:6" x14ac:dyDescent="0.2">
      <c r="B104" s="188"/>
    </row>
    <row r="105" spans="1:6" x14ac:dyDescent="0.2">
      <c r="B105" s="188"/>
    </row>
    <row r="106" spans="1:6" ht="41.25" customHeight="1" x14ac:dyDescent="0.2">
      <c r="B106" s="188"/>
    </row>
    <row r="107" spans="1:6" x14ac:dyDescent="0.2">
      <c r="B107" s="188"/>
    </row>
    <row r="108" spans="1:6" x14ac:dyDescent="0.2">
      <c r="B108" s="188"/>
    </row>
    <row r="109" spans="1:6" x14ac:dyDescent="0.2">
      <c r="B109" s="188"/>
    </row>
    <row r="110" spans="1:6" x14ac:dyDescent="0.2">
      <c r="B110" s="188"/>
    </row>
    <row r="111" spans="1:6" x14ac:dyDescent="0.2">
      <c r="B111" s="188"/>
    </row>
    <row r="112" spans="1:6" x14ac:dyDescent="0.2">
      <c r="B112" s="188"/>
    </row>
    <row r="113" spans="2:2" x14ac:dyDescent="0.2">
      <c r="B113" s="188"/>
    </row>
    <row r="114" spans="2:2" x14ac:dyDescent="0.2">
      <c r="B114" s="188"/>
    </row>
    <row r="115" spans="2:2" x14ac:dyDescent="0.2">
      <c r="B115" s="188"/>
    </row>
    <row r="116" spans="2:2" x14ac:dyDescent="0.2">
      <c r="B116" s="188"/>
    </row>
    <row r="117" spans="2:2" x14ac:dyDescent="0.2">
      <c r="B117" s="188"/>
    </row>
    <row r="118" spans="2:2" x14ac:dyDescent="0.2">
      <c r="B118" s="188"/>
    </row>
    <row r="119" spans="2:2" x14ac:dyDescent="0.2">
      <c r="B119" s="188"/>
    </row>
    <row r="120" spans="2:2" x14ac:dyDescent="0.2">
      <c r="B120" s="188"/>
    </row>
    <row r="121" spans="2:2" x14ac:dyDescent="0.2">
      <c r="B121" s="188"/>
    </row>
    <row r="122" spans="2:2" x14ac:dyDescent="0.2">
      <c r="B122" s="188"/>
    </row>
    <row r="123" spans="2:2" x14ac:dyDescent="0.2">
      <c r="B123" s="188"/>
    </row>
    <row r="124" spans="2:2" x14ac:dyDescent="0.2">
      <c r="B124" s="188"/>
    </row>
    <row r="125" spans="2:2" x14ac:dyDescent="0.2">
      <c r="B125" s="188"/>
    </row>
    <row r="126" spans="2:2" x14ac:dyDescent="0.2">
      <c r="B126" s="188"/>
    </row>
    <row r="127" spans="2:2" x14ac:dyDescent="0.2">
      <c r="B127" s="188"/>
    </row>
    <row r="128" spans="2:2" x14ac:dyDescent="0.2">
      <c r="B128" s="188"/>
    </row>
    <row r="129" spans="2:2" x14ac:dyDescent="0.2">
      <c r="B129" s="188"/>
    </row>
    <row r="130" spans="2:2" x14ac:dyDescent="0.2">
      <c r="B130" s="188"/>
    </row>
    <row r="131" spans="2:2" x14ac:dyDescent="0.2">
      <c r="B131" s="188"/>
    </row>
    <row r="132" spans="2:2" x14ac:dyDescent="0.2">
      <c r="B132" s="188"/>
    </row>
    <row r="133" spans="2:2" x14ac:dyDescent="0.2">
      <c r="B133" s="188"/>
    </row>
    <row r="134" spans="2:2" x14ac:dyDescent="0.2">
      <c r="B134" s="188"/>
    </row>
    <row r="135" spans="2:2" x14ac:dyDescent="0.2">
      <c r="B135" s="188"/>
    </row>
    <row r="136" spans="2:2" x14ac:dyDescent="0.2">
      <c r="B136" s="188"/>
    </row>
    <row r="137" spans="2:2" x14ac:dyDescent="0.2">
      <c r="B137" s="188"/>
    </row>
    <row r="138" spans="2:2" x14ac:dyDescent="0.2">
      <c r="B138" s="188"/>
    </row>
    <row r="139" spans="2:2" x14ac:dyDescent="0.2">
      <c r="B139" s="188"/>
    </row>
    <row r="140" spans="2:2" x14ac:dyDescent="0.2">
      <c r="B140" s="188"/>
    </row>
    <row r="141" spans="2:2" x14ac:dyDescent="0.2">
      <c r="B141" s="188"/>
    </row>
    <row r="142" spans="2:2" x14ac:dyDescent="0.2">
      <c r="B142" s="188"/>
    </row>
    <row r="143" spans="2:2" x14ac:dyDescent="0.2">
      <c r="B143" s="188"/>
    </row>
    <row r="144" spans="2:2" x14ac:dyDescent="0.2">
      <c r="B144" s="188"/>
    </row>
    <row r="145" spans="2:2" x14ac:dyDescent="0.2">
      <c r="B145" s="188"/>
    </row>
    <row r="146" spans="2:2" x14ac:dyDescent="0.2">
      <c r="B146" s="188"/>
    </row>
    <row r="147" spans="2:2" x14ac:dyDescent="0.2">
      <c r="B147" s="188"/>
    </row>
    <row r="148" spans="2:2" x14ac:dyDescent="0.2">
      <c r="B148" s="188"/>
    </row>
    <row r="149" spans="2:2" x14ac:dyDescent="0.2">
      <c r="B149" s="188"/>
    </row>
    <row r="150" spans="2:2" x14ac:dyDescent="0.2">
      <c r="B150" s="188"/>
    </row>
    <row r="151" spans="2:2" x14ac:dyDescent="0.2">
      <c r="B151" s="188"/>
    </row>
    <row r="152" spans="2:2" x14ac:dyDescent="0.2">
      <c r="B152" s="188"/>
    </row>
    <row r="153" spans="2:2" x14ac:dyDescent="0.2">
      <c r="B153" s="188"/>
    </row>
    <row r="154" spans="2:2" x14ac:dyDescent="0.2">
      <c r="B154" s="188"/>
    </row>
    <row r="155" spans="2:2" x14ac:dyDescent="0.2">
      <c r="B155" s="188"/>
    </row>
    <row r="156" spans="2:2" x14ac:dyDescent="0.2">
      <c r="B156" s="188"/>
    </row>
    <row r="157" spans="2:2" x14ac:dyDescent="0.2">
      <c r="B157" s="188"/>
    </row>
    <row r="158" spans="2:2" x14ac:dyDescent="0.2">
      <c r="B158" s="188"/>
    </row>
    <row r="159" spans="2:2" x14ac:dyDescent="0.2">
      <c r="B159" s="188"/>
    </row>
    <row r="160" spans="2:2" x14ac:dyDescent="0.2">
      <c r="B160" s="188"/>
    </row>
    <row r="161" spans="2:2" x14ac:dyDescent="0.2">
      <c r="B161" s="188"/>
    </row>
    <row r="162" spans="2:2" x14ac:dyDescent="0.2">
      <c r="B162" s="188"/>
    </row>
    <row r="163" spans="2:2" x14ac:dyDescent="0.2">
      <c r="B163" s="188"/>
    </row>
    <row r="164" spans="2:2" x14ac:dyDescent="0.2">
      <c r="B164" s="188"/>
    </row>
    <row r="165" spans="2:2" x14ac:dyDescent="0.2">
      <c r="B165" s="188"/>
    </row>
    <row r="166" spans="2:2" x14ac:dyDescent="0.2">
      <c r="B166" s="188"/>
    </row>
    <row r="167" spans="2:2" x14ac:dyDescent="0.2">
      <c r="B167" s="188"/>
    </row>
    <row r="168" spans="2:2" x14ac:dyDescent="0.2">
      <c r="B168" s="188"/>
    </row>
    <row r="169" spans="2:2" x14ac:dyDescent="0.2">
      <c r="B169" s="188"/>
    </row>
    <row r="170" spans="2:2" x14ac:dyDescent="0.2">
      <c r="B170" s="188"/>
    </row>
    <row r="171" spans="2:2" x14ac:dyDescent="0.2">
      <c r="B171" s="188"/>
    </row>
    <row r="172" spans="2:2" x14ac:dyDescent="0.2">
      <c r="B172" s="188"/>
    </row>
    <row r="173" spans="2:2" x14ac:dyDescent="0.2">
      <c r="B173" s="188"/>
    </row>
    <row r="174" spans="2:2" x14ac:dyDescent="0.2">
      <c r="B174" s="188"/>
    </row>
    <row r="175" spans="2:2" x14ac:dyDescent="0.2">
      <c r="B175" s="188"/>
    </row>
    <row r="176" spans="2:2" x14ac:dyDescent="0.2">
      <c r="B176" s="188"/>
    </row>
    <row r="177" spans="2:2" x14ac:dyDescent="0.2">
      <c r="B177" s="188"/>
    </row>
    <row r="178" spans="2:2" x14ac:dyDescent="0.2">
      <c r="B178" s="188"/>
    </row>
    <row r="179" spans="2:2" x14ac:dyDescent="0.2">
      <c r="B179" s="188"/>
    </row>
    <row r="180" spans="2:2" x14ac:dyDescent="0.2">
      <c r="B180" s="188"/>
    </row>
    <row r="181" spans="2:2" x14ac:dyDescent="0.2">
      <c r="B181" s="188"/>
    </row>
    <row r="182" spans="2:2" x14ac:dyDescent="0.2">
      <c r="B182" s="188"/>
    </row>
    <row r="183" spans="2:2" x14ac:dyDescent="0.2">
      <c r="B183" s="188"/>
    </row>
    <row r="184" spans="2:2" x14ac:dyDescent="0.2">
      <c r="B184" s="188"/>
    </row>
    <row r="185" spans="2:2" x14ac:dyDescent="0.2">
      <c r="B185" s="188"/>
    </row>
    <row r="186" spans="2:2" x14ac:dyDescent="0.2">
      <c r="B186" s="188"/>
    </row>
    <row r="187" spans="2:2" x14ac:dyDescent="0.2">
      <c r="B187" s="188"/>
    </row>
    <row r="188" spans="2:2" x14ac:dyDescent="0.2">
      <c r="B188" s="188"/>
    </row>
    <row r="189" spans="2:2" x14ac:dyDescent="0.2">
      <c r="B189" s="188"/>
    </row>
    <row r="190" spans="2:2" x14ac:dyDescent="0.2">
      <c r="B190" s="188"/>
    </row>
    <row r="191" spans="2:2" x14ac:dyDescent="0.2">
      <c r="B191" s="188"/>
    </row>
    <row r="192" spans="2:2" x14ac:dyDescent="0.2">
      <c r="B192" s="188"/>
    </row>
    <row r="193" spans="2:2" x14ac:dyDescent="0.2">
      <c r="B193" s="188"/>
    </row>
    <row r="194" spans="2:2" x14ac:dyDescent="0.2">
      <c r="B194" s="188"/>
    </row>
    <row r="195" spans="2:2" x14ac:dyDescent="0.2">
      <c r="B195" s="188"/>
    </row>
    <row r="196" spans="2:2" x14ac:dyDescent="0.2">
      <c r="B196" s="188"/>
    </row>
    <row r="197" spans="2:2" x14ac:dyDescent="0.2">
      <c r="B197" s="188"/>
    </row>
    <row r="198" spans="2:2" x14ac:dyDescent="0.2">
      <c r="B198" s="188"/>
    </row>
    <row r="199" spans="2:2" x14ac:dyDescent="0.2">
      <c r="B199" s="188"/>
    </row>
    <row r="200" spans="2:2" x14ac:dyDescent="0.2">
      <c r="B200" s="188"/>
    </row>
    <row r="201" spans="2:2" x14ac:dyDescent="0.2">
      <c r="B201" s="188"/>
    </row>
    <row r="202" spans="2:2" x14ac:dyDescent="0.2">
      <c r="B202" s="188"/>
    </row>
    <row r="203" spans="2:2" x14ac:dyDescent="0.2">
      <c r="B203" s="188"/>
    </row>
    <row r="204" spans="2:2" x14ac:dyDescent="0.2">
      <c r="B204" s="188"/>
    </row>
    <row r="205" spans="2:2" x14ac:dyDescent="0.2">
      <c r="B205" s="188"/>
    </row>
    <row r="206" spans="2:2" x14ac:dyDescent="0.2">
      <c r="B206" s="188"/>
    </row>
    <row r="207" spans="2:2" x14ac:dyDescent="0.2">
      <c r="B207" s="188"/>
    </row>
    <row r="208" spans="2:2" x14ac:dyDescent="0.2">
      <c r="B208" s="188"/>
    </row>
    <row r="209" spans="2:2" x14ac:dyDescent="0.2">
      <c r="B209" s="188"/>
    </row>
    <row r="210" spans="2:2" x14ac:dyDescent="0.2">
      <c r="B210" s="188"/>
    </row>
    <row r="211" spans="2:2" x14ac:dyDescent="0.2">
      <c r="B211" s="188"/>
    </row>
    <row r="212" spans="2:2" x14ac:dyDescent="0.2">
      <c r="B212" s="188"/>
    </row>
    <row r="213" spans="2:2" x14ac:dyDescent="0.2">
      <c r="B213" s="188"/>
    </row>
    <row r="214" spans="2:2" x14ac:dyDescent="0.2">
      <c r="B214" s="188"/>
    </row>
    <row r="215" spans="2:2" x14ac:dyDescent="0.2">
      <c r="B215" s="188"/>
    </row>
    <row r="216" spans="2:2" x14ac:dyDescent="0.2">
      <c r="B216" s="188"/>
    </row>
    <row r="217" spans="2:2" x14ac:dyDescent="0.2">
      <c r="B217" s="188"/>
    </row>
    <row r="218" spans="2:2" x14ac:dyDescent="0.2">
      <c r="B218" s="188"/>
    </row>
    <row r="219" spans="2:2" x14ac:dyDescent="0.2">
      <c r="B219" s="188"/>
    </row>
    <row r="220" spans="2:2" x14ac:dyDescent="0.2">
      <c r="B220" s="188"/>
    </row>
    <row r="221" spans="2:2" x14ac:dyDescent="0.2">
      <c r="B221" s="188"/>
    </row>
    <row r="222" spans="2:2" x14ac:dyDescent="0.2">
      <c r="B222" s="188"/>
    </row>
    <row r="223" spans="2:2" x14ac:dyDescent="0.2">
      <c r="B223" s="188"/>
    </row>
    <row r="224" spans="2:2" x14ac:dyDescent="0.2">
      <c r="B224" s="188"/>
    </row>
    <row r="225" spans="2:2" x14ac:dyDescent="0.2">
      <c r="B225" s="188"/>
    </row>
    <row r="226" spans="2:2" x14ac:dyDescent="0.2">
      <c r="B226" s="188"/>
    </row>
    <row r="227" spans="2:2" x14ac:dyDescent="0.2">
      <c r="B227" s="188"/>
    </row>
    <row r="228" spans="2:2" x14ac:dyDescent="0.2">
      <c r="B228" s="188"/>
    </row>
    <row r="229" spans="2:2" x14ac:dyDescent="0.2">
      <c r="B229" s="188"/>
    </row>
    <row r="230" spans="2:2" x14ac:dyDescent="0.2">
      <c r="B230" s="188"/>
    </row>
    <row r="231" spans="2:2" x14ac:dyDescent="0.2">
      <c r="B231" s="188"/>
    </row>
    <row r="232" spans="2:2" x14ac:dyDescent="0.2">
      <c r="B232" s="188"/>
    </row>
    <row r="233" spans="2:2" x14ac:dyDescent="0.2">
      <c r="B233" s="188"/>
    </row>
    <row r="234" spans="2:2" x14ac:dyDescent="0.2">
      <c r="B234" s="188"/>
    </row>
    <row r="235" spans="2:2" x14ac:dyDescent="0.2">
      <c r="B235" s="188"/>
    </row>
    <row r="236" spans="2:2" x14ac:dyDescent="0.2">
      <c r="B236" s="188"/>
    </row>
    <row r="237" spans="2:2" x14ac:dyDescent="0.2">
      <c r="B237" s="188"/>
    </row>
    <row r="238" spans="2:2" x14ac:dyDescent="0.2">
      <c r="B238" s="188"/>
    </row>
    <row r="239" spans="2:2" x14ac:dyDescent="0.2">
      <c r="B239" s="188"/>
    </row>
    <row r="240" spans="2:2" x14ac:dyDescent="0.2">
      <c r="B240" s="188"/>
    </row>
    <row r="241" spans="2:2" x14ac:dyDescent="0.2">
      <c r="B241" s="188"/>
    </row>
    <row r="242" spans="2:2" x14ac:dyDescent="0.2">
      <c r="B242" s="188"/>
    </row>
    <row r="243" spans="2:2" x14ac:dyDescent="0.2">
      <c r="B243" s="188"/>
    </row>
    <row r="244" spans="2:2" x14ac:dyDescent="0.2">
      <c r="B244" s="188"/>
    </row>
    <row r="245" spans="2:2" x14ac:dyDescent="0.2">
      <c r="B245" s="188"/>
    </row>
    <row r="246" spans="2:2" x14ac:dyDescent="0.2">
      <c r="B246" s="188"/>
    </row>
    <row r="247" spans="2:2" x14ac:dyDescent="0.2">
      <c r="B247" s="188"/>
    </row>
    <row r="248" spans="2:2" x14ac:dyDescent="0.2">
      <c r="B248" s="188"/>
    </row>
    <row r="249" spans="2:2" x14ac:dyDescent="0.2">
      <c r="B249" s="188"/>
    </row>
    <row r="250" spans="2:2" x14ac:dyDescent="0.2">
      <c r="B250" s="188"/>
    </row>
    <row r="251" spans="2:2" x14ac:dyDescent="0.2">
      <c r="B251" s="188"/>
    </row>
    <row r="252" spans="2:2" x14ac:dyDescent="0.2">
      <c r="B252" s="188"/>
    </row>
    <row r="253" spans="2:2" x14ac:dyDescent="0.2">
      <c r="B253" s="188"/>
    </row>
    <row r="254" spans="2:2" x14ac:dyDescent="0.2">
      <c r="B254" s="188"/>
    </row>
    <row r="255" spans="2:2" x14ac:dyDescent="0.2">
      <c r="B255" s="188"/>
    </row>
    <row r="256" spans="2:2" x14ac:dyDescent="0.2">
      <c r="B256" s="188"/>
    </row>
    <row r="257" spans="2:2" x14ac:dyDescent="0.2">
      <c r="B257" s="188"/>
    </row>
    <row r="258" spans="2:2" x14ac:dyDescent="0.2">
      <c r="B258" s="188"/>
    </row>
    <row r="259" spans="2:2" x14ac:dyDescent="0.2">
      <c r="B259" s="188"/>
    </row>
    <row r="260" spans="2:2" x14ac:dyDescent="0.2">
      <c r="B260" s="188"/>
    </row>
    <row r="261" spans="2:2" x14ac:dyDescent="0.2">
      <c r="B261" s="188"/>
    </row>
    <row r="262" spans="2:2" x14ac:dyDescent="0.2">
      <c r="B262" s="188"/>
    </row>
    <row r="263" spans="2:2" x14ac:dyDescent="0.2">
      <c r="B263" s="188"/>
    </row>
    <row r="264" spans="2:2" x14ac:dyDescent="0.2">
      <c r="B264" s="188"/>
    </row>
    <row r="265" spans="2:2" x14ac:dyDescent="0.2">
      <c r="B265" s="188"/>
    </row>
    <row r="266" spans="2:2" x14ac:dyDescent="0.2">
      <c r="B266" s="188"/>
    </row>
    <row r="267" spans="2:2" x14ac:dyDescent="0.2">
      <c r="B267" s="188"/>
    </row>
    <row r="268" spans="2:2" x14ac:dyDescent="0.2">
      <c r="B268" s="188"/>
    </row>
    <row r="269" spans="2:2" x14ac:dyDescent="0.2">
      <c r="B269" s="188"/>
    </row>
    <row r="270" spans="2:2" x14ac:dyDescent="0.2">
      <c r="B270" s="188"/>
    </row>
    <row r="271" spans="2:2" x14ac:dyDescent="0.2">
      <c r="B271" s="188"/>
    </row>
    <row r="272" spans="2:2" x14ac:dyDescent="0.2">
      <c r="B272" s="188"/>
    </row>
    <row r="273" spans="2:2" x14ac:dyDescent="0.2">
      <c r="B273" s="188"/>
    </row>
    <row r="274" spans="2:2" x14ac:dyDescent="0.2">
      <c r="B274" s="188"/>
    </row>
    <row r="275" spans="2:2" x14ac:dyDescent="0.2">
      <c r="B275" s="188"/>
    </row>
    <row r="276" spans="2:2" x14ac:dyDescent="0.2">
      <c r="B276" s="188"/>
    </row>
    <row r="277" spans="2:2" x14ac:dyDescent="0.2">
      <c r="B277" s="188"/>
    </row>
    <row r="278" spans="2:2" x14ac:dyDescent="0.2">
      <c r="B278" s="188"/>
    </row>
    <row r="279" spans="2:2" x14ac:dyDescent="0.2">
      <c r="B279" s="188"/>
    </row>
    <row r="280" spans="2:2" x14ac:dyDescent="0.2">
      <c r="B280" s="188"/>
    </row>
    <row r="281" spans="2:2" x14ac:dyDescent="0.2">
      <c r="B281" s="188"/>
    </row>
    <row r="282" spans="2:2" x14ac:dyDescent="0.2">
      <c r="B282" s="188"/>
    </row>
    <row r="283" spans="2:2" x14ac:dyDescent="0.2">
      <c r="B283" s="188"/>
    </row>
    <row r="284" spans="2:2" x14ac:dyDescent="0.2">
      <c r="B284" s="188"/>
    </row>
    <row r="285" spans="2:2" x14ac:dyDescent="0.2">
      <c r="B285" s="188"/>
    </row>
    <row r="286" spans="2:2" x14ac:dyDescent="0.2">
      <c r="B286" s="188"/>
    </row>
    <row r="287" spans="2:2" x14ac:dyDescent="0.2">
      <c r="B287" s="188"/>
    </row>
    <row r="288" spans="2:2" x14ac:dyDescent="0.2">
      <c r="B288" s="188"/>
    </row>
    <row r="289" spans="2:2" x14ac:dyDescent="0.2">
      <c r="B289" s="188"/>
    </row>
    <row r="290" spans="2:2" x14ac:dyDescent="0.2">
      <c r="B290" s="188"/>
    </row>
    <row r="291" spans="2:2" x14ac:dyDescent="0.2">
      <c r="B291" s="188"/>
    </row>
    <row r="292" spans="2:2" x14ac:dyDescent="0.2">
      <c r="B292" s="188"/>
    </row>
    <row r="293" spans="2:2" x14ac:dyDescent="0.2">
      <c r="B293" s="188"/>
    </row>
    <row r="294" spans="2:2" x14ac:dyDescent="0.2">
      <c r="B294" s="188"/>
    </row>
    <row r="295" spans="2:2" x14ac:dyDescent="0.2">
      <c r="B295" s="188"/>
    </row>
    <row r="296" spans="2:2" x14ac:dyDescent="0.2">
      <c r="B296" s="188"/>
    </row>
    <row r="297" spans="2:2" x14ac:dyDescent="0.2">
      <c r="B297" s="188"/>
    </row>
    <row r="298" spans="2:2" x14ac:dyDescent="0.2">
      <c r="B298" s="188"/>
    </row>
    <row r="299" spans="2:2" x14ac:dyDescent="0.2">
      <c r="B299" s="188"/>
    </row>
    <row r="300" spans="2:2" x14ac:dyDescent="0.2">
      <c r="B300" s="188"/>
    </row>
    <row r="301" spans="2:2" x14ac:dyDescent="0.2">
      <c r="B301" s="188"/>
    </row>
    <row r="302" spans="2:2" x14ac:dyDescent="0.2">
      <c r="B302" s="188"/>
    </row>
    <row r="303" spans="2:2" x14ac:dyDescent="0.2">
      <c r="B303" s="188"/>
    </row>
    <row r="304" spans="2:2" x14ac:dyDescent="0.2">
      <c r="B304" s="188"/>
    </row>
    <row r="305" spans="2:2" x14ac:dyDescent="0.2">
      <c r="B305" s="188"/>
    </row>
    <row r="306" spans="2:2" x14ac:dyDescent="0.2">
      <c r="B306" s="188"/>
    </row>
    <row r="307" spans="2:2" x14ac:dyDescent="0.2">
      <c r="B307" s="188"/>
    </row>
    <row r="308" spans="2:2" x14ac:dyDescent="0.2">
      <c r="B308" s="188"/>
    </row>
    <row r="309" spans="2:2" x14ac:dyDescent="0.2">
      <c r="B309" s="188"/>
    </row>
    <row r="310" spans="2:2" x14ac:dyDescent="0.2">
      <c r="B310" s="188"/>
    </row>
    <row r="311" spans="2:2" x14ac:dyDescent="0.2">
      <c r="B311" s="188"/>
    </row>
    <row r="312" spans="2:2" x14ac:dyDescent="0.2">
      <c r="B312" s="188"/>
    </row>
    <row r="313" spans="2:2" x14ac:dyDescent="0.2">
      <c r="B313" s="188"/>
    </row>
    <row r="314" spans="2:2" x14ac:dyDescent="0.2">
      <c r="B314" s="188"/>
    </row>
    <row r="315" spans="2:2" x14ac:dyDescent="0.2">
      <c r="B315" s="188"/>
    </row>
    <row r="316" spans="2:2" x14ac:dyDescent="0.2">
      <c r="B316" s="188"/>
    </row>
    <row r="317" spans="2:2" x14ac:dyDescent="0.2">
      <c r="B317" s="188"/>
    </row>
    <row r="318" spans="2:2" x14ac:dyDescent="0.2">
      <c r="B318" s="188"/>
    </row>
    <row r="319" spans="2:2" x14ac:dyDescent="0.2">
      <c r="B319" s="188"/>
    </row>
    <row r="320" spans="2:2" x14ac:dyDescent="0.2">
      <c r="B320" s="188"/>
    </row>
    <row r="321" spans="2:2" x14ac:dyDescent="0.2">
      <c r="B321" s="188"/>
    </row>
    <row r="322" spans="2:2" x14ac:dyDescent="0.2">
      <c r="B322" s="188"/>
    </row>
    <row r="323" spans="2:2" x14ac:dyDescent="0.2">
      <c r="B323" s="188"/>
    </row>
    <row r="324" spans="2:2" x14ac:dyDescent="0.2">
      <c r="B324" s="188"/>
    </row>
    <row r="325" spans="2:2" x14ac:dyDescent="0.2">
      <c r="B325" s="188"/>
    </row>
    <row r="326" spans="2:2" x14ac:dyDescent="0.2">
      <c r="B326" s="188"/>
    </row>
    <row r="327" spans="2:2" x14ac:dyDescent="0.2">
      <c r="B327" s="188"/>
    </row>
    <row r="328" spans="2:2" x14ac:dyDescent="0.2">
      <c r="B328" s="188"/>
    </row>
    <row r="329" spans="2:2" x14ac:dyDescent="0.2">
      <c r="B329" s="188"/>
    </row>
    <row r="330" spans="2:2" x14ac:dyDescent="0.2">
      <c r="B330" s="188"/>
    </row>
    <row r="331" spans="2:2" x14ac:dyDescent="0.2">
      <c r="B331" s="188"/>
    </row>
    <row r="332" spans="2:2" x14ac:dyDescent="0.2">
      <c r="B332" s="188"/>
    </row>
    <row r="333" spans="2:2" x14ac:dyDescent="0.2">
      <c r="B333" s="188"/>
    </row>
    <row r="334" spans="2:2" x14ac:dyDescent="0.2">
      <c r="B334" s="188"/>
    </row>
    <row r="335" spans="2:2" x14ac:dyDescent="0.2">
      <c r="B335" s="188"/>
    </row>
    <row r="336" spans="2:2" x14ac:dyDescent="0.2">
      <c r="B336" s="188"/>
    </row>
    <row r="337" spans="2:2" x14ac:dyDescent="0.2">
      <c r="B337" s="188"/>
    </row>
    <row r="338" spans="2:2" x14ac:dyDescent="0.2">
      <c r="B338" s="188"/>
    </row>
    <row r="339" spans="2:2" x14ac:dyDescent="0.2">
      <c r="B339" s="188"/>
    </row>
    <row r="340" spans="2:2" x14ac:dyDescent="0.2">
      <c r="B340" s="188"/>
    </row>
    <row r="341" spans="2:2" x14ac:dyDescent="0.2">
      <c r="B341" s="188"/>
    </row>
    <row r="342" spans="2:2" x14ac:dyDescent="0.2">
      <c r="B342" s="188"/>
    </row>
    <row r="343" spans="2:2" x14ac:dyDescent="0.2">
      <c r="B343" s="188"/>
    </row>
    <row r="344" spans="2:2" x14ac:dyDescent="0.2">
      <c r="B344" s="188"/>
    </row>
    <row r="345" spans="2:2" x14ac:dyDescent="0.2">
      <c r="B345" s="188"/>
    </row>
    <row r="346" spans="2:2" x14ac:dyDescent="0.2">
      <c r="B346" s="188"/>
    </row>
    <row r="347" spans="2:2" x14ac:dyDescent="0.2">
      <c r="B347" s="188"/>
    </row>
    <row r="348" spans="2:2" x14ac:dyDescent="0.2">
      <c r="B348" s="188"/>
    </row>
    <row r="349" spans="2:2" x14ac:dyDescent="0.2">
      <c r="B349" s="188"/>
    </row>
    <row r="350" spans="2:2" x14ac:dyDescent="0.2">
      <c r="B350" s="188"/>
    </row>
    <row r="351" spans="2:2" x14ac:dyDescent="0.2">
      <c r="B351" s="188"/>
    </row>
    <row r="352" spans="2:2" x14ac:dyDescent="0.2">
      <c r="B352" s="188"/>
    </row>
    <row r="353" spans="2:2" x14ac:dyDescent="0.2">
      <c r="B353" s="188"/>
    </row>
    <row r="354" spans="2:2" x14ac:dyDescent="0.2">
      <c r="B354" s="188"/>
    </row>
    <row r="355" spans="2:2" x14ac:dyDescent="0.2">
      <c r="B355" s="188"/>
    </row>
    <row r="356" spans="2:2" x14ac:dyDescent="0.2">
      <c r="B356" s="188"/>
    </row>
    <row r="357" spans="2:2" x14ac:dyDescent="0.2">
      <c r="B357" s="188"/>
    </row>
    <row r="358" spans="2:2" x14ac:dyDescent="0.2">
      <c r="B358" s="188"/>
    </row>
    <row r="359" spans="2:2" x14ac:dyDescent="0.2">
      <c r="B359" s="188"/>
    </row>
    <row r="360" spans="2:2" x14ac:dyDescent="0.2">
      <c r="B360" s="188"/>
    </row>
    <row r="361" spans="2:2" x14ac:dyDescent="0.2">
      <c r="B361" s="188"/>
    </row>
    <row r="362" spans="2:2" x14ac:dyDescent="0.2">
      <c r="B362" s="188"/>
    </row>
    <row r="363" spans="2:2" x14ac:dyDescent="0.2">
      <c r="B363" s="188"/>
    </row>
    <row r="364" spans="2:2" x14ac:dyDescent="0.2">
      <c r="B364" s="188"/>
    </row>
    <row r="365" spans="2:2" x14ac:dyDescent="0.2">
      <c r="B365" s="188"/>
    </row>
    <row r="366" spans="2:2" x14ac:dyDescent="0.2">
      <c r="B366" s="188"/>
    </row>
    <row r="367" spans="2:2" x14ac:dyDescent="0.2">
      <c r="B367" s="188"/>
    </row>
    <row r="368" spans="2:2" x14ac:dyDescent="0.2">
      <c r="B368" s="188"/>
    </row>
    <row r="369" spans="2:2" x14ac:dyDescent="0.2">
      <c r="B369" s="188"/>
    </row>
    <row r="370" spans="2:2" x14ac:dyDescent="0.2">
      <c r="B370" s="188"/>
    </row>
    <row r="371" spans="2:2" x14ac:dyDescent="0.2">
      <c r="B371" s="188"/>
    </row>
    <row r="372" spans="2:2" x14ac:dyDescent="0.2">
      <c r="B372" s="188"/>
    </row>
    <row r="373" spans="2:2" x14ac:dyDescent="0.2">
      <c r="B373" s="188"/>
    </row>
    <row r="374" spans="2:2" x14ac:dyDescent="0.2">
      <c r="B374" s="188"/>
    </row>
    <row r="375" spans="2:2" x14ac:dyDescent="0.2">
      <c r="B375" s="188"/>
    </row>
    <row r="376" spans="2:2" x14ac:dyDescent="0.2">
      <c r="B376" s="188"/>
    </row>
    <row r="377" spans="2:2" x14ac:dyDescent="0.2">
      <c r="B377" s="188"/>
    </row>
    <row r="378" spans="2:2" x14ac:dyDescent="0.2">
      <c r="B378" s="188"/>
    </row>
    <row r="379" spans="2:2" x14ac:dyDescent="0.2">
      <c r="B379" s="188"/>
    </row>
    <row r="380" spans="2:2" x14ac:dyDescent="0.2">
      <c r="B380" s="188"/>
    </row>
    <row r="381" spans="2:2" x14ac:dyDescent="0.2">
      <c r="B381" s="188"/>
    </row>
    <row r="382" spans="2:2" x14ac:dyDescent="0.2">
      <c r="B382" s="188"/>
    </row>
    <row r="383" spans="2:2" x14ac:dyDescent="0.2">
      <c r="B383" s="188"/>
    </row>
    <row r="384" spans="2:2" x14ac:dyDescent="0.2">
      <c r="B384" s="188"/>
    </row>
    <row r="385" spans="2:2" x14ac:dyDescent="0.2">
      <c r="B385" s="188"/>
    </row>
    <row r="386" spans="2:2" x14ac:dyDescent="0.2">
      <c r="B386" s="188"/>
    </row>
    <row r="387" spans="2:2" x14ac:dyDescent="0.2">
      <c r="B387" s="188"/>
    </row>
    <row r="388" spans="2:2" x14ac:dyDescent="0.2">
      <c r="B388" s="188"/>
    </row>
    <row r="389" spans="2:2" x14ac:dyDescent="0.2">
      <c r="B389" s="188"/>
    </row>
    <row r="390" spans="2:2" x14ac:dyDescent="0.2">
      <c r="B390" s="188"/>
    </row>
    <row r="391" spans="2:2" x14ac:dyDescent="0.2">
      <c r="B391" s="188"/>
    </row>
    <row r="392" spans="2:2" x14ac:dyDescent="0.2">
      <c r="B392" s="188"/>
    </row>
    <row r="393" spans="2:2" x14ac:dyDescent="0.2">
      <c r="B393" s="188"/>
    </row>
    <row r="394" spans="2:2" x14ac:dyDescent="0.2">
      <c r="B394" s="188"/>
    </row>
    <row r="395" spans="2:2" x14ac:dyDescent="0.2">
      <c r="B395" s="188"/>
    </row>
    <row r="396" spans="2:2" x14ac:dyDescent="0.2">
      <c r="B396" s="188"/>
    </row>
    <row r="397" spans="2:2" x14ac:dyDescent="0.2">
      <c r="B397" s="188"/>
    </row>
    <row r="398" spans="2:2" x14ac:dyDescent="0.2">
      <c r="B398" s="188"/>
    </row>
    <row r="399" spans="2:2" x14ac:dyDescent="0.2">
      <c r="B399" s="188"/>
    </row>
    <row r="400" spans="2:2" x14ac:dyDescent="0.2">
      <c r="B400" s="188"/>
    </row>
    <row r="401" spans="2:2" x14ac:dyDescent="0.2">
      <c r="B401" s="188"/>
    </row>
    <row r="402" spans="2:2" x14ac:dyDescent="0.2">
      <c r="B402" s="188"/>
    </row>
    <row r="403" spans="2:2" x14ac:dyDescent="0.2">
      <c r="B403" s="188"/>
    </row>
    <row r="404" spans="2:2" x14ac:dyDescent="0.2">
      <c r="B404" s="188"/>
    </row>
    <row r="405" spans="2:2" x14ac:dyDescent="0.2">
      <c r="B405" s="188"/>
    </row>
    <row r="406" spans="2:2" x14ac:dyDescent="0.2">
      <c r="B406" s="188"/>
    </row>
    <row r="407" spans="2:2" x14ac:dyDescent="0.2">
      <c r="B407" s="188"/>
    </row>
    <row r="408" spans="2:2" x14ac:dyDescent="0.2">
      <c r="B408" s="188"/>
    </row>
    <row r="409" spans="2:2" x14ac:dyDescent="0.2">
      <c r="B409" s="188"/>
    </row>
    <row r="410" spans="2:2" x14ac:dyDescent="0.2">
      <c r="B410" s="188"/>
    </row>
    <row r="411" spans="2:2" x14ac:dyDescent="0.2">
      <c r="B411" s="188"/>
    </row>
    <row r="412" spans="2:2" x14ac:dyDescent="0.2">
      <c r="B412" s="188"/>
    </row>
    <row r="413" spans="2:2" x14ac:dyDescent="0.2">
      <c r="B413" s="188"/>
    </row>
    <row r="414" spans="2:2" x14ac:dyDescent="0.2">
      <c r="B414" s="188"/>
    </row>
    <row r="415" spans="2:2" x14ac:dyDescent="0.2">
      <c r="B415" s="188"/>
    </row>
    <row r="416" spans="2:2" x14ac:dyDescent="0.2">
      <c r="B416" s="188"/>
    </row>
    <row r="417" spans="2:2" x14ac:dyDescent="0.2">
      <c r="B417" s="188"/>
    </row>
    <row r="418" spans="2:2" x14ac:dyDescent="0.2">
      <c r="B418" s="188"/>
    </row>
    <row r="419" spans="2:2" x14ac:dyDescent="0.2">
      <c r="B419" s="188"/>
    </row>
    <row r="420" spans="2:2" x14ac:dyDescent="0.2">
      <c r="B420" s="188"/>
    </row>
    <row r="421" spans="2:2" x14ac:dyDescent="0.2">
      <c r="B421" s="188"/>
    </row>
    <row r="422" spans="2:2" x14ac:dyDescent="0.2">
      <c r="B422" s="188"/>
    </row>
    <row r="423" spans="2:2" x14ac:dyDescent="0.2">
      <c r="B423" s="188"/>
    </row>
    <row r="424" spans="2:2" x14ac:dyDescent="0.2">
      <c r="B424" s="188"/>
    </row>
    <row r="425" spans="2:2" x14ac:dyDescent="0.2">
      <c r="B425" s="188"/>
    </row>
    <row r="426" spans="2:2" x14ac:dyDescent="0.2">
      <c r="B426" s="188"/>
    </row>
    <row r="427" spans="2:2" x14ac:dyDescent="0.2">
      <c r="B427" s="188"/>
    </row>
    <row r="428" spans="2:2" x14ac:dyDescent="0.2">
      <c r="B428" s="188"/>
    </row>
    <row r="429" spans="2:2" x14ac:dyDescent="0.2">
      <c r="B429" s="188"/>
    </row>
    <row r="430" spans="2:2" x14ac:dyDescent="0.2">
      <c r="B430" s="188"/>
    </row>
    <row r="431" spans="2:2" x14ac:dyDescent="0.2">
      <c r="B431" s="188"/>
    </row>
    <row r="432" spans="2:2" x14ac:dyDescent="0.2">
      <c r="B432" s="188"/>
    </row>
    <row r="433" spans="2:2" x14ac:dyDescent="0.2">
      <c r="B433" s="188"/>
    </row>
    <row r="434" spans="2:2" x14ac:dyDescent="0.2">
      <c r="B434" s="188"/>
    </row>
    <row r="435" spans="2:2" x14ac:dyDescent="0.2">
      <c r="B435" s="188"/>
    </row>
    <row r="436" spans="2:2" x14ac:dyDescent="0.2">
      <c r="B436" s="188"/>
    </row>
    <row r="437" spans="2:2" x14ac:dyDescent="0.2">
      <c r="B437" s="188"/>
    </row>
    <row r="438" spans="2:2" x14ac:dyDescent="0.2">
      <c r="B438" s="188"/>
    </row>
    <row r="439" spans="2:2" x14ac:dyDescent="0.2">
      <c r="B439" s="188"/>
    </row>
    <row r="440" spans="2:2" x14ac:dyDescent="0.2">
      <c r="B440" s="188"/>
    </row>
    <row r="441" spans="2:2" x14ac:dyDescent="0.2">
      <c r="B441" s="188"/>
    </row>
    <row r="442" spans="2:2" x14ac:dyDescent="0.2">
      <c r="B442" s="188"/>
    </row>
    <row r="443" spans="2:2" x14ac:dyDescent="0.2">
      <c r="B443" s="188"/>
    </row>
    <row r="444" spans="2:2" x14ac:dyDescent="0.2">
      <c r="B444" s="188"/>
    </row>
    <row r="445" spans="2:2" x14ac:dyDescent="0.2">
      <c r="B445" s="188"/>
    </row>
    <row r="446" spans="2:2" x14ac:dyDescent="0.2">
      <c r="B446" s="188"/>
    </row>
    <row r="447" spans="2:2" x14ac:dyDescent="0.2">
      <c r="B447" s="188"/>
    </row>
    <row r="448" spans="2:2" x14ac:dyDescent="0.2">
      <c r="B448" s="188"/>
    </row>
    <row r="449" spans="2:2" x14ac:dyDescent="0.2">
      <c r="B449" s="188"/>
    </row>
    <row r="450" spans="2:2" x14ac:dyDescent="0.2">
      <c r="B450" s="188"/>
    </row>
    <row r="451" spans="2:2" x14ac:dyDescent="0.2">
      <c r="B451" s="188"/>
    </row>
    <row r="452" spans="2:2" x14ac:dyDescent="0.2">
      <c r="B452" s="188"/>
    </row>
    <row r="453" spans="2:2" x14ac:dyDescent="0.2">
      <c r="B453" s="188"/>
    </row>
    <row r="454" spans="2:2" x14ac:dyDescent="0.2">
      <c r="B454" s="188"/>
    </row>
    <row r="455" spans="2:2" x14ac:dyDescent="0.2">
      <c r="B455" s="188"/>
    </row>
    <row r="456" spans="2:2" x14ac:dyDescent="0.2">
      <c r="B456" s="188"/>
    </row>
    <row r="457" spans="2:2" x14ac:dyDescent="0.2">
      <c r="B457" s="188"/>
    </row>
    <row r="458" spans="2:2" x14ac:dyDescent="0.2">
      <c r="B458" s="188"/>
    </row>
    <row r="459" spans="2:2" x14ac:dyDescent="0.2">
      <c r="B459" s="188"/>
    </row>
    <row r="460" spans="2:2" x14ac:dyDescent="0.2">
      <c r="B460" s="188"/>
    </row>
    <row r="461" spans="2:2" x14ac:dyDescent="0.2">
      <c r="B461" s="188"/>
    </row>
    <row r="462" spans="2:2" x14ac:dyDescent="0.2">
      <c r="B462" s="188"/>
    </row>
    <row r="463" spans="2:2" x14ac:dyDescent="0.2">
      <c r="B463" s="188"/>
    </row>
    <row r="464" spans="2:2" x14ac:dyDescent="0.2">
      <c r="B464" s="188"/>
    </row>
    <row r="465" spans="2:2" x14ac:dyDescent="0.2">
      <c r="B465" s="188"/>
    </row>
    <row r="466" spans="2:2" x14ac:dyDescent="0.2">
      <c r="B466" s="188"/>
    </row>
    <row r="467" spans="2:2" x14ac:dyDescent="0.2">
      <c r="B467" s="188"/>
    </row>
    <row r="468" spans="2:2" x14ac:dyDescent="0.2">
      <c r="B468" s="188"/>
    </row>
    <row r="469" spans="2:2" x14ac:dyDescent="0.2">
      <c r="B469" s="188"/>
    </row>
    <row r="470" spans="2:2" x14ac:dyDescent="0.2">
      <c r="B470" s="188"/>
    </row>
    <row r="471" spans="2:2" x14ac:dyDescent="0.2">
      <c r="B471" s="188"/>
    </row>
    <row r="472" spans="2:2" x14ac:dyDescent="0.2">
      <c r="B472" s="188"/>
    </row>
    <row r="473" spans="2:2" x14ac:dyDescent="0.2">
      <c r="B473" s="188"/>
    </row>
    <row r="474" spans="2:2" x14ac:dyDescent="0.2">
      <c r="B474" s="188"/>
    </row>
    <row r="475" spans="2:2" x14ac:dyDescent="0.2">
      <c r="B475" s="188"/>
    </row>
    <row r="476" spans="2:2" x14ac:dyDescent="0.2">
      <c r="B476" s="188"/>
    </row>
    <row r="477" spans="2:2" x14ac:dyDescent="0.2">
      <c r="B477" s="188"/>
    </row>
    <row r="478" spans="2:2" x14ac:dyDescent="0.2">
      <c r="B478" s="188"/>
    </row>
    <row r="479" spans="2:2" x14ac:dyDescent="0.2">
      <c r="B479" s="188"/>
    </row>
    <row r="480" spans="2:2" x14ac:dyDescent="0.2">
      <c r="B480" s="188"/>
    </row>
    <row r="481" spans="2:2" x14ac:dyDescent="0.2">
      <c r="B481" s="188"/>
    </row>
    <row r="482" spans="2:2" x14ac:dyDescent="0.2">
      <c r="B482" s="188"/>
    </row>
    <row r="483" spans="2:2" x14ac:dyDescent="0.2">
      <c r="B483" s="188"/>
    </row>
    <row r="484" spans="2:2" x14ac:dyDescent="0.2">
      <c r="B484" s="188"/>
    </row>
    <row r="485" spans="2:2" x14ac:dyDescent="0.2">
      <c r="B485" s="188"/>
    </row>
    <row r="486" spans="2:2" x14ac:dyDescent="0.2">
      <c r="B486" s="188"/>
    </row>
    <row r="487" spans="2:2" x14ac:dyDescent="0.2">
      <c r="B487" s="188"/>
    </row>
    <row r="488" spans="2:2" x14ac:dyDescent="0.2">
      <c r="B488" s="188"/>
    </row>
    <row r="489" spans="2:2" x14ac:dyDescent="0.2">
      <c r="B489" s="188"/>
    </row>
    <row r="490" spans="2:2" x14ac:dyDescent="0.2">
      <c r="B490" s="188"/>
    </row>
    <row r="491" spans="2:2" x14ac:dyDescent="0.2">
      <c r="B491" s="188"/>
    </row>
    <row r="492" spans="2:2" x14ac:dyDescent="0.2">
      <c r="B492" s="188"/>
    </row>
    <row r="493" spans="2:2" x14ac:dyDescent="0.2">
      <c r="B493" s="188"/>
    </row>
    <row r="494" spans="2:2" x14ac:dyDescent="0.2">
      <c r="B494" s="188"/>
    </row>
    <row r="495" spans="2:2" x14ac:dyDescent="0.2">
      <c r="B495" s="188"/>
    </row>
    <row r="496" spans="2:2" x14ac:dyDescent="0.2">
      <c r="B496" s="188"/>
    </row>
    <row r="497" spans="2:2" x14ac:dyDescent="0.2">
      <c r="B497" s="188"/>
    </row>
    <row r="498" spans="2:2" x14ac:dyDescent="0.2">
      <c r="B498" s="188"/>
    </row>
    <row r="499" spans="2:2" x14ac:dyDescent="0.2">
      <c r="B499" s="188"/>
    </row>
    <row r="500" spans="2:2" x14ac:dyDescent="0.2">
      <c r="B500" s="188"/>
    </row>
    <row r="501" spans="2:2" x14ac:dyDescent="0.2">
      <c r="B501" s="188"/>
    </row>
    <row r="502" spans="2:2" x14ac:dyDescent="0.2">
      <c r="B502" s="188"/>
    </row>
    <row r="503" spans="2:2" x14ac:dyDescent="0.2">
      <c r="B503" s="188"/>
    </row>
    <row r="504" spans="2:2" x14ac:dyDescent="0.2">
      <c r="B504" s="188"/>
    </row>
    <row r="505" spans="2:2" x14ac:dyDescent="0.2">
      <c r="B505" s="188"/>
    </row>
    <row r="506" spans="2:2" x14ac:dyDescent="0.2">
      <c r="B506" s="188"/>
    </row>
    <row r="507" spans="2:2" x14ac:dyDescent="0.2">
      <c r="B507" s="188"/>
    </row>
    <row r="508" spans="2:2" x14ac:dyDescent="0.2">
      <c r="B508" s="188"/>
    </row>
    <row r="509" spans="2:2" x14ac:dyDescent="0.2">
      <c r="B509" s="188"/>
    </row>
    <row r="510" spans="2:2" x14ac:dyDescent="0.2">
      <c r="B510" s="188"/>
    </row>
    <row r="511" spans="2:2" x14ac:dyDescent="0.2">
      <c r="B511" s="188"/>
    </row>
    <row r="512" spans="2:2" x14ac:dyDescent="0.2">
      <c r="B512" s="188"/>
    </row>
    <row r="513" spans="2:2" x14ac:dyDescent="0.2">
      <c r="B513" s="188"/>
    </row>
    <row r="514" spans="2:2" x14ac:dyDescent="0.2">
      <c r="B514" s="188"/>
    </row>
    <row r="515" spans="2:2" x14ac:dyDescent="0.2">
      <c r="B515" s="188"/>
    </row>
    <row r="516" spans="2:2" x14ac:dyDescent="0.2">
      <c r="B516" s="188"/>
    </row>
    <row r="517" spans="2:2" x14ac:dyDescent="0.2">
      <c r="B517" s="188"/>
    </row>
    <row r="518" spans="2:2" x14ac:dyDescent="0.2">
      <c r="B518" s="188"/>
    </row>
    <row r="519" spans="2:2" x14ac:dyDescent="0.2">
      <c r="B519" s="188"/>
    </row>
    <row r="520" spans="2:2" x14ac:dyDescent="0.2">
      <c r="B520" s="188"/>
    </row>
    <row r="521" spans="2:2" x14ac:dyDescent="0.2">
      <c r="B521" s="188"/>
    </row>
    <row r="522" spans="2:2" x14ac:dyDescent="0.2">
      <c r="B522" s="188"/>
    </row>
    <row r="523" spans="2:2" x14ac:dyDescent="0.2">
      <c r="B523" s="188"/>
    </row>
    <row r="524" spans="2:2" x14ac:dyDescent="0.2">
      <c r="B524" s="188"/>
    </row>
    <row r="525" spans="2:2" x14ac:dyDescent="0.2">
      <c r="B525" s="188"/>
    </row>
    <row r="526" spans="2:2" x14ac:dyDescent="0.2">
      <c r="B526" s="188"/>
    </row>
    <row r="527" spans="2:2" x14ac:dyDescent="0.2">
      <c r="B527" s="188"/>
    </row>
    <row r="528" spans="2:2" x14ac:dyDescent="0.2">
      <c r="B528" s="188"/>
    </row>
    <row r="529" spans="2:2" x14ac:dyDescent="0.2">
      <c r="B529" s="188"/>
    </row>
  </sheetData>
  <mergeCells count="8">
    <mergeCell ref="G87:G88"/>
    <mergeCell ref="F14:F20"/>
    <mergeCell ref="A2:C2"/>
    <mergeCell ref="A1:C1"/>
    <mergeCell ref="E5:E12"/>
    <mergeCell ref="E87:E88"/>
    <mergeCell ref="E14:E20"/>
    <mergeCell ref="F87:F88"/>
  </mergeCells>
  <phoneticPr fontId="0" type="noConversion"/>
  <pageMargins left="0.25" right="0.25" top="0.75" bottom="0.75" header="0.3" footer="0.3"/>
  <pageSetup paperSize="9" scale="78" fitToHeight="2" orientation="portrait" r:id="rId1"/>
  <headerFooter alignWithMargins="0"/>
  <rowBreaks count="1" manualBreakCount="1">
    <brk id="75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99FF"/>
    <pageSetUpPr fitToPage="1"/>
  </sheetPr>
  <dimension ref="A1:K29"/>
  <sheetViews>
    <sheetView zoomScaleNormal="100" workbookViewId="0">
      <selection activeCell="H24" sqref="H24"/>
    </sheetView>
  </sheetViews>
  <sheetFormatPr defaultRowHeight="15" x14ac:dyDescent="0.2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9.85546875" customWidth="1"/>
    <col min="6" max="7" width="19" customWidth="1"/>
    <col min="8" max="8" width="18.28515625" customWidth="1"/>
    <col min="9" max="9" width="16.28515625" customWidth="1"/>
  </cols>
  <sheetData>
    <row r="1" spans="1:11" ht="15.75" x14ac:dyDescent="0.25">
      <c r="A1" s="751" t="s">
        <v>715</v>
      </c>
      <c r="B1" s="751"/>
      <c r="C1" s="751"/>
      <c r="D1" s="751"/>
      <c r="E1" s="751"/>
      <c r="F1" s="751"/>
      <c r="G1" s="435"/>
      <c r="H1" s="435"/>
      <c r="I1" s="202"/>
      <c r="J1" s="202"/>
      <c r="K1" s="202"/>
    </row>
    <row r="2" spans="1:11" ht="15.75" x14ac:dyDescent="0.25">
      <c r="A2" s="128"/>
      <c r="B2" s="128"/>
      <c r="C2" s="128"/>
      <c r="D2" s="128"/>
      <c r="E2" s="128"/>
      <c r="F2" s="128"/>
      <c r="G2" s="128"/>
      <c r="H2" s="128"/>
      <c r="I2" s="202"/>
      <c r="J2" s="202"/>
      <c r="K2" s="202"/>
    </row>
    <row r="3" spans="1:11" ht="30" customHeight="1" x14ac:dyDescent="0.25">
      <c r="A3" s="765" t="s">
        <v>211</v>
      </c>
      <c r="B3" s="765"/>
      <c r="C3" s="765"/>
      <c r="D3" s="765"/>
      <c r="E3" s="765"/>
      <c r="F3" s="765"/>
      <c r="G3" s="576"/>
      <c r="H3" s="576"/>
      <c r="I3" s="221"/>
      <c r="J3" s="221"/>
      <c r="K3" s="221"/>
    </row>
    <row r="4" spans="1:11" ht="30" customHeight="1" x14ac:dyDescent="0.25">
      <c r="A4" s="221"/>
      <c r="B4" s="221"/>
      <c r="C4" s="438"/>
      <c r="D4" s="221"/>
      <c r="E4" s="482"/>
      <c r="F4" s="221"/>
      <c r="G4" s="482"/>
      <c r="H4" s="221"/>
      <c r="I4" s="221"/>
      <c r="J4" s="221"/>
      <c r="K4" s="221"/>
    </row>
    <row r="5" spans="1:11" ht="30" customHeight="1" thickBot="1" x14ac:dyDescent="0.3">
      <c r="E5" s="127" t="s">
        <v>316</v>
      </c>
    </row>
    <row r="6" spans="1:11" ht="30" customHeight="1" thickBot="1" x14ac:dyDescent="0.3">
      <c r="A6" s="272" t="s">
        <v>65</v>
      </c>
      <c r="B6" s="766">
        <v>2020</v>
      </c>
      <c r="C6" s="767"/>
      <c r="D6" s="516">
        <v>2021</v>
      </c>
      <c r="E6" s="516">
        <v>2022</v>
      </c>
      <c r="F6" s="516">
        <v>2023</v>
      </c>
    </row>
    <row r="7" spans="1:11" ht="30" customHeight="1" thickBot="1" x14ac:dyDescent="0.3">
      <c r="A7" s="458"/>
      <c r="B7" s="499" t="s">
        <v>368</v>
      </c>
      <c r="C7" s="499" t="s">
        <v>611</v>
      </c>
      <c r="D7" s="499" t="s">
        <v>368</v>
      </c>
      <c r="E7" s="499" t="s">
        <v>368</v>
      </c>
      <c r="F7" s="499" t="s">
        <v>368</v>
      </c>
    </row>
    <row r="8" spans="1:11" ht="15" customHeight="1" x14ac:dyDescent="0.25">
      <c r="A8" s="207" t="s">
        <v>190</v>
      </c>
      <c r="B8" s="500">
        <f>+'2.sz.mell.'!C26</f>
        <v>268775970</v>
      </c>
      <c r="C8" s="500">
        <f>+'2.sz.mell.'!D26</f>
        <v>297438675</v>
      </c>
      <c r="D8" s="500">
        <v>310000000</v>
      </c>
      <c r="E8" s="500">
        <v>315000000</v>
      </c>
      <c r="F8" s="498">
        <v>320000000</v>
      </c>
    </row>
    <row r="9" spans="1:11" ht="30" customHeight="1" x14ac:dyDescent="0.25">
      <c r="A9" s="208" t="s">
        <v>191</v>
      </c>
      <c r="B9" s="357">
        <f>+'2.sz.mell.'!C39</f>
        <v>95791880</v>
      </c>
      <c r="C9" s="357">
        <f>+'2.sz.mell.'!D39</f>
        <v>73703383</v>
      </c>
      <c r="D9" s="357">
        <v>34000000</v>
      </c>
      <c r="E9" s="357">
        <v>38000000</v>
      </c>
      <c r="F9" s="360">
        <v>42000000</v>
      </c>
    </row>
    <row r="10" spans="1:11" ht="15" customHeight="1" x14ac:dyDescent="0.25">
      <c r="A10" s="209" t="s">
        <v>104</v>
      </c>
      <c r="B10" s="357">
        <f>+'2.sz.mell.'!C46</f>
        <v>79270000</v>
      </c>
      <c r="C10" s="357">
        <f>+'2.sz.mell.'!D46</f>
        <v>93429115</v>
      </c>
      <c r="D10" s="357">
        <v>60000000</v>
      </c>
      <c r="E10" s="357">
        <v>60000000</v>
      </c>
      <c r="F10" s="357">
        <v>60000000</v>
      </c>
    </row>
    <row r="11" spans="1:11" ht="15" customHeight="1" x14ac:dyDescent="0.25">
      <c r="A11" s="209" t="s">
        <v>105</v>
      </c>
      <c r="B11" s="357">
        <f>+'2.sz.mell.'!C59</f>
        <v>55450000</v>
      </c>
      <c r="C11" s="357">
        <f>+'2.sz.mell.'!D59</f>
        <v>88462001</v>
      </c>
      <c r="D11" s="357">
        <v>48000000</v>
      </c>
      <c r="E11" s="357">
        <v>46000000</v>
      </c>
      <c r="F11" s="360">
        <v>45000000</v>
      </c>
    </row>
    <row r="12" spans="1:11" ht="15" customHeight="1" x14ac:dyDescent="0.25">
      <c r="A12" s="209" t="s">
        <v>192</v>
      </c>
      <c r="B12" s="357">
        <f>+'2.sz.mell.'!C61</f>
        <v>0</v>
      </c>
      <c r="C12" s="357">
        <f>+'2.sz.mell.'!D61</f>
        <v>0</v>
      </c>
      <c r="D12" s="357">
        <v>0</v>
      </c>
      <c r="E12" s="357">
        <v>0</v>
      </c>
      <c r="F12" s="360">
        <v>0</v>
      </c>
    </row>
    <row r="13" spans="1:11" ht="15" customHeight="1" x14ac:dyDescent="0.25">
      <c r="A13" s="209" t="s">
        <v>7</v>
      </c>
      <c r="B13" s="357">
        <v>0</v>
      </c>
      <c r="C13" s="357">
        <v>0</v>
      </c>
      <c r="D13" s="357">
        <v>0</v>
      </c>
      <c r="E13" s="357">
        <v>0</v>
      </c>
      <c r="F13" s="360">
        <v>0</v>
      </c>
    </row>
    <row r="14" spans="1:11" ht="15" customHeight="1" x14ac:dyDescent="0.25">
      <c r="A14" s="209" t="s">
        <v>193</v>
      </c>
      <c r="B14" s="357">
        <f>+'2.sz.mell.'!C70</f>
        <v>5096029</v>
      </c>
      <c r="C14" s="357">
        <f>+'2.sz.mell.'!D70</f>
        <v>455011879</v>
      </c>
      <c r="D14" s="357">
        <v>5000000</v>
      </c>
      <c r="E14" s="357">
        <v>5000000</v>
      </c>
      <c r="F14" s="360">
        <v>0</v>
      </c>
    </row>
    <row r="15" spans="1:11" ht="15" customHeight="1" thickBot="1" x14ac:dyDescent="0.3">
      <c r="A15" s="210" t="s">
        <v>194</v>
      </c>
      <c r="B15" s="358">
        <f>+'2.sz.mell.'!C72</f>
        <v>225056072</v>
      </c>
      <c r="C15" s="358">
        <f>+'2.sz.mell.'!D72</f>
        <v>240820882</v>
      </c>
      <c r="D15" s="358">
        <v>120000000</v>
      </c>
      <c r="E15" s="358">
        <v>80000000</v>
      </c>
      <c r="F15" s="361">
        <v>75000000</v>
      </c>
    </row>
    <row r="16" spans="1:11" ht="15" customHeight="1" thickBot="1" x14ac:dyDescent="0.3">
      <c r="A16" s="211" t="s">
        <v>180</v>
      </c>
      <c r="B16" s="359">
        <f>SUM(B8:B15)</f>
        <v>729439951</v>
      </c>
      <c r="C16" s="359">
        <f>SUM(C8:C15)</f>
        <v>1248865935</v>
      </c>
      <c r="D16" s="359">
        <f t="shared" ref="D16:F16" si="0">SUM(D8:D15)</f>
        <v>577000000</v>
      </c>
      <c r="E16" s="359">
        <f t="shared" si="0"/>
        <v>544000000</v>
      </c>
      <c r="F16" s="359">
        <f t="shared" si="0"/>
        <v>542000000</v>
      </c>
    </row>
    <row r="17" spans="1:8" ht="30" customHeight="1" thickBot="1" x14ac:dyDescent="0.3">
      <c r="B17" s="315"/>
      <c r="C17" s="315"/>
      <c r="D17" s="315"/>
      <c r="E17" s="315"/>
      <c r="F17" s="315"/>
    </row>
    <row r="18" spans="1:8" ht="15" customHeight="1" x14ac:dyDescent="0.25">
      <c r="A18" s="207" t="s">
        <v>17</v>
      </c>
      <c r="B18" s="362">
        <f>+'2.sz.mell.'!C80</f>
        <v>222999810</v>
      </c>
      <c r="C18" s="362">
        <f>+'2.sz.mell.'!D80</f>
        <v>257054384</v>
      </c>
      <c r="D18" s="367">
        <v>220000000</v>
      </c>
      <c r="E18" s="368">
        <v>220000000</v>
      </c>
      <c r="F18" s="369">
        <v>220000000</v>
      </c>
    </row>
    <row r="19" spans="1:8" ht="15" customHeight="1" x14ac:dyDescent="0.25">
      <c r="A19" s="209" t="s">
        <v>195</v>
      </c>
      <c r="B19" s="363">
        <f>+'2.sz.mell.'!C81</f>
        <v>37774837</v>
      </c>
      <c r="C19" s="363">
        <f>+'2.sz.mell.'!D81</f>
        <v>40983778</v>
      </c>
      <c r="D19" s="370">
        <v>35000000</v>
      </c>
      <c r="E19" s="370">
        <v>35000000</v>
      </c>
      <c r="F19" s="370">
        <v>35000000</v>
      </c>
    </row>
    <row r="20" spans="1:8" ht="15" customHeight="1" x14ac:dyDescent="0.25">
      <c r="A20" s="209" t="s">
        <v>19</v>
      </c>
      <c r="B20" s="363">
        <f>+'2.sz.mell.'!C82</f>
        <v>200426841</v>
      </c>
      <c r="C20" s="363">
        <f>+'2.sz.mell.'!D82</f>
        <v>271985456</v>
      </c>
      <c r="D20" s="370">
        <f>16000000+137000000-D25</f>
        <v>152476284</v>
      </c>
      <c r="E20" s="371">
        <f>13000000+140000000-E25</f>
        <v>152449986</v>
      </c>
      <c r="F20" s="372">
        <f>150000000-F25</f>
        <v>149471743</v>
      </c>
    </row>
    <row r="21" spans="1:8" ht="15" customHeight="1" x14ac:dyDescent="0.25">
      <c r="A21" s="209" t="s">
        <v>467</v>
      </c>
      <c r="B21" s="363">
        <f>+'2.sz.mell.'!C84</f>
        <v>0</v>
      </c>
      <c r="C21" s="363">
        <f>+'2.sz.mell.'!D84</f>
        <v>0</v>
      </c>
      <c r="D21" s="370">
        <v>0</v>
      </c>
      <c r="E21" s="371">
        <v>0</v>
      </c>
      <c r="F21" s="372">
        <v>0</v>
      </c>
    </row>
    <row r="22" spans="1:8" ht="15" customHeight="1" x14ac:dyDescent="0.25">
      <c r="A22" s="209" t="s">
        <v>183</v>
      </c>
      <c r="B22" s="363">
        <f>+'2.sz.mell.'!C83</f>
        <v>3147000</v>
      </c>
      <c r="C22" s="363">
        <f>+'2.sz.mell.'!D83+'5.a sz.mell.'!K69</f>
        <v>3264120</v>
      </c>
      <c r="D22" s="370">
        <v>4000000</v>
      </c>
      <c r="E22" s="371">
        <v>5000000</v>
      </c>
      <c r="F22" s="372">
        <v>6000000</v>
      </c>
    </row>
    <row r="23" spans="1:8" ht="15" customHeight="1" x14ac:dyDescent="0.25">
      <c r="A23" s="209" t="s">
        <v>110</v>
      </c>
      <c r="B23" s="363">
        <f>+'2.sz.mell.'!C87+'2.sz.mell.'!C88</f>
        <v>95627898</v>
      </c>
      <c r="C23" s="363">
        <f>+'2.sz.mell.'!D87+'2.sz.mell.'!D88</f>
        <v>102840761</v>
      </c>
      <c r="D23" s="370">
        <v>76000000</v>
      </c>
      <c r="E23" s="371">
        <v>78000000</v>
      </c>
      <c r="F23" s="372">
        <v>82000000</v>
      </c>
    </row>
    <row r="24" spans="1:8" ht="15" customHeight="1" x14ac:dyDescent="0.25">
      <c r="A24" s="209" t="s">
        <v>329</v>
      </c>
      <c r="B24" s="363">
        <f>+'2.sz.mell.'!C85</f>
        <v>10751039</v>
      </c>
      <c r="C24" s="363">
        <f>+'2.sz.mell.'!D85</f>
        <v>10997076</v>
      </c>
      <c r="D24" s="370">
        <v>0</v>
      </c>
      <c r="E24" s="371">
        <v>0</v>
      </c>
      <c r="F24" s="372">
        <v>0</v>
      </c>
    </row>
    <row r="25" spans="1:8" ht="15" customHeight="1" x14ac:dyDescent="0.25">
      <c r="A25" s="209" t="s">
        <v>466</v>
      </c>
      <c r="B25" s="363">
        <f>+'2.sz.mell.'!C86</f>
        <v>0</v>
      </c>
      <c r="C25" s="363">
        <f>+'2.sz.mell.'!D86</f>
        <v>0</v>
      </c>
      <c r="D25" s="501">
        <v>523716</v>
      </c>
      <c r="E25" s="371">
        <v>550014</v>
      </c>
      <c r="F25" s="372">
        <v>528257</v>
      </c>
    </row>
    <row r="26" spans="1:8" ht="15" customHeight="1" x14ac:dyDescent="0.25">
      <c r="A26" s="209" t="s">
        <v>111</v>
      </c>
      <c r="B26" s="363">
        <f>+'2.sz.mell.'!C91+'2.sz.mell.'!C92</f>
        <v>98896424</v>
      </c>
      <c r="C26" s="363">
        <f>+'5.a sz.mell.'!Q69</f>
        <v>121227071</v>
      </c>
      <c r="D26" s="370">
        <v>5000000</v>
      </c>
      <c r="E26" s="371">
        <v>5000000</v>
      </c>
      <c r="F26" s="372">
        <v>5000000</v>
      </c>
    </row>
    <row r="27" spans="1:8" ht="15" customHeight="1" thickBot="1" x14ac:dyDescent="0.3">
      <c r="A27" s="210" t="s">
        <v>60</v>
      </c>
      <c r="B27" s="364">
        <f>+'2.sz.mell.'!C97</f>
        <v>59816102</v>
      </c>
      <c r="C27" s="364">
        <f>+'2.sz.mell.'!D97</f>
        <v>440513289</v>
      </c>
      <c r="D27" s="373">
        <f>116500000-32500000</f>
        <v>84000000</v>
      </c>
      <c r="E27" s="374">
        <f>77200000-29200000</f>
        <v>48000000</v>
      </c>
      <c r="F27" s="375">
        <f>76000000-32000000</f>
        <v>44000000</v>
      </c>
    </row>
    <row r="28" spans="1:8" ht="15" customHeight="1" thickBot="1" x14ac:dyDescent="0.3">
      <c r="A28" s="211" t="s">
        <v>187</v>
      </c>
      <c r="B28" s="365">
        <f>SUM(B18:B27)</f>
        <v>729439951</v>
      </c>
      <c r="C28" s="365">
        <f>SUM(C18:C27)</f>
        <v>1248865935</v>
      </c>
      <c r="D28" s="376">
        <f t="shared" ref="D28:F28" si="1">SUM(D18:D27)</f>
        <v>577000000</v>
      </c>
      <c r="E28" s="376">
        <f t="shared" si="1"/>
        <v>544000000</v>
      </c>
      <c r="F28" s="376">
        <f t="shared" si="1"/>
        <v>542000000</v>
      </c>
    </row>
    <row r="29" spans="1:8" ht="30" customHeight="1" x14ac:dyDescent="0.25">
      <c r="C29" s="366"/>
      <c r="D29" s="366"/>
      <c r="E29" s="366"/>
      <c r="F29" s="366"/>
      <c r="G29" s="366"/>
      <c r="H29" s="366"/>
    </row>
  </sheetData>
  <mergeCells count="3">
    <mergeCell ref="A3:F3"/>
    <mergeCell ref="A1:F1"/>
    <mergeCell ref="B6:C6"/>
  </mergeCells>
  <phoneticPr fontId="0" type="noConversion"/>
  <pageMargins left="0.25" right="0.25" top="0.75" bottom="0.75" header="0.3" footer="0.3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7"/>
  <sheetViews>
    <sheetView tabSelected="1" zoomScaleNormal="100" workbookViewId="0">
      <selection activeCell="D27" sqref="D27"/>
    </sheetView>
  </sheetViews>
  <sheetFormatPr defaultRowHeight="15" x14ac:dyDescent="0.2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6" customWidth="1"/>
  </cols>
  <sheetData>
    <row r="1" spans="2:10" x14ac:dyDescent="0.25">
      <c r="B1" s="768" t="s">
        <v>523</v>
      </c>
      <c r="C1" s="769"/>
      <c r="D1" s="769"/>
      <c r="E1" s="769"/>
      <c r="F1" s="769"/>
      <c r="G1" s="769"/>
      <c r="H1" s="769"/>
    </row>
    <row r="3" spans="2:10" x14ac:dyDescent="0.25">
      <c r="B3" s="753" t="s">
        <v>189</v>
      </c>
      <c r="C3" s="753"/>
      <c r="D3" s="753"/>
      <c r="E3" s="753"/>
      <c r="F3" s="753"/>
      <c r="G3" s="753"/>
      <c r="H3" s="753"/>
      <c r="I3" s="229"/>
    </row>
    <row r="4" spans="2:10" ht="30" customHeight="1" x14ac:dyDescent="0.25">
      <c r="B4" s="770" t="s">
        <v>344</v>
      </c>
      <c r="C4" s="771"/>
      <c r="D4" s="771"/>
      <c r="E4" s="771"/>
      <c r="F4" s="771"/>
      <c r="G4" s="771"/>
      <c r="H4" s="771"/>
      <c r="I4" s="234"/>
      <c r="J4" s="234"/>
    </row>
    <row r="5" spans="2:10" ht="30" customHeight="1" x14ac:dyDescent="0.25">
      <c r="B5" s="277"/>
      <c r="C5" s="278"/>
      <c r="D5" s="484"/>
      <c r="E5" s="278"/>
      <c r="F5" s="278"/>
      <c r="G5" s="278"/>
      <c r="H5" s="278"/>
      <c r="I5" s="278"/>
      <c r="J5" s="278"/>
    </row>
    <row r="6" spans="2:10" x14ac:dyDescent="0.25">
      <c r="B6" s="229"/>
      <c r="C6" s="229"/>
      <c r="D6" s="229"/>
      <c r="E6" s="229"/>
      <c r="F6" s="229"/>
      <c r="G6" s="294" t="s">
        <v>316</v>
      </c>
      <c r="I6" s="229"/>
    </row>
    <row r="7" spans="2:10" x14ac:dyDescent="0.25">
      <c r="B7" s="230"/>
      <c r="C7" s="559">
        <v>2020</v>
      </c>
      <c r="D7" s="559"/>
      <c r="E7" s="377">
        <v>2021</v>
      </c>
      <c r="F7" s="377">
        <v>2022</v>
      </c>
      <c r="G7" s="377">
        <v>2023</v>
      </c>
      <c r="H7" s="377">
        <v>2024</v>
      </c>
    </row>
    <row r="8" spans="2:10" x14ac:dyDescent="0.25">
      <c r="B8" s="502"/>
      <c r="C8" s="499" t="s">
        <v>368</v>
      </c>
      <c r="D8" s="499" t="s">
        <v>611</v>
      </c>
      <c r="E8" s="499" t="s">
        <v>368</v>
      </c>
      <c r="F8" s="499" t="s">
        <v>368</v>
      </c>
      <c r="G8" s="499" t="s">
        <v>368</v>
      </c>
      <c r="H8" s="499" t="s">
        <v>368</v>
      </c>
    </row>
    <row r="9" spans="2:10" x14ac:dyDescent="0.25">
      <c r="B9" s="231" t="s">
        <v>57</v>
      </c>
      <c r="C9" s="316"/>
      <c r="D9" s="316"/>
      <c r="E9" s="380"/>
      <c r="F9" s="380"/>
      <c r="G9" s="380"/>
      <c r="H9" s="380"/>
    </row>
    <row r="10" spans="2:10" x14ac:dyDescent="0.25">
      <c r="B10" s="230" t="s">
        <v>639</v>
      </c>
      <c r="C10" s="378">
        <f>+'2.sz.mell.'!C41+'2.sz.mell.'!C40</f>
        <v>67500000</v>
      </c>
      <c r="D10" s="378">
        <f>+'2.sz.mell.'!D41+'2.sz.mell.'!D40</f>
        <v>87659115</v>
      </c>
      <c r="E10" s="378">
        <v>45000000</v>
      </c>
      <c r="F10" s="378">
        <v>45000000</v>
      </c>
      <c r="G10" s="378">
        <v>40000000</v>
      </c>
      <c r="H10" s="378">
        <v>40000000</v>
      </c>
    </row>
    <row r="11" spans="2:10" ht="45" x14ac:dyDescent="0.25">
      <c r="B11" s="232" t="s">
        <v>196</v>
      </c>
      <c r="C11" s="379">
        <v>0</v>
      </c>
      <c r="D11" s="379">
        <v>0</v>
      </c>
      <c r="E11" s="379">
        <v>0</v>
      </c>
      <c r="F11" s="379">
        <v>0</v>
      </c>
      <c r="G11" s="379">
        <v>0</v>
      </c>
      <c r="H11" s="379">
        <v>0</v>
      </c>
    </row>
    <row r="12" spans="2:10" ht="16.5" customHeight="1" x14ac:dyDescent="0.25">
      <c r="B12" s="232" t="s">
        <v>197</v>
      </c>
      <c r="C12" s="378">
        <f>+'5 b.sz.mell.'!D16+'5 b.sz.mell.'!D18</f>
        <v>17145000</v>
      </c>
      <c r="D12" s="378">
        <f>+'5 b.sz.mell.'!E16+'5 b.sz.mell.'!E18</f>
        <v>17145026</v>
      </c>
      <c r="E12" s="378">
        <v>11000000</v>
      </c>
      <c r="F12" s="378">
        <v>11000000</v>
      </c>
      <c r="G12" s="378">
        <v>11000000</v>
      </c>
      <c r="H12" s="378">
        <v>11000000</v>
      </c>
    </row>
    <row r="13" spans="2:10" ht="45" customHeight="1" x14ac:dyDescent="0.25">
      <c r="B13" s="232" t="s">
        <v>198</v>
      </c>
      <c r="C13" s="379">
        <v>0</v>
      </c>
      <c r="D13" s="379">
        <v>0</v>
      </c>
      <c r="E13" s="379">
        <v>0</v>
      </c>
      <c r="F13" s="379">
        <v>0</v>
      </c>
      <c r="G13" s="379">
        <v>0</v>
      </c>
      <c r="H13" s="379">
        <v>0</v>
      </c>
    </row>
    <row r="14" spans="2:10" x14ac:dyDescent="0.25">
      <c r="B14" s="232" t="s">
        <v>199</v>
      </c>
      <c r="C14" s="378">
        <f>+'2.sz.mell.'!C42</f>
        <v>100000</v>
      </c>
      <c r="D14" s="378">
        <f>+'2.sz.mell.'!D42</f>
        <v>100000</v>
      </c>
      <c r="E14" s="378">
        <f>+'2.sz.mell.'!E42</f>
        <v>0</v>
      </c>
      <c r="F14" s="378">
        <f>+'2.sz.mell.'!G42</f>
        <v>0</v>
      </c>
      <c r="G14" s="378">
        <f>+'2.sz.mell.'!H42</f>
        <v>0</v>
      </c>
      <c r="H14" s="378">
        <f>+'2.sz.mell.'!I42</f>
        <v>0</v>
      </c>
    </row>
    <row r="15" spans="2:10" ht="15" customHeight="1" x14ac:dyDescent="0.25">
      <c r="B15" s="232" t="s">
        <v>200</v>
      </c>
      <c r="C15" s="378">
        <v>0</v>
      </c>
      <c r="D15" s="378">
        <v>0</v>
      </c>
      <c r="E15" s="378">
        <v>0</v>
      </c>
      <c r="F15" s="378">
        <v>0</v>
      </c>
      <c r="G15" s="378">
        <v>0</v>
      </c>
      <c r="H15" s="378">
        <v>0</v>
      </c>
    </row>
    <row r="16" spans="2:10" x14ac:dyDescent="0.25">
      <c r="B16" s="233" t="s">
        <v>201</v>
      </c>
      <c r="C16" s="378">
        <f t="shared" ref="C16:H16" si="0">SUM(C10:C15)</f>
        <v>84745000</v>
      </c>
      <c r="D16" s="378">
        <f t="shared" ref="D16" si="1">SUM(D10:D15)</f>
        <v>104904141</v>
      </c>
      <c r="E16" s="378">
        <f t="shared" si="0"/>
        <v>56000000</v>
      </c>
      <c r="F16" s="378">
        <f t="shared" si="0"/>
        <v>56000000</v>
      </c>
      <c r="G16" s="378">
        <f t="shared" si="0"/>
        <v>51000000</v>
      </c>
      <c r="H16" s="378">
        <f t="shared" si="0"/>
        <v>51000000</v>
      </c>
    </row>
    <row r="17" spans="2:8" hidden="1" x14ac:dyDescent="0.25">
      <c r="B17" s="232"/>
      <c r="C17" s="378"/>
      <c r="D17" s="378"/>
      <c r="E17" s="378"/>
      <c r="F17" s="378"/>
      <c r="G17" s="378"/>
      <c r="H17" s="378"/>
    </row>
    <row r="18" spans="2:8" x14ac:dyDescent="0.25">
      <c r="B18" s="230"/>
      <c r="C18" s="378"/>
      <c r="D18" s="378"/>
      <c r="E18" s="378"/>
      <c r="F18" s="378"/>
      <c r="G18" s="378"/>
      <c r="H18" s="378"/>
    </row>
    <row r="19" spans="2:8" x14ac:dyDescent="0.25">
      <c r="B19" s="231" t="s">
        <v>202</v>
      </c>
      <c r="C19" s="378"/>
      <c r="D19" s="378"/>
      <c r="E19" s="378"/>
      <c r="F19" s="378"/>
      <c r="G19" s="378"/>
      <c r="H19" s="378"/>
    </row>
    <row r="20" spans="2:8" x14ac:dyDescent="0.25">
      <c r="B20" s="232" t="s">
        <v>203</v>
      </c>
      <c r="C20" s="378">
        <v>0</v>
      </c>
      <c r="D20" s="378">
        <v>0</v>
      </c>
      <c r="E20" s="378">
        <v>0</v>
      </c>
      <c r="F20" s="378">
        <v>0</v>
      </c>
      <c r="G20" s="378">
        <v>0</v>
      </c>
      <c r="H20" s="378">
        <v>0</v>
      </c>
    </row>
    <row r="21" spans="2:8" x14ac:dyDescent="0.25">
      <c r="B21" s="232" t="s">
        <v>204</v>
      </c>
      <c r="C21" s="378">
        <v>0</v>
      </c>
      <c r="D21" s="378">
        <v>0</v>
      </c>
      <c r="E21" s="378">
        <v>0</v>
      </c>
      <c r="F21" s="378">
        <v>0</v>
      </c>
      <c r="G21" s="378">
        <v>0</v>
      </c>
      <c r="H21" s="378">
        <v>0</v>
      </c>
    </row>
    <row r="22" spans="2:8" x14ac:dyDescent="0.25">
      <c r="B22" s="232" t="s">
        <v>205</v>
      </c>
      <c r="C22" s="378">
        <v>0</v>
      </c>
      <c r="D22" s="378">
        <v>0</v>
      </c>
      <c r="E22" s="378">
        <v>0</v>
      </c>
      <c r="F22" s="378">
        <v>0</v>
      </c>
      <c r="G22" s="378">
        <v>0</v>
      </c>
      <c r="H22" s="378">
        <v>0</v>
      </c>
    </row>
    <row r="23" spans="2:8" x14ac:dyDescent="0.25">
      <c r="B23" s="232" t="s">
        <v>206</v>
      </c>
      <c r="C23" s="378">
        <f>+'14.sz.mell.'!B13</f>
        <v>1331122</v>
      </c>
      <c r="D23" s="378">
        <f>+C23</f>
        <v>1331122</v>
      </c>
      <c r="E23" s="378">
        <f>+'14.sz.mell.'!C13</f>
        <v>749866</v>
      </c>
      <c r="F23" s="378">
        <f>+'14.sz.mell.'!D13</f>
        <v>749865.27</v>
      </c>
      <c r="G23" s="378">
        <f>+'14.sz.mell.'!E13</f>
        <v>312447</v>
      </c>
      <c r="H23" s="378">
        <v>0</v>
      </c>
    </row>
    <row r="24" spans="2:8" ht="30.75" hidden="1" customHeight="1" x14ac:dyDescent="0.25">
      <c r="B24" s="232" t="s">
        <v>207</v>
      </c>
      <c r="C24" s="379">
        <v>0</v>
      </c>
      <c r="D24" s="379">
        <v>0</v>
      </c>
      <c r="E24" s="379">
        <v>0</v>
      </c>
      <c r="F24" s="379">
        <v>0</v>
      </c>
      <c r="G24" s="379">
        <v>0</v>
      </c>
      <c r="H24" s="379">
        <v>0</v>
      </c>
    </row>
    <row r="25" spans="2:8" ht="30" hidden="1" x14ac:dyDescent="0.25">
      <c r="B25" s="232" t="s">
        <v>208</v>
      </c>
      <c r="C25" s="379">
        <v>0</v>
      </c>
      <c r="D25" s="379">
        <v>0</v>
      </c>
      <c r="E25" s="379">
        <v>0</v>
      </c>
      <c r="F25" s="379">
        <v>0</v>
      </c>
      <c r="G25" s="379">
        <v>0</v>
      </c>
      <c r="H25" s="379">
        <v>0</v>
      </c>
    </row>
    <row r="26" spans="2:8" ht="18.75" customHeight="1" x14ac:dyDescent="0.25">
      <c r="B26" s="232" t="s">
        <v>209</v>
      </c>
      <c r="C26" s="378">
        <f>+'13.sz.mell'!B10</f>
        <v>1900000</v>
      </c>
      <c r="D26" s="378">
        <f>+C26</f>
        <v>1900000</v>
      </c>
      <c r="E26" s="378">
        <f>+'13.sz.mell'!B10</f>
        <v>1900000</v>
      </c>
      <c r="F26" s="378">
        <f>+'13.sz.mell'!D10</f>
        <v>1900000</v>
      </c>
      <c r="G26" s="378">
        <f>+'13.sz.mell'!E10</f>
        <v>1800000</v>
      </c>
      <c r="H26" s="378">
        <f>+'13.sz.mell'!F10</f>
        <v>1750000</v>
      </c>
    </row>
    <row r="27" spans="2:8" x14ac:dyDescent="0.25">
      <c r="B27" s="233" t="s">
        <v>201</v>
      </c>
      <c r="C27" s="378">
        <f t="shared" ref="C27:H27" si="2">SUM(C20:C26)</f>
        <v>3231122</v>
      </c>
      <c r="D27" s="378">
        <f t="shared" ref="D27" si="3">SUM(D20:D26)</f>
        <v>3231122</v>
      </c>
      <c r="E27" s="378">
        <f t="shared" si="2"/>
        <v>2649866</v>
      </c>
      <c r="F27" s="378">
        <f t="shared" si="2"/>
        <v>2649865.27</v>
      </c>
      <c r="G27" s="378">
        <f t="shared" si="2"/>
        <v>2112447</v>
      </c>
      <c r="H27" s="378">
        <f t="shared" si="2"/>
        <v>1750000</v>
      </c>
    </row>
  </sheetData>
  <mergeCells count="3">
    <mergeCell ref="B1:H1"/>
    <mergeCell ref="B4:H4"/>
    <mergeCell ref="B3:H3"/>
  </mergeCells>
  <phoneticPr fontId="0" type="noConversion"/>
  <pageMargins left="0.75" right="0.75" top="1" bottom="1" header="0.5" footer="0.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FF"/>
    <pageSetUpPr fitToPage="1"/>
  </sheetPr>
  <dimension ref="A1:Q48"/>
  <sheetViews>
    <sheetView view="pageBreakPreview" zoomScale="140" zoomScaleNormal="140" zoomScaleSheetLayoutView="140" workbookViewId="0">
      <selection activeCell="F25" sqref="F25"/>
    </sheetView>
  </sheetViews>
  <sheetFormatPr defaultRowHeight="15.75" x14ac:dyDescent="0.25"/>
  <cols>
    <col min="1" max="1" width="1" style="2" customWidth="1"/>
    <col min="2" max="2" width="42.5703125" style="2" customWidth="1"/>
    <col min="3" max="3" width="13.5703125" style="2" customWidth="1"/>
    <col min="4" max="4" width="14.7109375" style="2" customWidth="1"/>
    <col min="5" max="5" width="13" style="2" customWidth="1"/>
    <col min="6" max="6" width="15.28515625" style="2" customWidth="1"/>
    <col min="7" max="16384" width="9.140625" style="2"/>
  </cols>
  <sheetData>
    <row r="1" spans="1:17" ht="22.5" customHeight="1" x14ac:dyDescent="0.25">
      <c r="A1" s="656" t="s">
        <v>687</v>
      </c>
      <c r="B1" s="656"/>
      <c r="C1" s="656"/>
      <c r="D1" s="656"/>
      <c r="E1" s="1"/>
      <c r="F1" s="1"/>
      <c r="G1" s="1"/>
    </row>
    <row r="2" spans="1:17" x14ac:dyDescent="0.25"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2.25" customHeight="1" x14ac:dyDescent="0.25">
      <c r="A3" s="675" t="s">
        <v>530</v>
      </c>
      <c r="B3" s="675"/>
      <c r="C3" s="675"/>
      <c r="D3" s="675"/>
      <c r="E3" s="274"/>
      <c r="F3" s="274"/>
      <c r="G3" s="218"/>
    </row>
    <row r="4" spans="1:17" x14ac:dyDescent="0.25">
      <c r="B4" s="673"/>
      <c r="C4" s="673"/>
      <c r="D4" s="673"/>
    </row>
    <row r="5" spans="1:17" x14ac:dyDescent="0.25">
      <c r="C5" s="674"/>
      <c r="D5" s="674"/>
    </row>
    <row r="6" spans="1:17" s="4" customFormat="1" ht="21" customHeight="1" x14ac:dyDescent="0.2">
      <c r="B6" s="671" t="s">
        <v>0</v>
      </c>
      <c r="C6" s="672"/>
      <c r="D6" s="672"/>
      <c r="E6" s="672"/>
      <c r="F6" s="672"/>
      <c r="G6" s="5"/>
    </row>
    <row r="7" spans="1:17" s="4" customFormat="1" ht="42" customHeight="1" thickBot="1" x14ac:dyDescent="0.25">
      <c r="B7" s="270" t="s">
        <v>1</v>
      </c>
      <c r="C7" s="271" t="s">
        <v>345</v>
      </c>
      <c r="D7" s="271" t="s">
        <v>529</v>
      </c>
      <c r="E7" s="271" t="s">
        <v>600</v>
      </c>
      <c r="F7" s="271" t="s">
        <v>602</v>
      </c>
    </row>
    <row r="8" spans="1:17" s="5" customFormat="1" ht="15" customHeight="1" x14ac:dyDescent="0.2">
      <c r="B8" s="6" t="s">
        <v>2</v>
      </c>
      <c r="C8" s="282">
        <v>51891000</v>
      </c>
      <c r="D8" s="282">
        <v>55885000</v>
      </c>
      <c r="E8" s="282">
        <f>+'2.sz.mell.'!C59</f>
        <v>55450000</v>
      </c>
      <c r="F8" s="282">
        <f>+'2.sz.mell.'!D59</f>
        <v>88462001</v>
      </c>
    </row>
    <row r="9" spans="1:17" s="5" customFormat="1" ht="15" customHeight="1" x14ac:dyDescent="0.2">
      <c r="B9" s="7" t="s">
        <v>319</v>
      </c>
      <c r="C9" s="283">
        <v>59270000</v>
      </c>
      <c r="D9" s="283">
        <v>59270000</v>
      </c>
      <c r="E9" s="283">
        <f>+'2.sz.mell.'!C46</f>
        <v>79270000</v>
      </c>
      <c r="F9" s="283">
        <f>+'2.sz.mell.'!D46</f>
        <v>93429115</v>
      </c>
    </row>
    <row r="10" spans="1:17" s="5" customFormat="1" ht="15" customHeight="1" x14ac:dyDescent="0.2">
      <c r="B10" s="8" t="s">
        <v>315</v>
      </c>
      <c r="C10" s="431">
        <f>268051083+318000</f>
        <v>268369083</v>
      </c>
      <c r="D10" s="431">
        <v>285025510</v>
      </c>
      <c r="E10" s="431">
        <f>+'2.sz.mell.'!C26+'2.sz.mell.'!C61</f>
        <v>268775970</v>
      </c>
      <c r="F10" s="431">
        <f>+'2.sz.mell.'!D26+'2.sz.mell.'!D61</f>
        <v>297438675</v>
      </c>
    </row>
    <row r="11" spans="1:17" s="5" customFormat="1" ht="15" customHeight="1" x14ac:dyDescent="0.2">
      <c r="B11" s="8" t="s">
        <v>320</v>
      </c>
      <c r="C11" s="431">
        <f>24579725</f>
        <v>24579725</v>
      </c>
      <c r="D11" s="431">
        <v>54625927</v>
      </c>
      <c r="E11" s="431">
        <f>+'2.sz.mell.'!C39</f>
        <v>95791880</v>
      </c>
      <c r="F11" s="431">
        <f>+'2.sz.mell.'!D39</f>
        <v>73703383</v>
      </c>
    </row>
    <row r="12" spans="1:17" s="5" customFormat="1" ht="15" customHeight="1" x14ac:dyDescent="0.2">
      <c r="B12" s="8" t="s">
        <v>3</v>
      </c>
      <c r="C12" s="284">
        <v>13848000</v>
      </c>
      <c r="D12" s="284">
        <v>14981900</v>
      </c>
      <c r="E12" s="284">
        <f>+'2.sz.mell.'!C27</f>
        <v>20354748</v>
      </c>
      <c r="F12" s="284">
        <f>+'2.sz.mell.'!D27</f>
        <v>22200100</v>
      </c>
    </row>
    <row r="13" spans="1:17" s="5" customFormat="1" ht="15" customHeight="1" x14ac:dyDescent="0.2">
      <c r="B13" s="9" t="s">
        <v>4</v>
      </c>
      <c r="C13" s="285">
        <v>81549342</v>
      </c>
      <c r="D13" s="285">
        <v>215097476</v>
      </c>
      <c r="E13" s="285">
        <f>+'2.sz.mell.'!C71-'3.sz.mell.'!E23</f>
        <v>108873310</v>
      </c>
      <c r="F13" s="285">
        <f>+'2.sz.mell.'!D71-'3.sz.mell.'!F23</f>
        <v>124638120</v>
      </c>
      <c r="H13" s="5">
        <f>4999736+1835000+84924+2999999+14999998+8266429+45378440+4508070+24944510+8165656</f>
        <v>116182762</v>
      </c>
    </row>
    <row r="14" spans="1:17" s="5" customFormat="1" ht="15" customHeight="1" x14ac:dyDescent="0.2">
      <c r="B14" s="16" t="s">
        <v>340</v>
      </c>
      <c r="C14" s="285">
        <v>0</v>
      </c>
      <c r="D14" s="285">
        <v>0</v>
      </c>
      <c r="E14" s="285">
        <v>0</v>
      </c>
      <c r="F14" s="285">
        <v>0</v>
      </c>
    </row>
    <row r="15" spans="1:17" s="5" customFormat="1" ht="15" customHeight="1" thickBot="1" x14ac:dyDescent="0.25">
      <c r="B15" s="9" t="s">
        <v>5</v>
      </c>
      <c r="C15" s="285">
        <v>0</v>
      </c>
      <c r="D15" s="285">
        <v>0</v>
      </c>
      <c r="E15" s="285">
        <v>0</v>
      </c>
      <c r="F15" s="285">
        <v>0</v>
      </c>
    </row>
    <row r="16" spans="1:17" s="10" customFormat="1" ht="15" customHeight="1" thickBot="1" x14ac:dyDescent="0.25">
      <c r="B16" s="11" t="s">
        <v>6</v>
      </c>
      <c r="C16" s="286">
        <f>C8+C9+C10+C11+C13+C15</f>
        <v>485659150</v>
      </c>
      <c r="D16" s="286">
        <f>D8+D9+D10+D11+D13+D15</f>
        <v>669903913</v>
      </c>
      <c r="E16" s="286">
        <f>E8+E9+E10+E11+E13+E15</f>
        <v>608161160</v>
      </c>
      <c r="F16" s="286">
        <f>F8+F9+F10+F11+F13+F15</f>
        <v>677671294</v>
      </c>
    </row>
    <row r="17" spans="2:6" s="5" customFormat="1" ht="15" customHeight="1" x14ac:dyDescent="0.2">
      <c r="B17" s="12" t="s">
        <v>7</v>
      </c>
      <c r="C17" s="282">
        <v>0</v>
      </c>
      <c r="D17" s="282">
        <v>0</v>
      </c>
      <c r="E17" s="282">
        <v>0</v>
      </c>
      <c r="F17" s="282">
        <v>0</v>
      </c>
    </row>
    <row r="18" spans="2:6" s="5" customFormat="1" ht="15" customHeight="1" x14ac:dyDescent="0.2">
      <c r="B18" s="8" t="s">
        <v>8</v>
      </c>
      <c r="C18" s="283">
        <v>0</v>
      </c>
      <c r="D18" s="283">
        <v>0</v>
      </c>
      <c r="E18" s="283">
        <v>0</v>
      </c>
      <c r="F18" s="283">
        <v>0</v>
      </c>
    </row>
    <row r="19" spans="2:6" s="5" customFormat="1" ht="15" customHeight="1" x14ac:dyDescent="0.2">
      <c r="B19" s="8" t="s">
        <v>9</v>
      </c>
      <c r="C19" s="284"/>
      <c r="D19" s="284"/>
      <c r="E19" s="284"/>
      <c r="F19" s="284"/>
    </row>
    <row r="20" spans="2:6" s="5" customFormat="1" ht="15" customHeight="1" x14ac:dyDescent="0.2">
      <c r="B20" s="8" t="s">
        <v>10</v>
      </c>
      <c r="C20" s="284">
        <f>246525100+32758134</f>
        <v>279283234</v>
      </c>
      <c r="D20" s="284">
        <v>108818441</v>
      </c>
      <c r="E20" s="284">
        <f>+'2.sz.mell.'!C70</f>
        <v>5096029</v>
      </c>
      <c r="F20" s="284">
        <f>+'2.sz.mell.'!D70</f>
        <v>455011879</v>
      </c>
    </row>
    <row r="21" spans="2:6" s="5" customFormat="1" ht="15" customHeight="1" x14ac:dyDescent="0.2">
      <c r="B21" s="8" t="s">
        <v>11</v>
      </c>
      <c r="C21" s="284">
        <v>0</v>
      </c>
      <c r="D21" s="284">
        <v>0</v>
      </c>
      <c r="E21" s="284">
        <v>0</v>
      </c>
      <c r="F21" s="284">
        <v>0</v>
      </c>
    </row>
    <row r="22" spans="2:6" s="5" customFormat="1" ht="15" customHeight="1" x14ac:dyDescent="0.2">
      <c r="B22" s="8" t="s">
        <v>12</v>
      </c>
      <c r="C22" s="284">
        <v>0</v>
      </c>
      <c r="D22" s="284">
        <v>0</v>
      </c>
      <c r="E22" s="284">
        <v>0</v>
      </c>
      <c r="F22" s="284">
        <v>0</v>
      </c>
    </row>
    <row r="23" spans="2:6" s="5" customFormat="1" ht="15" customHeight="1" thickBot="1" x14ac:dyDescent="0.25">
      <c r="B23" s="9" t="s">
        <v>13</v>
      </c>
      <c r="C23" s="285">
        <v>83953371</v>
      </c>
      <c r="D23" s="285">
        <v>201851422</v>
      </c>
      <c r="E23" s="285">
        <v>116182762</v>
      </c>
      <c r="F23" s="285">
        <v>116182762</v>
      </c>
    </row>
    <row r="24" spans="2:6" s="10" customFormat="1" ht="15" customHeight="1" thickBot="1" x14ac:dyDescent="0.25">
      <c r="B24" s="11" t="s">
        <v>14</v>
      </c>
      <c r="C24" s="286">
        <f>SUM(C17:C23)</f>
        <v>363236605</v>
      </c>
      <c r="D24" s="286">
        <f>SUM(D17:D23)</f>
        <v>310669863</v>
      </c>
      <c r="E24" s="286">
        <f>SUM(E17:E23)</f>
        <v>121278791</v>
      </c>
      <c r="F24" s="286">
        <f>SUM(F17:F23)</f>
        <v>571194641</v>
      </c>
    </row>
    <row r="25" spans="2:6" s="10" customFormat="1" ht="15" customHeight="1" thickBot="1" x14ac:dyDescent="0.25">
      <c r="B25" s="13" t="s">
        <v>15</v>
      </c>
      <c r="C25" s="287">
        <f>+C24+C16</f>
        <v>848895755</v>
      </c>
      <c r="D25" s="287">
        <f>+D24+D16</f>
        <v>980573776</v>
      </c>
      <c r="E25" s="287">
        <f>+E24+E16</f>
        <v>729439951</v>
      </c>
      <c r="F25" s="287">
        <f>+F24+F16</f>
        <v>1248865935</v>
      </c>
    </row>
    <row r="26" spans="2:6" s="10" customFormat="1" ht="15" customHeight="1" x14ac:dyDescent="0.2">
      <c r="B26" s="268"/>
      <c r="C26" s="269"/>
      <c r="D26" s="269"/>
    </row>
    <row r="27" spans="2:6" s="4" customFormat="1" ht="15" customHeight="1" x14ac:dyDescent="0.2"/>
    <row r="28" spans="2:6" s="4" customFormat="1" ht="15" customHeight="1" x14ac:dyDescent="0.25">
      <c r="C28" s="674"/>
      <c r="D28" s="674"/>
    </row>
    <row r="29" spans="2:6" s="4" customFormat="1" ht="21" customHeight="1" x14ac:dyDescent="0.2">
      <c r="B29" s="671" t="s">
        <v>16</v>
      </c>
      <c r="C29" s="672"/>
      <c r="D29" s="672"/>
      <c r="E29" s="672"/>
      <c r="F29" s="672"/>
    </row>
    <row r="30" spans="2:6" s="4" customFormat="1" ht="39" thickBot="1" x14ac:dyDescent="0.25">
      <c r="B30" s="270" t="s">
        <v>1</v>
      </c>
      <c r="C30" s="271" t="s">
        <v>345</v>
      </c>
      <c r="D30" s="271" t="s">
        <v>529</v>
      </c>
      <c r="E30" s="271" t="s">
        <v>600</v>
      </c>
      <c r="F30" s="271" t="s">
        <v>601</v>
      </c>
    </row>
    <row r="31" spans="2:6" s="4" customFormat="1" ht="15" customHeight="1" x14ac:dyDescent="0.2">
      <c r="B31" s="14" t="s">
        <v>17</v>
      </c>
      <c r="C31" s="288">
        <v>172604200</v>
      </c>
      <c r="D31" s="288">
        <v>212285909</v>
      </c>
      <c r="E31" s="288">
        <f>+'5.a sz.mell.'!D69</f>
        <v>222999810</v>
      </c>
      <c r="F31" s="288">
        <f>+'5.a sz.mell.'!E69</f>
        <v>257054384</v>
      </c>
    </row>
    <row r="32" spans="2:6" s="4" customFormat="1" ht="15" customHeight="1" x14ac:dyDescent="0.2">
      <c r="B32" s="15" t="s">
        <v>18</v>
      </c>
      <c r="C32" s="289">
        <v>32695500</v>
      </c>
      <c r="D32" s="289">
        <v>39599062</v>
      </c>
      <c r="E32" s="289">
        <f>+'5.a sz.mell.'!F69</f>
        <v>37774837</v>
      </c>
      <c r="F32" s="289">
        <f>+'5.a sz.mell.'!G69</f>
        <v>40983778</v>
      </c>
    </row>
    <row r="33" spans="2:6" s="4" customFormat="1" ht="15" customHeight="1" x14ac:dyDescent="0.2">
      <c r="B33" s="15" t="s">
        <v>19</v>
      </c>
      <c r="C33" s="289">
        <v>135629000</v>
      </c>
      <c r="D33" s="289">
        <v>243566668</v>
      </c>
      <c r="E33" s="289">
        <f>+'5.a sz.mell.'!H69</f>
        <v>200426841</v>
      </c>
      <c r="F33" s="289">
        <f>+'5.a sz.mell.'!I69</f>
        <v>271985456</v>
      </c>
    </row>
    <row r="34" spans="2:6" s="4" customFormat="1" ht="15" customHeight="1" x14ac:dyDescent="0.2">
      <c r="B34" s="15" t="s">
        <v>20</v>
      </c>
      <c r="C34" s="289">
        <f>72104709+2880000</f>
        <v>74984709</v>
      </c>
      <c r="D34" s="289">
        <v>84567133</v>
      </c>
      <c r="E34" s="289">
        <f>+'2.sz.mell.'!C87+'2.sz.mell.'!C88</f>
        <v>95627898</v>
      </c>
      <c r="F34" s="289">
        <f>+'2.sz.mell.'!D87+'2.sz.mell.'!D88</f>
        <v>102840761</v>
      </c>
    </row>
    <row r="35" spans="2:6" s="4" customFormat="1" ht="15" customHeight="1" x14ac:dyDescent="0.2">
      <c r="B35" s="16" t="s">
        <v>317</v>
      </c>
      <c r="C35" s="289">
        <v>3781000</v>
      </c>
      <c r="D35" s="289">
        <v>4767000</v>
      </c>
      <c r="E35" s="289">
        <f>+'5.a sz.mell.'!N69</f>
        <v>3147000</v>
      </c>
      <c r="F35" s="289">
        <f>+'5.a sz.mell.'!O69</f>
        <v>3147000</v>
      </c>
    </row>
    <row r="36" spans="2:6" s="4" customFormat="1" ht="25.5" customHeight="1" x14ac:dyDescent="0.2">
      <c r="B36" s="609" t="s">
        <v>650</v>
      </c>
      <c r="C36" s="290">
        <v>0</v>
      </c>
      <c r="D36" s="290">
        <v>0</v>
      </c>
      <c r="E36" s="290">
        <f>+'5.a sz.mell.'!J69</f>
        <v>0</v>
      </c>
      <c r="F36" s="290">
        <f>+'5.a sz.mell.'!K69</f>
        <v>117120</v>
      </c>
    </row>
    <row r="37" spans="2:6" s="4" customFormat="1" ht="15" customHeight="1" x14ac:dyDescent="0.2">
      <c r="B37" s="16" t="s">
        <v>448</v>
      </c>
      <c r="C37" s="290">
        <v>0</v>
      </c>
      <c r="D37" s="290">
        <v>0</v>
      </c>
      <c r="E37" s="290">
        <f>+'2.sz.mell.'!C84</f>
        <v>0</v>
      </c>
      <c r="F37" s="290">
        <f>+'2.sz.mell.'!D84</f>
        <v>0</v>
      </c>
    </row>
    <row r="38" spans="2:6" s="4" customFormat="1" ht="15" customHeight="1" x14ac:dyDescent="0.2">
      <c r="B38" s="16" t="s">
        <v>318</v>
      </c>
      <c r="C38" s="290">
        <v>9649634</v>
      </c>
      <c r="D38" s="290">
        <v>10420711</v>
      </c>
      <c r="E38" s="290">
        <f>+'5.a sz.mell.'!R69</f>
        <v>10751039</v>
      </c>
      <c r="F38" s="290">
        <f>+'5.a sz.mell.'!S69</f>
        <v>10997076</v>
      </c>
    </row>
    <row r="39" spans="2:6" s="4" customFormat="1" ht="15" customHeight="1" x14ac:dyDescent="0.2">
      <c r="B39" s="16" t="s">
        <v>449</v>
      </c>
      <c r="C39" s="290">
        <v>0</v>
      </c>
      <c r="D39" s="290">
        <v>1643568</v>
      </c>
      <c r="E39" s="290">
        <f>+'2.sz.mell.'!C86</f>
        <v>0</v>
      </c>
      <c r="F39" s="290">
        <f>+'2.sz.mell.'!D86</f>
        <v>0</v>
      </c>
    </row>
    <row r="40" spans="2:6" s="4" customFormat="1" ht="15" customHeight="1" x14ac:dyDescent="0.2">
      <c r="B40" s="16" t="s">
        <v>21</v>
      </c>
      <c r="C40" s="290">
        <v>1415952</v>
      </c>
      <c r="D40" s="290">
        <v>0</v>
      </c>
      <c r="E40" s="290">
        <f>+'2.sz.mell.'!C91</f>
        <v>0</v>
      </c>
      <c r="F40" s="290">
        <f>+'2.sz.mell.'!D91</f>
        <v>0</v>
      </c>
    </row>
    <row r="41" spans="2:6" s="4" customFormat="1" ht="15" customHeight="1" thickBot="1" x14ac:dyDescent="0.25">
      <c r="B41" s="16" t="s">
        <v>22</v>
      </c>
      <c r="C41" s="291">
        <v>90687347</v>
      </c>
      <c r="D41" s="291">
        <v>107151973</v>
      </c>
      <c r="E41" s="291">
        <f>+'2.sz.mell.'!C92</f>
        <v>98896424</v>
      </c>
      <c r="F41" s="291">
        <f>+'2.sz.mell.'!D92</f>
        <v>121227071</v>
      </c>
    </row>
    <row r="42" spans="2:6" s="4" customFormat="1" ht="15" customHeight="1" thickBot="1" x14ac:dyDescent="0.25">
      <c r="B42" s="17" t="s">
        <v>23</v>
      </c>
      <c r="C42" s="292">
        <f>SUM(C31:C41)</f>
        <v>521447342</v>
      </c>
      <c r="D42" s="292">
        <f>SUM(D31:D41)</f>
        <v>704002024</v>
      </c>
      <c r="E42" s="292">
        <f>SUM(E31:E41)</f>
        <v>669623849</v>
      </c>
      <c r="F42" s="292">
        <f>SUM(F31:F41)</f>
        <v>808352646</v>
      </c>
    </row>
    <row r="43" spans="2:6" s="4" customFormat="1" ht="15" customHeight="1" x14ac:dyDescent="0.2">
      <c r="B43" s="14" t="s">
        <v>24</v>
      </c>
      <c r="C43" s="288">
        <v>50435066</v>
      </c>
      <c r="D43" s="288">
        <v>42859926</v>
      </c>
      <c r="E43" s="288">
        <f>+'5.a sz.mell.'!X69</f>
        <v>46420058</v>
      </c>
      <c r="F43" s="288">
        <f>+'5.a sz.mell.'!Y69</f>
        <v>190462841</v>
      </c>
    </row>
    <row r="44" spans="2:6" s="4" customFormat="1" ht="15" customHeight="1" x14ac:dyDescent="0.2">
      <c r="B44" s="15" t="s">
        <v>298</v>
      </c>
      <c r="C44" s="289">
        <v>277013347</v>
      </c>
      <c r="D44" s="289">
        <v>233711826</v>
      </c>
      <c r="E44" s="289">
        <f>+'5.a sz.mell.'!V69</f>
        <v>13396044</v>
      </c>
      <c r="F44" s="289">
        <f>+'5.a sz.mell.'!W69</f>
        <v>250050448</v>
      </c>
    </row>
    <row r="45" spans="2:6" s="4" customFormat="1" ht="15" customHeight="1" thickBot="1" x14ac:dyDescent="0.25">
      <c r="B45" s="16" t="s">
        <v>297</v>
      </c>
      <c r="C45" s="290">
        <v>0</v>
      </c>
      <c r="D45" s="290">
        <v>0</v>
      </c>
      <c r="E45" s="290">
        <v>0</v>
      </c>
      <c r="F45" s="290">
        <v>0</v>
      </c>
    </row>
    <row r="46" spans="2:6" s="4" customFormat="1" ht="15" customHeight="1" thickBot="1" x14ac:dyDescent="0.25">
      <c r="B46" s="17" t="s">
        <v>25</v>
      </c>
      <c r="C46" s="292">
        <f>SUM(C43:C45)</f>
        <v>327448413</v>
      </c>
      <c r="D46" s="292">
        <f>SUM(D43:D45)</f>
        <v>276571752</v>
      </c>
      <c r="E46" s="292">
        <f>SUM(E43:E45)</f>
        <v>59816102</v>
      </c>
      <c r="F46" s="292">
        <f>SUM(F43:F45)</f>
        <v>440513289</v>
      </c>
    </row>
    <row r="47" spans="2:6" s="19" customFormat="1" ht="18.75" customHeight="1" thickBot="1" x14ac:dyDescent="0.25">
      <c r="B47" s="18" t="s">
        <v>26</v>
      </c>
      <c r="C47" s="293">
        <f>SUM(C42,C46)</f>
        <v>848895755</v>
      </c>
      <c r="D47" s="293">
        <f>SUM(D42,D46)</f>
        <v>980573776</v>
      </c>
      <c r="E47" s="293">
        <f>SUM(E42,E46)</f>
        <v>729439951</v>
      </c>
      <c r="F47" s="293">
        <f>SUM(F42,F46)</f>
        <v>1248865935</v>
      </c>
    </row>
    <row r="48" spans="2:6" x14ac:dyDescent="0.25">
      <c r="E48" s="485"/>
      <c r="F48" s="485"/>
    </row>
  </sheetData>
  <mergeCells count="7">
    <mergeCell ref="B29:F29"/>
    <mergeCell ref="A1:D1"/>
    <mergeCell ref="B4:D4"/>
    <mergeCell ref="C5:D5"/>
    <mergeCell ref="C28:D28"/>
    <mergeCell ref="A3:D3"/>
    <mergeCell ref="B6:F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FF"/>
    <pageSetUpPr fitToPage="1"/>
  </sheetPr>
  <dimension ref="A1:BB29"/>
  <sheetViews>
    <sheetView view="pageBreakPreview" topLeftCell="L10" zoomScaleNormal="100" zoomScaleSheetLayoutView="100" workbookViewId="0">
      <selection activeCell="N15" activeCellId="1" sqref="V27 N15"/>
    </sheetView>
  </sheetViews>
  <sheetFormatPr defaultRowHeight="15" x14ac:dyDescent="0.25"/>
  <cols>
    <col min="1" max="1" width="4.140625" style="34" bestFit="1" customWidth="1"/>
    <col min="2" max="2" width="40" style="34" customWidth="1"/>
    <col min="3" max="12" width="17.7109375" style="27" customWidth="1"/>
    <col min="13" max="18" width="15" style="27" customWidth="1"/>
    <col min="19" max="19" width="16.42578125" style="27" customWidth="1"/>
    <col min="20" max="20" width="14.85546875" style="27" customWidth="1"/>
    <col min="21" max="21" width="13.140625" style="27" customWidth="1"/>
    <col min="22" max="22" width="12.28515625" style="27" customWidth="1"/>
    <col min="23" max="23" width="8.42578125" style="27" bestFit="1" customWidth="1"/>
    <col min="24" max="25" width="8.42578125" style="27" customWidth="1"/>
    <col min="26" max="26" width="8.85546875" style="27" bestFit="1" customWidth="1"/>
    <col min="27" max="28" width="8.42578125" style="27" customWidth="1"/>
    <col min="29" max="29" width="8.85546875" style="27" bestFit="1" customWidth="1"/>
    <col min="30" max="31" width="8.42578125" style="27" customWidth="1"/>
    <col min="32" max="32" width="8.42578125" style="27" bestFit="1" customWidth="1"/>
    <col min="33" max="34" width="8.42578125" style="27" customWidth="1"/>
    <col min="35" max="35" width="8.42578125" style="27" bestFit="1" customWidth="1"/>
    <col min="36" max="37" width="8.42578125" style="27" customWidth="1"/>
    <col min="38" max="38" width="8.85546875" style="27" bestFit="1" customWidth="1"/>
    <col min="39" max="16384" width="9.140625" style="21"/>
  </cols>
  <sheetData>
    <row r="1" spans="1:47" ht="15" customHeight="1" x14ac:dyDescent="0.25">
      <c r="A1" s="656" t="s">
        <v>688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87"/>
      <c r="Q1" s="35"/>
      <c r="R1" s="35"/>
      <c r="S1" s="35"/>
      <c r="T1" s="35"/>
      <c r="U1" s="35"/>
      <c r="V1" s="35"/>
      <c r="W1" s="35"/>
      <c r="X1" s="35"/>
      <c r="Y1" s="35"/>
      <c r="Z1" s="35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7" ht="30.75" customHeight="1" x14ac:dyDescent="0.2">
      <c r="A2" s="688" t="s">
        <v>531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131"/>
      <c r="R2" s="131"/>
      <c r="S2" s="131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7" x14ac:dyDescent="0.25">
      <c r="A3" s="24"/>
      <c r="B3" s="25"/>
      <c r="C3" s="26"/>
      <c r="D3" s="26"/>
      <c r="E3" s="26"/>
      <c r="F3" s="26"/>
      <c r="G3" s="26"/>
      <c r="H3" s="26"/>
      <c r="I3" s="26"/>
      <c r="K3" s="26"/>
      <c r="L3" s="26"/>
      <c r="M3" s="26"/>
      <c r="O3" s="26"/>
      <c r="P3" s="26"/>
      <c r="R3" s="275" t="s">
        <v>316</v>
      </c>
      <c r="S3" s="26"/>
      <c r="T3" s="26"/>
      <c r="U3" s="26"/>
      <c r="V3" s="26"/>
      <c r="W3" s="26"/>
      <c r="X3" s="26"/>
      <c r="AM3" s="27"/>
      <c r="AN3" s="27"/>
      <c r="AO3" s="27"/>
      <c r="AP3" s="27"/>
      <c r="AQ3" s="27"/>
    </row>
    <row r="4" spans="1:47" ht="24.6" customHeight="1" thickBot="1" x14ac:dyDescent="0.3">
      <c r="A4" s="676" t="s">
        <v>27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U4" s="28"/>
      <c r="V4" s="28"/>
      <c r="W4" s="28"/>
      <c r="X4" s="28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7" ht="103.15" customHeight="1" thickBot="1" x14ac:dyDescent="0.3">
      <c r="A5" s="689" t="s">
        <v>29</v>
      </c>
      <c r="B5" s="689"/>
      <c r="C5" s="678" t="s">
        <v>30</v>
      </c>
      <c r="D5" s="679"/>
      <c r="E5" s="678" t="s">
        <v>31</v>
      </c>
      <c r="F5" s="679"/>
      <c r="G5" s="678" t="s">
        <v>32</v>
      </c>
      <c r="H5" s="679"/>
      <c r="I5" s="678" t="s">
        <v>450</v>
      </c>
      <c r="J5" s="679"/>
      <c r="K5" s="680" t="s">
        <v>237</v>
      </c>
      <c r="L5" s="681"/>
      <c r="M5" s="678" t="s">
        <v>218</v>
      </c>
      <c r="N5" s="679"/>
      <c r="O5" s="678" t="s">
        <v>370</v>
      </c>
      <c r="P5" s="679"/>
      <c r="Q5" s="678" t="s">
        <v>452</v>
      </c>
      <c r="R5" s="679"/>
      <c r="U5" s="29"/>
      <c r="V5" s="29"/>
      <c r="W5" s="29"/>
      <c r="X5" s="29"/>
      <c r="Y5" s="29"/>
      <c r="Z5" s="29"/>
      <c r="AA5" s="29"/>
      <c r="AB5" s="29"/>
      <c r="AC5" s="29"/>
      <c r="AD5" s="685"/>
      <c r="AE5" s="685"/>
      <c r="AF5" s="685"/>
      <c r="AG5" s="30"/>
      <c r="AH5" s="30"/>
      <c r="AI5" s="30"/>
      <c r="AJ5" s="21"/>
      <c r="AK5" s="21"/>
      <c r="AL5" s="21"/>
    </row>
    <row r="6" spans="1:47" ht="36" customHeight="1" thickBot="1" x14ac:dyDescent="0.3">
      <c r="A6" s="222" t="s">
        <v>36</v>
      </c>
      <c r="B6" s="223"/>
      <c r="C6" s="523" t="s">
        <v>37</v>
      </c>
      <c r="D6" s="460" t="s">
        <v>624</v>
      </c>
      <c r="E6" s="523" t="s">
        <v>37</v>
      </c>
      <c r="F6" s="460" t="s">
        <v>624</v>
      </c>
      <c r="G6" s="523" t="s">
        <v>37</v>
      </c>
      <c r="H6" s="460" t="s">
        <v>624</v>
      </c>
      <c r="I6" s="523" t="s">
        <v>37</v>
      </c>
      <c r="J6" s="460" t="s">
        <v>624</v>
      </c>
      <c r="K6" s="523" t="s">
        <v>37</v>
      </c>
      <c r="L6" s="460" t="s">
        <v>624</v>
      </c>
      <c r="M6" s="523" t="s">
        <v>37</v>
      </c>
      <c r="N6" s="460" t="s">
        <v>624</v>
      </c>
      <c r="O6" s="523" t="s">
        <v>37</v>
      </c>
      <c r="P6" s="460" t="s">
        <v>624</v>
      </c>
      <c r="Q6" s="523" t="s">
        <v>37</v>
      </c>
      <c r="R6" s="460" t="s">
        <v>624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1"/>
      <c r="AI6" s="21"/>
      <c r="AJ6" s="21"/>
      <c r="AK6" s="21"/>
      <c r="AL6" s="21"/>
    </row>
    <row r="7" spans="1:47" s="462" customFormat="1" ht="30" customHeight="1" thickBot="1" x14ac:dyDescent="0.3">
      <c r="A7" s="446" t="s">
        <v>38</v>
      </c>
      <c r="B7" s="461" t="s">
        <v>189</v>
      </c>
      <c r="C7" s="445">
        <f>+'5 b.sz.mell.'!D39</f>
        <v>30970000</v>
      </c>
      <c r="D7" s="445">
        <f>+'5 b.sz.mell.'!E39</f>
        <v>63873764</v>
      </c>
      <c r="E7" s="445">
        <f>+'5 b.sz.mell.'!P39</f>
        <v>79200000</v>
      </c>
      <c r="F7" s="445">
        <f>+'5 b.sz.mell.'!Q39</f>
        <v>93359115</v>
      </c>
      <c r="G7" s="445">
        <f>+'5 b.sz.mell.'!F39</f>
        <v>357804551</v>
      </c>
      <c r="H7" s="445">
        <f>+'5 b.sz.mell.'!G39</f>
        <v>356368178</v>
      </c>
      <c r="I7" s="447">
        <v>0</v>
      </c>
      <c r="J7" s="447">
        <v>0</v>
      </c>
      <c r="K7" s="464">
        <f>+'5 b.sz.mell.'!N39</f>
        <v>0</v>
      </c>
      <c r="L7" s="464">
        <f>+'5 b.sz.mell.'!O39</f>
        <v>0</v>
      </c>
      <c r="M7" s="445">
        <f>+'5 b.sz.mell.'!L39</f>
        <v>222081812</v>
      </c>
      <c r="N7" s="445">
        <f>+'5 b.sz.mell.'!M39</f>
        <v>237846622</v>
      </c>
      <c r="O7" s="459">
        <f t="shared" ref="O7:P11" si="0">+C7+E7+G7+I7+K7+M7</f>
        <v>690056363</v>
      </c>
      <c r="P7" s="459">
        <f t="shared" si="0"/>
        <v>751447679</v>
      </c>
      <c r="Q7" s="469">
        <f t="shared" ref="Q7:R11" si="1">+O7-K7</f>
        <v>690056363</v>
      </c>
      <c r="R7" s="469">
        <f t="shared" si="1"/>
        <v>751447679</v>
      </c>
      <c r="S7" s="27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31"/>
      <c r="AF7" s="31"/>
      <c r="AG7" s="31"/>
    </row>
    <row r="8" spans="1:47" s="462" customFormat="1" ht="30" customHeight="1" thickBot="1" x14ac:dyDescent="0.3">
      <c r="A8" s="446" t="s">
        <v>39</v>
      </c>
      <c r="B8" s="461" t="s">
        <v>40</v>
      </c>
      <c r="C8" s="445">
        <f>+'5 b.sz.mell.'!D44</f>
        <v>1100000</v>
      </c>
      <c r="D8" s="445">
        <f>+'5 b.sz.mell.'!E44</f>
        <v>1204913</v>
      </c>
      <c r="E8" s="445">
        <f>+'5 b.sz.mell.'!P44</f>
        <v>70000</v>
      </c>
      <c r="F8" s="445">
        <f>+'5 b.sz.mell.'!Q44</f>
        <v>70000</v>
      </c>
      <c r="G8" s="445">
        <f>+'5 b.sz.mell.'!F44</f>
        <v>1938774</v>
      </c>
      <c r="H8" s="445">
        <f>+'5 b.sz.mell.'!G44</f>
        <v>977813</v>
      </c>
      <c r="I8" s="447">
        <v>0</v>
      </c>
      <c r="J8" s="447">
        <v>0</v>
      </c>
      <c r="K8" s="464">
        <f>+'5 b.sz.mell.'!N44</f>
        <v>98457518</v>
      </c>
      <c r="L8" s="464">
        <f>+'5 b.sz.mell.'!O44</f>
        <v>99418479</v>
      </c>
      <c r="M8" s="445">
        <f>+'5 b.sz.mell.'!L44</f>
        <v>1129708</v>
      </c>
      <c r="N8" s="445">
        <f>+'5 b.sz.mell.'!M44</f>
        <v>1129708</v>
      </c>
      <c r="O8" s="459">
        <f t="shared" si="0"/>
        <v>102696000</v>
      </c>
      <c r="P8" s="459">
        <f t="shared" si="0"/>
        <v>102800913</v>
      </c>
      <c r="Q8" s="469">
        <f t="shared" si="1"/>
        <v>4238482</v>
      </c>
      <c r="R8" s="469">
        <f t="shared" si="1"/>
        <v>3382434</v>
      </c>
      <c r="S8" s="27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31"/>
      <c r="AF8" s="31"/>
      <c r="AG8" s="31"/>
    </row>
    <row r="9" spans="1:47" s="462" customFormat="1" ht="30" customHeight="1" thickBot="1" x14ac:dyDescent="0.3">
      <c r="A9" s="446" t="s">
        <v>41</v>
      </c>
      <c r="B9" s="461" t="s">
        <v>214</v>
      </c>
      <c r="C9" s="445">
        <f>+'5 b.sz.mell.'!D47</f>
        <v>150000</v>
      </c>
      <c r="D9" s="445">
        <f>+'5 b.sz.mell.'!E47</f>
        <v>150001</v>
      </c>
      <c r="E9" s="445">
        <f>+'5 b.sz.mell.'!P47</f>
        <v>0</v>
      </c>
      <c r="F9" s="445">
        <f>+'5 b.sz.mell.'!Q47</f>
        <v>0</v>
      </c>
      <c r="G9" s="445">
        <f>+'5 b.sz.mell.'!F47</f>
        <v>0</v>
      </c>
      <c r="H9" s="445">
        <f>+'5 b.sz.mell.'!G47</f>
        <v>2619780</v>
      </c>
      <c r="I9" s="447">
        <v>0</v>
      </c>
      <c r="J9" s="447">
        <v>0</v>
      </c>
      <c r="K9" s="464">
        <f>+'5 b.sz.mell.'!N47</f>
        <v>16645148</v>
      </c>
      <c r="L9" s="464">
        <f>+'5 b.sz.mell.'!O47</f>
        <v>16645148</v>
      </c>
      <c r="M9" s="445">
        <f>+'5 b.sz.mell.'!L47</f>
        <v>146107</v>
      </c>
      <c r="N9" s="445">
        <f>+'5 b.sz.mell.'!M47</f>
        <v>146107</v>
      </c>
      <c r="O9" s="459">
        <f t="shared" si="0"/>
        <v>16941255</v>
      </c>
      <c r="P9" s="459">
        <f t="shared" si="0"/>
        <v>19561036</v>
      </c>
      <c r="Q9" s="469">
        <f t="shared" si="1"/>
        <v>296107</v>
      </c>
      <c r="R9" s="469">
        <f t="shared" si="1"/>
        <v>2915888</v>
      </c>
      <c r="S9" s="27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1"/>
      <c r="AF9" s="31"/>
      <c r="AG9" s="31"/>
    </row>
    <row r="10" spans="1:47" s="462" customFormat="1" ht="30" customHeight="1" thickBot="1" x14ac:dyDescent="0.3">
      <c r="A10" s="446" t="s">
        <v>43</v>
      </c>
      <c r="B10" s="461" t="s">
        <v>215</v>
      </c>
      <c r="C10" s="445">
        <f>+'5 b.sz.mell.'!D51</f>
        <v>110000</v>
      </c>
      <c r="D10" s="445">
        <f>+'5 b.sz.mell.'!E51</f>
        <v>110001</v>
      </c>
      <c r="E10" s="445">
        <f>+'5 b.sz.mell.'!P51</f>
        <v>0</v>
      </c>
      <c r="F10" s="445">
        <f>+'5 b.sz.mell.'!Q51</f>
        <v>0</v>
      </c>
      <c r="G10" s="445">
        <f>+'5 b.sz.mell.'!F51</f>
        <v>2800000</v>
      </c>
      <c r="H10" s="445">
        <f>+'5 b.sz.mell.'!G51</f>
        <v>2800000</v>
      </c>
      <c r="I10" s="447">
        <v>0</v>
      </c>
      <c r="J10" s="447">
        <v>0</v>
      </c>
      <c r="K10" s="464">
        <f>+'5 b.sz.mell.'!N51</f>
        <v>3562176</v>
      </c>
      <c r="L10" s="464">
        <f>+'5 b.sz.mell.'!O51</f>
        <v>4188573</v>
      </c>
      <c r="M10" s="445">
        <f>+'5 b.sz.mell.'!L51</f>
        <v>300944</v>
      </c>
      <c r="N10" s="445">
        <f>+'5 b.sz.mell.'!M51</f>
        <v>300944</v>
      </c>
      <c r="O10" s="459">
        <f t="shared" si="0"/>
        <v>6773120</v>
      </c>
      <c r="P10" s="459">
        <f t="shared" si="0"/>
        <v>7399518</v>
      </c>
      <c r="Q10" s="469">
        <f t="shared" si="1"/>
        <v>3210944</v>
      </c>
      <c r="R10" s="469">
        <f t="shared" si="1"/>
        <v>3210945</v>
      </c>
      <c r="S10" s="27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1"/>
      <c r="AF10" s="31"/>
      <c r="AG10" s="31"/>
    </row>
    <row r="11" spans="1:47" s="462" customFormat="1" ht="30" customHeight="1" thickBot="1" x14ac:dyDescent="0.3">
      <c r="A11" s="446" t="s">
        <v>210</v>
      </c>
      <c r="B11" s="463" t="s">
        <v>219</v>
      </c>
      <c r="C11" s="445">
        <f>+'5 b.sz.mell.'!D61</f>
        <v>23120000</v>
      </c>
      <c r="D11" s="445">
        <f>+'5 b.sz.mell.'!E61</f>
        <v>23123322</v>
      </c>
      <c r="E11" s="445">
        <f>+'5 b.sz.mell.'!P61</f>
        <v>0</v>
      </c>
      <c r="F11" s="445">
        <f>+'5 b.sz.mell.'!Q61</f>
        <v>0</v>
      </c>
      <c r="G11" s="445">
        <f>+'5 b.sz.mell.'!F61</f>
        <v>2024525</v>
      </c>
      <c r="H11" s="445">
        <f>+'5 b.sz.mell.'!G61</f>
        <v>8376287</v>
      </c>
      <c r="I11" s="447">
        <v>0</v>
      </c>
      <c r="J11" s="447">
        <v>0</v>
      </c>
      <c r="K11" s="464">
        <f>+'5 b.sz.mell.'!N61</f>
        <v>100562722</v>
      </c>
      <c r="L11" s="464">
        <f>+'5 b.sz.mell.'!O61</f>
        <v>100562722</v>
      </c>
      <c r="M11" s="445">
        <f>+'5 b.sz.mell.'!L61</f>
        <v>1397501</v>
      </c>
      <c r="N11" s="445">
        <f>+'5 b.sz.mell.'!M61</f>
        <v>1397501</v>
      </c>
      <c r="O11" s="459">
        <f t="shared" si="0"/>
        <v>127104748</v>
      </c>
      <c r="P11" s="459">
        <f t="shared" si="0"/>
        <v>133459832</v>
      </c>
      <c r="Q11" s="469">
        <f t="shared" si="1"/>
        <v>26542026</v>
      </c>
      <c r="R11" s="469">
        <f t="shared" si="1"/>
        <v>32897110</v>
      </c>
      <c r="S11" s="27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1"/>
      <c r="AF11" s="31"/>
      <c r="AG11" s="31"/>
    </row>
    <row r="12" spans="1:47" s="462" customFormat="1" ht="36.75" customHeight="1" thickBot="1" x14ac:dyDescent="0.3">
      <c r="A12" s="686" t="s">
        <v>44</v>
      </c>
      <c r="B12" s="686"/>
      <c r="C12" s="444">
        <f t="shared" ref="C12:K12" si="2">SUM(C7:C11)</f>
        <v>55450000</v>
      </c>
      <c r="D12" s="444">
        <f t="shared" ref="D12" si="3">SUM(D7:D11)</f>
        <v>88462001</v>
      </c>
      <c r="E12" s="444">
        <f t="shared" si="2"/>
        <v>79270000</v>
      </c>
      <c r="F12" s="444">
        <f t="shared" ref="F12" si="4">SUM(F7:F11)</f>
        <v>93429115</v>
      </c>
      <c r="G12" s="444">
        <f t="shared" si="2"/>
        <v>364567850</v>
      </c>
      <c r="H12" s="444">
        <f t="shared" ref="H12" si="5">SUM(H7:H11)</f>
        <v>371142058</v>
      </c>
      <c r="I12" s="444">
        <f t="shared" si="2"/>
        <v>0</v>
      </c>
      <c r="J12" s="444">
        <f t="shared" ref="J12" si="6">SUM(J7:J11)</f>
        <v>0</v>
      </c>
      <c r="K12" s="444">
        <f t="shared" si="2"/>
        <v>219227564</v>
      </c>
      <c r="L12" s="444">
        <f t="shared" ref="L12" si="7">SUM(L7:L11)</f>
        <v>220814922</v>
      </c>
      <c r="M12" s="444">
        <f t="shared" ref="M12:R12" si="8">SUM(M7:M11)</f>
        <v>225056072</v>
      </c>
      <c r="N12" s="444">
        <f t="shared" si="8"/>
        <v>240820882</v>
      </c>
      <c r="O12" s="459">
        <f t="shared" si="8"/>
        <v>943571486</v>
      </c>
      <c r="P12" s="459">
        <f t="shared" si="8"/>
        <v>1014668978</v>
      </c>
      <c r="Q12" s="469">
        <f t="shared" si="8"/>
        <v>724343922</v>
      </c>
      <c r="R12" s="469">
        <f t="shared" si="8"/>
        <v>793854056</v>
      </c>
      <c r="S12" s="27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spans="1:47" x14ac:dyDescent="0.25">
      <c r="AM13" s="27"/>
      <c r="AN13" s="27"/>
      <c r="AO13" s="27"/>
      <c r="AP13" s="27"/>
      <c r="AQ13" s="27"/>
      <c r="AR13" s="27"/>
      <c r="AS13" s="27"/>
      <c r="AT13" s="27"/>
      <c r="AU13" s="27"/>
    </row>
    <row r="14" spans="1:47" hidden="1" x14ac:dyDescent="0.25">
      <c r="E14" s="27">
        <f>+'5 b.sz.mell.'!D62</f>
        <v>55450000</v>
      </c>
      <c r="F14" s="27">
        <f>+'5 b.sz.mell.'!E62</f>
        <v>88462001</v>
      </c>
      <c r="I14" s="27">
        <f>+'5 b.sz.mell.'!P62</f>
        <v>79270000</v>
      </c>
      <c r="J14" s="27">
        <f>+'5 b.sz.mell.'!Q62</f>
        <v>93429115</v>
      </c>
      <c r="M14" s="27">
        <f>+'5 b.sz.mell.'!F62</f>
        <v>364567850</v>
      </c>
      <c r="N14" s="27">
        <f>+'5 b.sz.mell.'!G62</f>
        <v>371142058</v>
      </c>
      <c r="T14" s="27">
        <f>+'5 b.sz.mell.'!R62-'5 b.sz.mell.'!H62</f>
        <v>943571486</v>
      </c>
      <c r="V14" s="27">
        <f>+'5 b.sz.mell.'!R62-'5 b.sz.mell.'!H62-'5 b.sz.mell.'!N62</f>
        <v>724343922</v>
      </c>
      <c r="AM14" s="27"/>
      <c r="AN14" s="27"/>
      <c r="AO14" s="27"/>
      <c r="AP14" s="27"/>
      <c r="AQ14" s="27"/>
      <c r="AR14" s="27"/>
      <c r="AS14" s="27"/>
      <c r="AT14" s="27"/>
      <c r="AU14" s="27"/>
    </row>
    <row r="15" spans="1:47" x14ac:dyDescent="0.25">
      <c r="C15" s="27">
        <f>+'5 b.sz.mell.'!D62</f>
        <v>55450000</v>
      </c>
      <c r="D15" s="27">
        <f>+'5 b.sz.mell.'!E62</f>
        <v>88462001</v>
      </c>
      <c r="E15" s="27">
        <f>+'5 b.sz.mell.'!P62</f>
        <v>79270000</v>
      </c>
      <c r="F15" s="27">
        <f>+'5 b.sz.mell.'!Q62</f>
        <v>93429115</v>
      </c>
      <c r="G15" s="27">
        <f>+'5 b.sz.mell.'!F62</f>
        <v>364567850</v>
      </c>
      <c r="H15" s="27">
        <f>+'5 b.sz.mell.'!G62</f>
        <v>371142058</v>
      </c>
      <c r="I15" s="27">
        <v>0</v>
      </c>
      <c r="J15" s="27">
        <v>0</v>
      </c>
      <c r="K15" s="27">
        <f>+'5 b.sz.mell.'!N62</f>
        <v>219227564</v>
      </c>
      <c r="L15" s="27">
        <f>+'5 b.sz.mell.'!O62</f>
        <v>220814922</v>
      </c>
      <c r="M15" s="27">
        <f>+'5 b.sz.mell.'!L62</f>
        <v>225056072</v>
      </c>
      <c r="N15" s="27">
        <f>+'5 b.sz.mell.'!M62</f>
        <v>240820882</v>
      </c>
      <c r="O15" s="27">
        <f>+'5 b.sz.mell.'!R62-'5 b.sz.mell.'!H62</f>
        <v>943571486</v>
      </c>
      <c r="P15" s="27">
        <f>+'5 b.sz.mell.'!S62-'5 b.sz.mell.'!I62</f>
        <v>1015788663</v>
      </c>
      <c r="Q15" s="27">
        <f>+'5 b.sz.mell.'!L64-'5 b.sz.mell.'!H62</f>
        <v>724343922</v>
      </c>
      <c r="R15" s="27">
        <f>+'5 b.sz.mell.'!M64-'5 b.sz.mell.'!I62-'5 b.sz.mell.'!K62</f>
        <v>-455011879</v>
      </c>
      <c r="S15" s="27" t="s">
        <v>651</v>
      </c>
      <c r="AM15" s="27"/>
      <c r="AN15" s="27"/>
      <c r="AO15" s="27"/>
      <c r="AP15" s="27"/>
      <c r="AQ15" s="27"/>
      <c r="AR15" s="27"/>
      <c r="AS15" s="27"/>
      <c r="AT15" s="27"/>
      <c r="AU15" s="27"/>
    </row>
    <row r="16" spans="1:47" x14ac:dyDescent="0.25">
      <c r="AM16" s="27"/>
      <c r="AN16" s="27"/>
    </row>
    <row r="17" spans="1:54" ht="15.75" customHeight="1" thickBot="1" x14ac:dyDescent="0.3">
      <c r="A17" s="676" t="s">
        <v>28</v>
      </c>
      <c r="B17" s="677"/>
      <c r="C17" s="677"/>
      <c r="D17" s="677"/>
      <c r="E17" s="677"/>
      <c r="F17" s="677"/>
      <c r="G17" s="677"/>
      <c r="H17" s="677"/>
      <c r="I17" s="677"/>
      <c r="J17" s="677"/>
      <c r="K17" s="677"/>
      <c r="L17" s="677"/>
      <c r="M17" s="690"/>
      <c r="N17" s="690"/>
      <c r="O17" s="690"/>
      <c r="P17" s="690"/>
      <c r="Q17" s="690"/>
      <c r="R17" s="690"/>
      <c r="S17" s="690"/>
      <c r="T17" s="690"/>
      <c r="AM17" s="27"/>
      <c r="AN17" s="27"/>
      <c r="AO17" s="27"/>
      <c r="AP17" s="27"/>
      <c r="AQ17" s="27"/>
    </row>
    <row r="18" spans="1:54" ht="99.95" customHeight="1" thickBot="1" x14ac:dyDescent="0.3">
      <c r="A18" s="683" t="s">
        <v>29</v>
      </c>
      <c r="B18" s="684"/>
      <c r="C18" s="678" t="s">
        <v>279</v>
      </c>
      <c r="D18" s="679"/>
      <c r="E18" s="678" t="s">
        <v>216</v>
      </c>
      <c r="F18" s="679"/>
      <c r="G18" s="678" t="s">
        <v>217</v>
      </c>
      <c r="H18" s="679"/>
      <c r="I18" s="678" t="s">
        <v>33</v>
      </c>
      <c r="J18" s="679"/>
      <c r="K18" s="680" t="s">
        <v>238</v>
      </c>
      <c r="L18" s="681"/>
      <c r="M18" s="678" t="s">
        <v>34</v>
      </c>
      <c r="N18" s="679"/>
      <c r="O18" s="678" t="s">
        <v>451</v>
      </c>
      <c r="P18" s="679"/>
      <c r="Q18" s="678" t="s">
        <v>318</v>
      </c>
      <c r="R18" s="679"/>
      <c r="S18" s="678" t="s">
        <v>35</v>
      </c>
      <c r="T18" s="679"/>
      <c r="U18" s="678" t="s">
        <v>240</v>
      </c>
      <c r="V18" s="679"/>
      <c r="W18" s="32"/>
      <c r="X18" s="32"/>
      <c r="Y18" s="32"/>
      <c r="Z18" s="32"/>
      <c r="AA18" s="32"/>
      <c r="AB18" s="32"/>
      <c r="AC18" s="32"/>
      <c r="AM18" s="27"/>
      <c r="AN18" s="27"/>
      <c r="AO18" s="27"/>
      <c r="AP18" s="27"/>
      <c r="AQ18" s="27"/>
      <c r="AR18" s="27"/>
      <c r="AS18" s="27"/>
      <c r="AT18" s="27"/>
    </row>
    <row r="19" spans="1:54" ht="26.25" thickBot="1" x14ac:dyDescent="0.3">
      <c r="A19" s="222" t="s">
        <v>36</v>
      </c>
      <c r="B19" s="223"/>
      <c r="C19" s="460" t="s">
        <v>239</v>
      </c>
      <c r="D19" s="460" t="s">
        <v>624</v>
      </c>
      <c r="E19" s="460" t="s">
        <v>239</v>
      </c>
      <c r="F19" s="460" t="s">
        <v>624</v>
      </c>
      <c r="G19" s="460" t="s">
        <v>239</v>
      </c>
      <c r="H19" s="460" t="s">
        <v>624</v>
      </c>
      <c r="I19" s="460" t="s">
        <v>239</v>
      </c>
      <c r="J19" s="460" t="s">
        <v>624</v>
      </c>
      <c r="K19" s="460" t="s">
        <v>239</v>
      </c>
      <c r="L19" s="460" t="s">
        <v>624</v>
      </c>
      <c r="M19" s="460" t="s">
        <v>239</v>
      </c>
      <c r="N19" s="460" t="s">
        <v>624</v>
      </c>
      <c r="O19" s="460" t="s">
        <v>239</v>
      </c>
      <c r="P19" s="460" t="s">
        <v>624</v>
      </c>
      <c r="Q19" s="460" t="s">
        <v>239</v>
      </c>
      <c r="R19" s="460" t="s">
        <v>624</v>
      </c>
      <c r="S19" s="460" t="s">
        <v>239</v>
      </c>
      <c r="T19" s="460" t="s">
        <v>624</v>
      </c>
      <c r="U19" s="460" t="s">
        <v>239</v>
      </c>
      <c r="V19" s="460" t="s">
        <v>239</v>
      </c>
      <c r="AM19" s="27"/>
      <c r="AN19" s="27"/>
      <c r="AO19" s="27"/>
      <c r="AP19" s="27"/>
      <c r="AQ19" s="27"/>
      <c r="AR19" s="27"/>
      <c r="AS19" s="27"/>
      <c r="AT19" s="27"/>
    </row>
    <row r="20" spans="1:54" ht="30" customHeight="1" thickBot="1" x14ac:dyDescent="0.3">
      <c r="A20" s="224" t="s">
        <v>38</v>
      </c>
      <c r="B20" s="225" t="s">
        <v>189</v>
      </c>
      <c r="C20" s="445">
        <f>+'5.a sz.mell.'!D45</f>
        <v>85892556</v>
      </c>
      <c r="D20" s="445">
        <f>+'5.a sz.mell.'!E45</f>
        <v>109323390</v>
      </c>
      <c r="E20" s="465">
        <f>+'5.a sz.mell.'!F45</f>
        <v>14003768</v>
      </c>
      <c r="F20" s="465">
        <f>+'5.a sz.mell.'!G45</f>
        <v>16572864</v>
      </c>
      <c r="G20" s="465">
        <f>+'5.a sz.mell.'!H45</f>
        <v>108751841</v>
      </c>
      <c r="H20" s="465">
        <f>+'5.a sz.mell.'!I45</f>
        <v>182385917</v>
      </c>
      <c r="I20" s="465">
        <f>+'5.a sz.mell.'!L45</f>
        <v>95507898</v>
      </c>
      <c r="J20" s="465">
        <f>+'5.a sz.mell.'!M45</f>
        <v>102720761</v>
      </c>
      <c r="K20" s="466">
        <f>+'5 b.sz.mell.'!N62</f>
        <v>219227564</v>
      </c>
      <c r="L20" s="466">
        <f>+'5 b.sz.mell.'!O62</f>
        <v>220814922</v>
      </c>
      <c r="M20" s="465">
        <f>+'5.a sz.mell.'!N69</f>
        <v>3147000</v>
      </c>
      <c r="N20" s="465">
        <f>+'5.a sz.mell.'!O69+'5.a sz.mell.'!K69</f>
        <v>3264120</v>
      </c>
      <c r="O20" s="468">
        <f>+'5.a sz.mell.'!T45</f>
        <v>0</v>
      </c>
      <c r="P20" s="468">
        <f>+'5.a sz.mell.'!U45</f>
        <v>0</v>
      </c>
      <c r="Q20" s="465">
        <f>+'5.a sz.mell.'!R69</f>
        <v>10751039</v>
      </c>
      <c r="R20" s="465">
        <f>+'5.a sz.mell.'!S69</f>
        <v>10997076</v>
      </c>
      <c r="S20" s="467">
        <f t="shared" ref="S20:T25" si="9">+Q20+M20+K20+I20+G20+E20+C20+O20</f>
        <v>537281666</v>
      </c>
      <c r="T20" s="467">
        <f t="shared" si="9"/>
        <v>646079050</v>
      </c>
      <c r="U20" s="467">
        <f t="shared" ref="U20:V25" si="10">+S20-K20</f>
        <v>318054102</v>
      </c>
      <c r="V20" s="467">
        <f t="shared" si="10"/>
        <v>425264128</v>
      </c>
      <c r="AM20" s="27"/>
      <c r="AN20" s="27"/>
      <c r="AO20" s="27"/>
      <c r="AP20" s="27"/>
      <c r="AQ20" s="27"/>
      <c r="AR20" s="27"/>
      <c r="AS20" s="27"/>
      <c r="AT20" s="27"/>
    </row>
    <row r="21" spans="1:54" ht="30" customHeight="1" thickBot="1" x14ac:dyDescent="0.3">
      <c r="A21" s="224" t="s">
        <v>39</v>
      </c>
      <c r="B21" s="225" t="s">
        <v>40</v>
      </c>
      <c r="C21" s="445">
        <f>+'5.a sz.mell.'!D49</f>
        <v>75004000</v>
      </c>
      <c r="D21" s="445">
        <f>+'5.a sz.mell.'!E49</f>
        <v>75872645</v>
      </c>
      <c r="E21" s="465">
        <f>+'5.a sz.mell.'!F49</f>
        <v>13211000</v>
      </c>
      <c r="F21" s="465">
        <f>+'5.a sz.mell.'!G49</f>
        <v>12665743</v>
      </c>
      <c r="G21" s="465">
        <f>+'5.a sz.mell.'!H49</f>
        <v>14100000</v>
      </c>
      <c r="H21" s="465">
        <f>+'5.a sz.mell.'!I49</f>
        <v>13755607</v>
      </c>
      <c r="I21" s="465">
        <f>+'5.a sz.mell.'!L49</f>
        <v>0</v>
      </c>
      <c r="J21" s="465">
        <f>+'5.a sz.mell.'!M49</f>
        <v>0</v>
      </c>
      <c r="K21" s="466"/>
      <c r="L21" s="466"/>
      <c r="M21" s="465">
        <v>0</v>
      </c>
      <c r="N21" s="465">
        <v>0</v>
      </c>
      <c r="O21" s="465">
        <f>+'5.a sz.mell.'!T49</f>
        <v>0</v>
      </c>
      <c r="P21" s="465">
        <f>+'5.a sz.mell.'!U49</f>
        <v>0</v>
      </c>
      <c r="Q21" s="465">
        <v>0</v>
      </c>
      <c r="R21" s="465">
        <v>0</v>
      </c>
      <c r="S21" s="467">
        <f t="shared" si="9"/>
        <v>102315000</v>
      </c>
      <c r="T21" s="467">
        <f t="shared" si="9"/>
        <v>102293995</v>
      </c>
      <c r="U21" s="467">
        <f t="shared" si="10"/>
        <v>102315000</v>
      </c>
      <c r="V21" s="467">
        <f t="shared" si="10"/>
        <v>102293995</v>
      </c>
      <c r="AM21" s="27"/>
      <c r="AN21" s="27"/>
      <c r="AO21" s="27"/>
      <c r="AP21" s="27"/>
      <c r="AQ21" s="27"/>
      <c r="AR21" s="27"/>
      <c r="AS21" s="27"/>
      <c r="AT21" s="27"/>
    </row>
    <row r="22" spans="1:54" ht="30" customHeight="1" thickBot="1" x14ac:dyDescent="0.3">
      <c r="A22" s="224" t="s">
        <v>41</v>
      </c>
      <c r="B22" s="225" t="s">
        <v>42</v>
      </c>
      <c r="C22" s="445">
        <f>+'5.a sz.mell.'!D54</f>
        <v>6786600</v>
      </c>
      <c r="D22" s="445">
        <f>+'5.a sz.mell.'!E54</f>
        <v>9442151</v>
      </c>
      <c r="E22" s="465">
        <f>+'5.a sz.mell.'!F54</f>
        <v>1019655</v>
      </c>
      <c r="F22" s="465">
        <f>+'5.a sz.mell.'!G54</f>
        <v>1466534</v>
      </c>
      <c r="G22" s="465">
        <f>+'5.a sz.mell.'!H54</f>
        <v>9015000</v>
      </c>
      <c r="H22" s="465">
        <f>+'5.a sz.mell.'!I54</f>
        <v>8259301</v>
      </c>
      <c r="I22" s="465">
        <f>+'5.a sz.mell.'!L54</f>
        <v>120000</v>
      </c>
      <c r="J22" s="465">
        <f>+'5.a sz.mell.'!M54</f>
        <v>120000</v>
      </c>
      <c r="K22" s="466"/>
      <c r="L22" s="466"/>
      <c r="M22" s="465">
        <v>0</v>
      </c>
      <c r="N22" s="465">
        <v>0</v>
      </c>
      <c r="O22" s="465">
        <f>+'5.a sz.mell.'!T54</f>
        <v>0</v>
      </c>
      <c r="P22" s="465">
        <f>+'5.a sz.mell.'!U54</f>
        <v>0</v>
      </c>
      <c r="Q22" s="465">
        <v>0</v>
      </c>
      <c r="R22" s="465">
        <v>0</v>
      </c>
      <c r="S22" s="467">
        <f t="shared" si="9"/>
        <v>16941255</v>
      </c>
      <c r="T22" s="467">
        <f t="shared" si="9"/>
        <v>19287986</v>
      </c>
      <c r="U22" s="467">
        <f t="shared" si="10"/>
        <v>16941255</v>
      </c>
      <c r="V22" s="467">
        <f t="shared" si="10"/>
        <v>19287986</v>
      </c>
      <c r="AM22" s="27"/>
      <c r="AN22" s="27"/>
      <c r="AO22" s="27"/>
      <c r="AP22" s="27"/>
      <c r="AQ22" s="27"/>
      <c r="AR22" s="27"/>
      <c r="AS22" s="27"/>
      <c r="AT22" s="27"/>
    </row>
    <row r="23" spans="1:54" ht="30" customHeight="1" thickBot="1" x14ac:dyDescent="0.3">
      <c r="A23" s="224" t="s">
        <v>43</v>
      </c>
      <c r="B23" s="225" t="s">
        <v>215</v>
      </c>
      <c r="C23" s="445">
        <f>+'5.a sz.mell.'!D57</f>
        <v>3642400</v>
      </c>
      <c r="D23" s="445">
        <f>+'5.a sz.mell.'!E57</f>
        <v>4304887</v>
      </c>
      <c r="E23" s="465">
        <f>+'5.a sz.mell.'!F57</f>
        <v>619920</v>
      </c>
      <c r="F23" s="465">
        <f>+'5.a sz.mell.'!G57</f>
        <v>602020</v>
      </c>
      <c r="G23" s="465">
        <f>+'5.a sz.mell.'!H57</f>
        <v>2460000</v>
      </c>
      <c r="H23" s="465">
        <f>+'5.a sz.mell.'!I57</f>
        <v>2441811</v>
      </c>
      <c r="I23" s="465">
        <v>0</v>
      </c>
      <c r="J23" s="465">
        <v>0</v>
      </c>
      <c r="K23" s="466"/>
      <c r="L23" s="466"/>
      <c r="M23" s="465">
        <v>0</v>
      </c>
      <c r="N23" s="465">
        <v>0</v>
      </c>
      <c r="O23" s="465">
        <f>+'5.a sz.mell.'!T57</f>
        <v>0</v>
      </c>
      <c r="P23" s="465">
        <f>+'5.a sz.mell.'!U57</f>
        <v>0</v>
      </c>
      <c r="Q23" s="465">
        <v>0</v>
      </c>
      <c r="R23" s="465">
        <v>0</v>
      </c>
      <c r="S23" s="467">
        <f t="shared" si="9"/>
        <v>6722320</v>
      </c>
      <c r="T23" s="467">
        <f t="shared" si="9"/>
        <v>7348718</v>
      </c>
      <c r="U23" s="467">
        <f t="shared" si="10"/>
        <v>6722320</v>
      </c>
      <c r="V23" s="467">
        <f t="shared" si="10"/>
        <v>7348718</v>
      </c>
      <c r="AM23" s="27"/>
      <c r="AN23" s="27"/>
      <c r="AO23" s="27"/>
      <c r="AP23" s="27"/>
      <c r="AQ23" s="27"/>
      <c r="AR23" s="27"/>
      <c r="AS23" s="27"/>
      <c r="AT23" s="27"/>
    </row>
    <row r="24" spans="1:54" ht="30" customHeight="1" thickBot="1" x14ac:dyDescent="0.3">
      <c r="A24" s="224" t="s">
        <v>210</v>
      </c>
      <c r="B24" s="226" t="s">
        <v>219</v>
      </c>
      <c r="C24" s="445">
        <f>+'5.a sz.mell.'!D68</f>
        <v>51674254</v>
      </c>
      <c r="D24" s="445">
        <f>+'5.a sz.mell.'!E68</f>
        <v>58111311</v>
      </c>
      <c r="E24" s="465">
        <f>+'5.a sz.mell.'!F68</f>
        <v>8920494</v>
      </c>
      <c r="F24" s="465">
        <f>+'5.a sz.mell.'!G68</f>
        <v>9676617</v>
      </c>
      <c r="G24" s="465">
        <f>+'5.a sz.mell.'!H68</f>
        <v>66100000</v>
      </c>
      <c r="H24" s="465">
        <f>+'5.a sz.mell.'!I68</f>
        <v>65142820</v>
      </c>
      <c r="I24" s="465">
        <v>0</v>
      </c>
      <c r="J24" s="465">
        <v>0</v>
      </c>
      <c r="K24" s="466"/>
      <c r="L24" s="466"/>
      <c r="M24" s="465">
        <v>0</v>
      </c>
      <c r="N24" s="465">
        <v>0</v>
      </c>
      <c r="O24" s="465">
        <f>+'5.a sz.mell.'!T68</f>
        <v>0</v>
      </c>
      <c r="P24" s="465">
        <f>+'5.a sz.mell.'!U68</f>
        <v>0</v>
      </c>
      <c r="Q24" s="465">
        <v>0</v>
      </c>
      <c r="R24" s="465">
        <v>0</v>
      </c>
      <c r="S24" s="467">
        <f t="shared" si="9"/>
        <v>126694748</v>
      </c>
      <c r="T24" s="467">
        <f t="shared" si="9"/>
        <v>132930748</v>
      </c>
      <c r="U24" s="467">
        <f t="shared" si="10"/>
        <v>126694748</v>
      </c>
      <c r="V24" s="467">
        <f t="shared" si="10"/>
        <v>132930748</v>
      </c>
      <c r="AM24" s="27"/>
      <c r="AN24" s="27"/>
      <c r="AO24" s="27"/>
      <c r="AP24" s="27"/>
      <c r="AQ24" s="27"/>
      <c r="AR24" s="27"/>
      <c r="AS24" s="27"/>
      <c r="AT24" s="27"/>
    </row>
    <row r="25" spans="1:54" ht="15.75" thickBot="1" x14ac:dyDescent="0.3">
      <c r="A25" s="682" t="s">
        <v>44</v>
      </c>
      <c r="B25" s="682"/>
      <c r="C25" s="444">
        <f>SUM(C20:C24)</f>
        <v>222999810</v>
      </c>
      <c r="D25" s="444">
        <f>SUM(D20:D24)</f>
        <v>257054384</v>
      </c>
      <c r="E25" s="468">
        <f>SUM(E20:E24)</f>
        <v>37774837</v>
      </c>
      <c r="F25" s="468">
        <f>SUM(F20:F24)</f>
        <v>40983778</v>
      </c>
      <c r="G25" s="468">
        <f t="shared" ref="G25:H25" si="11">SUM(G20:G24)</f>
        <v>200426841</v>
      </c>
      <c r="H25" s="468">
        <f t="shared" si="11"/>
        <v>271985456</v>
      </c>
      <c r="I25" s="468">
        <f t="shared" ref="I25:J25" si="12">SUM(I20:I24)</f>
        <v>95627898</v>
      </c>
      <c r="J25" s="468">
        <f t="shared" si="12"/>
        <v>102840761</v>
      </c>
      <c r="K25" s="468">
        <f t="shared" ref="K25:L25" si="13">SUM(K20:K24)</f>
        <v>219227564</v>
      </c>
      <c r="L25" s="468">
        <f t="shared" si="13"/>
        <v>220814922</v>
      </c>
      <c r="M25" s="468">
        <f t="shared" ref="M25:Q25" si="14">SUM(M20:M24)</f>
        <v>3147000</v>
      </c>
      <c r="N25" s="468">
        <f t="shared" ref="N25" si="15">SUM(N20:N24)</f>
        <v>3264120</v>
      </c>
      <c r="O25" s="468">
        <f t="shared" si="14"/>
        <v>0</v>
      </c>
      <c r="P25" s="468">
        <f t="shared" ref="P25" si="16">SUM(P20:P24)</f>
        <v>0</v>
      </c>
      <c r="Q25" s="468">
        <f t="shared" si="14"/>
        <v>10751039</v>
      </c>
      <c r="R25" s="468">
        <f t="shared" ref="R25" si="17">SUM(R20:R24)</f>
        <v>10997076</v>
      </c>
      <c r="S25" s="467">
        <f t="shared" si="9"/>
        <v>789954989</v>
      </c>
      <c r="T25" s="467">
        <f t="shared" si="9"/>
        <v>907940497</v>
      </c>
      <c r="U25" s="467">
        <f t="shared" si="10"/>
        <v>570727425</v>
      </c>
      <c r="V25" s="467">
        <f t="shared" si="10"/>
        <v>687125575</v>
      </c>
      <c r="AM25" s="27"/>
      <c r="AN25" s="27"/>
      <c r="AO25" s="27"/>
      <c r="AP25" s="27"/>
      <c r="AQ25" s="27"/>
      <c r="AR25" s="27"/>
      <c r="AS25" s="27"/>
      <c r="AT25" s="27"/>
    </row>
    <row r="26" spans="1:54" x14ac:dyDescent="0.25"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</row>
    <row r="27" spans="1:54" x14ac:dyDescent="0.25">
      <c r="C27" s="27">
        <f>+'5.a sz.mell.'!D69</f>
        <v>222999810</v>
      </c>
      <c r="D27" s="27">
        <f>+'5.a sz.mell.'!E69</f>
        <v>257054384</v>
      </c>
      <c r="E27" s="27">
        <f>+'5.a sz.mell.'!F69</f>
        <v>37774837</v>
      </c>
      <c r="F27" s="27">
        <f>+'5.a sz.mell.'!G69</f>
        <v>40983778</v>
      </c>
      <c r="G27" s="27">
        <f>+'5.a sz.mell.'!H69</f>
        <v>200426841</v>
      </c>
      <c r="H27" s="27">
        <f>+'5.a sz.mell.'!I69</f>
        <v>271985456</v>
      </c>
      <c r="I27" s="27">
        <f>+'5.a sz.mell.'!L69</f>
        <v>95627898</v>
      </c>
      <c r="J27" s="27">
        <f>+'5.a sz.mell.'!M69</f>
        <v>102840761</v>
      </c>
      <c r="K27" s="27">
        <f>+'5 b.sz.mell.'!N62</f>
        <v>219227564</v>
      </c>
      <c r="L27" s="27">
        <f>+'5 b.sz.mell.'!O62</f>
        <v>220814922</v>
      </c>
      <c r="M27" s="27">
        <f>+'5.a sz.mell.'!N69</f>
        <v>3147000</v>
      </c>
      <c r="N27" s="27">
        <f>+'5.a sz.mell.'!O69</f>
        <v>3147000</v>
      </c>
      <c r="O27" s="27">
        <f>+'5.a sz.mell.'!T69</f>
        <v>0</v>
      </c>
      <c r="P27" s="27">
        <f>+'5.a sz.mell.'!U69</f>
        <v>0</v>
      </c>
      <c r="Q27" s="27">
        <f>+'5.a sz.mell.'!R69</f>
        <v>10751039</v>
      </c>
      <c r="R27" s="27">
        <f>+'5.a sz.mell.'!S69</f>
        <v>10997076</v>
      </c>
      <c r="S27" s="27">
        <f>+'5.a sz.mell.'!Z69-'5.a sz.mell.'!P69-'5.a sz.mell.'!V69</f>
        <v>617147483</v>
      </c>
      <c r="T27" s="27">
        <f>+'5.a sz.mell.'!AA69-'5.a sz.mell.'!Q69-'5.a sz.mell.'!W69</f>
        <v>877588416</v>
      </c>
      <c r="U27" s="27">
        <f>+'5.a sz.mell.'!Z69-'5.a sz.mell.'!X69-'5.a sz.mell.'!V69-'5.a sz.mell.'!P69</f>
        <v>570727425</v>
      </c>
      <c r="V27" s="27">
        <f>+'5.a sz.mell.'!AA69-'5.a sz.mell.'!Y69-'5.a sz.mell.'!W69-'5.a sz.mell.'!Q69</f>
        <v>687125575</v>
      </c>
      <c r="AM27" s="27"/>
      <c r="AN27" s="27"/>
      <c r="AO27" s="27"/>
      <c r="AP27" s="27"/>
    </row>
    <row r="28" spans="1:54" x14ac:dyDescent="0.25">
      <c r="Q28" s="524" t="s">
        <v>494</v>
      </c>
      <c r="R28" s="524"/>
      <c r="S28" s="524" t="s">
        <v>494</v>
      </c>
      <c r="T28" s="524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spans="1:54" x14ac:dyDescent="0.25">
      <c r="AM29" s="27"/>
    </row>
  </sheetData>
  <mergeCells count="27">
    <mergeCell ref="A25:B25"/>
    <mergeCell ref="A18:B18"/>
    <mergeCell ref="AD5:AF5"/>
    <mergeCell ref="A12:B12"/>
    <mergeCell ref="A1:P1"/>
    <mergeCell ref="A2:P2"/>
    <mergeCell ref="A5:B5"/>
    <mergeCell ref="A17:T17"/>
    <mergeCell ref="K5:L5"/>
    <mergeCell ref="I5:J5"/>
    <mergeCell ref="G5:H5"/>
    <mergeCell ref="E5:F5"/>
    <mergeCell ref="C5:D5"/>
    <mergeCell ref="C18:D18"/>
    <mergeCell ref="G18:H18"/>
    <mergeCell ref="U18:V18"/>
    <mergeCell ref="A4:R4"/>
    <mergeCell ref="O5:P5"/>
    <mergeCell ref="M5:N5"/>
    <mergeCell ref="Q5:R5"/>
    <mergeCell ref="S18:T18"/>
    <mergeCell ref="Q18:R18"/>
    <mergeCell ref="E18:F18"/>
    <mergeCell ref="K18:L18"/>
    <mergeCell ref="I18:J18"/>
    <mergeCell ref="O18:P18"/>
    <mergeCell ref="M18:N18"/>
  </mergeCells>
  <phoneticPr fontId="0" type="noConversion"/>
  <pageMargins left="0.25" right="0.25" top="0.75" bottom="0.75" header="0.3" footer="0.3"/>
  <pageSetup paperSize="8" scale="5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7AC5-B7B6-41AA-81C1-B9D7A000679F}">
  <sheetPr>
    <tabColor rgb="FFFF99FF"/>
    <pageSetUpPr fitToPage="1"/>
  </sheetPr>
  <dimension ref="A1:AG74"/>
  <sheetViews>
    <sheetView zoomScale="70" zoomScaleNormal="70" workbookViewId="0">
      <pane xSplit="2" ySplit="5" topLeftCell="J9" activePane="bottomRight" state="frozen"/>
      <selection activeCell="C98" sqref="C98"/>
      <selection pane="topRight" activeCell="C98" sqref="C98"/>
      <selection pane="bottomLeft" activeCell="C98" sqref="C98"/>
      <selection pane="bottomRight" activeCell="R1" sqref="R1:S1048576"/>
    </sheetView>
  </sheetViews>
  <sheetFormatPr defaultColWidth="8.85546875" defaultRowHeight="12.75" x14ac:dyDescent="0.2"/>
  <cols>
    <col min="1" max="1" width="8.28515625" style="592" customWidth="1"/>
    <col min="2" max="2" width="12.140625" style="592" customWidth="1"/>
    <col min="3" max="3" width="45.28515625" style="592" customWidth="1"/>
    <col min="4" max="4" width="16" style="592" customWidth="1"/>
    <col min="5" max="5" width="15.42578125" style="592" customWidth="1"/>
    <col min="6" max="6" width="15.28515625" style="592" customWidth="1"/>
    <col min="7" max="7" width="14.85546875" style="592" customWidth="1"/>
    <col min="8" max="8" width="16.85546875" style="592" customWidth="1"/>
    <col min="9" max="11" width="14.85546875" style="592" customWidth="1"/>
    <col min="12" max="13" width="18.28515625" style="592" customWidth="1"/>
    <col min="14" max="15" width="17" style="603" customWidth="1"/>
    <col min="16" max="16" width="18" style="592" customWidth="1"/>
    <col min="17" max="17" width="18.28515625" style="592" customWidth="1"/>
    <col min="18" max="19" width="17.140625" style="592" customWidth="1"/>
    <col min="20" max="21" width="14.42578125" style="592" customWidth="1"/>
    <col min="22" max="22" width="15.5703125" style="592" customWidth="1"/>
    <col min="23" max="23" width="15.5703125" style="605" customWidth="1"/>
    <col min="24" max="24" width="15.5703125" style="592" customWidth="1"/>
    <col min="25" max="25" width="16.140625" style="562" customWidth="1"/>
    <col min="26" max="26" width="15" style="562" customWidth="1"/>
    <col min="27" max="27" width="18.140625" style="562" customWidth="1"/>
    <col min="28" max="28" width="9.7109375" style="562" customWidth="1"/>
    <col min="29" max="29" width="13.42578125" style="562" customWidth="1"/>
    <col min="30" max="16384" width="8.85546875" style="562"/>
  </cols>
  <sheetData>
    <row r="1" spans="1:33" ht="15.75" x14ac:dyDescent="0.2">
      <c r="A1" s="656" t="s">
        <v>685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35"/>
      <c r="R1" s="35"/>
      <c r="S1" s="35"/>
      <c r="T1" s="35"/>
      <c r="U1" s="35"/>
      <c r="V1" s="35"/>
      <c r="W1" s="35"/>
      <c r="X1" s="36"/>
      <c r="Y1" s="35" t="s">
        <v>45</v>
      </c>
      <c r="Z1" s="36"/>
    </row>
    <row r="2" spans="1:33" ht="33.75" customHeight="1" x14ac:dyDescent="0.2">
      <c r="A2" s="693" t="s">
        <v>524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1"/>
    </row>
    <row r="3" spans="1:33" ht="16.5" thickBot="1" x14ac:dyDescent="0.25">
      <c r="B3" s="103"/>
      <c r="C3" s="10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4"/>
      <c r="O3" s="594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5"/>
      <c r="AB3" s="595"/>
      <c r="AC3" s="595"/>
      <c r="AD3" s="596"/>
      <c r="AE3" s="592"/>
    </row>
    <row r="4" spans="1:33" ht="21" customHeight="1" thickBot="1" x14ac:dyDescent="0.25">
      <c r="A4" s="694" t="s">
        <v>46</v>
      </c>
      <c r="B4" s="696" t="s">
        <v>314</v>
      </c>
      <c r="C4" s="698" t="s">
        <v>47</v>
      </c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597"/>
      <c r="P4" s="597"/>
      <c r="Q4" s="597"/>
      <c r="R4" s="597"/>
      <c r="S4" s="597"/>
      <c r="T4" s="597"/>
      <c r="U4" s="597"/>
      <c r="V4" s="597"/>
      <c r="W4" s="597"/>
      <c r="X4" s="598"/>
      <c r="Y4" s="598"/>
      <c r="Z4" s="701" t="s">
        <v>486</v>
      </c>
      <c r="AA4" s="701" t="s">
        <v>588</v>
      </c>
      <c r="AB4" s="691" t="s">
        <v>589</v>
      </c>
      <c r="AC4" s="691" t="s">
        <v>590</v>
      </c>
    </row>
    <row r="5" spans="1:33" ht="114" customHeight="1" thickBot="1" x14ac:dyDescent="0.25">
      <c r="A5" s="695"/>
      <c r="B5" s="697"/>
      <c r="C5" s="699"/>
      <c r="D5" s="470" t="s">
        <v>471</v>
      </c>
      <c r="E5" s="470" t="s">
        <v>578</v>
      </c>
      <c r="F5" s="470" t="s">
        <v>468</v>
      </c>
      <c r="G5" s="470" t="s">
        <v>579</v>
      </c>
      <c r="H5" s="470" t="s">
        <v>469</v>
      </c>
      <c r="I5" s="470" t="s">
        <v>580</v>
      </c>
      <c r="J5" s="470" t="s">
        <v>643</v>
      </c>
      <c r="K5" s="470" t="s">
        <v>644</v>
      </c>
      <c r="L5" s="470" t="s">
        <v>432</v>
      </c>
      <c r="M5" s="470" t="s">
        <v>581</v>
      </c>
      <c r="N5" s="470" t="s">
        <v>430</v>
      </c>
      <c r="O5" s="470" t="s">
        <v>582</v>
      </c>
      <c r="P5" s="470" t="s">
        <v>470</v>
      </c>
      <c r="Q5" s="470" t="s">
        <v>583</v>
      </c>
      <c r="R5" s="470" t="s">
        <v>429</v>
      </c>
      <c r="S5" s="470" t="s">
        <v>584</v>
      </c>
      <c r="T5" s="470" t="s">
        <v>431</v>
      </c>
      <c r="U5" s="470" t="s">
        <v>585</v>
      </c>
      <c r="V5" s="599" t="s">
        <v>472</v>
      </c>
      <c r="W5" s="599" t="s">
        <v>586</v>
      </c>
      <c r="X5" s="599" t="s">
        <v>473</v>
      </c>
      <c r="Y5" s="599" t="s">
        <v>587</v>
      </c>
      <c r="Z5" s="702"/>
      <c r="AA5" s="702"/>
      <c r="AB5" s="692"/>
      <c r="AC5" s="692"/>
    </row>
    <row r="6" spans="1:33" ht="16.5" thickBot="1" x14ac:dyDescent="0.3">
      <c r="A6" s="704" t="s">
        <v>38</v>
      </c>
      <c r="B6" s="391" t="s">
        <v>220</v>
      </c>
      <c r="C6" s="390" t="s">
        <v>263</v>
      </c>
      <c r="D6" s="386">
        <v>16177039</v>
      </c>
      <c r="E6" s="386">
        <v>17336372</v>
      </c>
      <c r="F6" s="386">
        <v>2851185</v>
      </c>
      <c r="G6" s="386">
        <v>2963116</v>
      </c>
      <c r="H6" s="386">
        <f>220000+400000+150000+100000+250000+2600000+20000+450000+40000</f>
        <v>4230000</v>
      </c>
      <c r="I6" s="386">
        <v>4063880</v>
      </c>
      <c r="J6" s="386"/>
      <c r="K6" s="386"/>
      <c r="L6" s="386">
        <v>0</v>
      </c>
      <c r="M6" s="386">
        <v>0</v>
      </c>
      <c r="N6" s="387">
        <v>0</v>
      </c>
      <c r="O6" s="387">
        <v>0</v>
      </c>
      <c r="P6" s="386">
        <v>0</v>
      </c>
      <c r="Q6" s="386">
        <v>0</v>
      </c>
      <c r="R6" s="387">
        <v>0</v>
      </c>
      <c r="S6" s="387">
        <v>0</v>
      </c>
      <c r="T6" s="386">
        <v>0</v>
      </c>
      <c r="U6" s="386">
        <v>0</v>
      </c>
      <c r="V6" s="432">
        <v>0</v>
      </c>
      <c r="W6" s="432">
        <v>159639</v>
      </c>
      <c r="X6" s="432">
        <v>0</v>
      </c>
      <c r="Y6" s="432">
        <v>0</v>
      </c>
      <c r="Z6" s="388">
        <f>+X6+V5:V6+T6+R6+P6+N6+L6+H6+F6+D6+J6</f>
        <v>23258224</v>
      </c>
      <c r="AA6" s="620">
        <f>+Y6+W6+U6+S6+Q6+O6+M6+I6+G6+E6+K6</f>
        <v>24523007</v>
      </c>
      <c r="AB6" s="422">
        <v>1</v>
      </c>
      <c r="AC6" s="422">
        <v>1</v>
      </c>
    </row>
    <row r="7" spans="1:33" ht="16.5" thickBot="1" x14ac:dyDescent="0.3">
      <c r="A7" s="704"/>
      <c r="B7" s="391" t="s">
        <v>244</v>
      </c>
      <c r="C7" s="390" t="s">
        <v>324</v>
      </c>
      <c r="D7" s="386">
        <v>0</v>
      </c>
      <c r="E7" s="386">
        <v>0</v>
      </c>
      <c r="F7" s="386">
        <v>0</v>
      </c>
      <c r="G7" s="386">
        <v>0</v>
      </c>
      <c r="H7" s="386">
        <f>120000+80000+50000+450000+150000</f>
        <v>850000</v>
      </c>
      <c r="I7" s="386">
        <f>120000+80000+50000+450000+150000</f>
        <v>850000</v>
      </c>
      <c r="J7" s="386"/>
      <c r="K7" s="386"/>
      <c r="L7" s="386">
        <v>0</v>
      </c>
      <c r="M7" s="386">
        <v>0</v>
      </c>
      <c r="N7" s="387">
        <v>0</v>
      </c>
      <c r="O7" s="387">
        <v>0</v>
      </c>
      <c r="P7" s="628">
        <v>0</v>
      </c>
      <c r="Q7" s="628">
        <v>0</v>
      </c>
      <c r="R7" s="387">
        <v>0</v>
      </c>
      <c r="S7" s="387">
        <v>0</v>
      </c>
      <c r="T7" s="386">
        <v>0</v>
      </c>
      <c r="U7" s="386">
        <v>0</v>
      </c>
      <c r="V7" s="432">
        <v>0</v>
      </c>
      <c r="W7" s="432">
        <v>0</v>
      </c>
      <c r="X7" s="432">
        <v>0</v>
      </c>
      <c r="Y7" s="432">
        <v>0</v>
      </c>
      <c r="Z7" s="388">
        <f t="shared" ref="Z7:Z67" si="0">+X7+V6:V7+T7+R7+P7+N7+L7+H7+F7+D7+J7</f>
        <v>850000</v>
      </c>
      <c r="AA7" s="620">
        <f t="shared" ref="AA7:AA57" si="1">+Y7+W7+U7+S7+Q7+O7+M7+I7+G7+E7+K7</f>
        <v>850000</v>
      </c>
      <c r="AB7" s="422">
        <v>0</v>
      </c>
      <c r="AC7" s="422">
        <v>0</v>
      </c>
    </row>
    <row r="8" spans="1:33" ht="16.5" thickBot="1" x14ac:dyDescent="0.3">
      <c r="A8" s="704"/>
      <c r="B8" s="391" t="s">
        <v>245</v>
      </c>
      <c r="C8" s="390" t="s">
        <v>264</v>
      </c>
      <c r="D8" s="386">
        <v>0</v>
      </c>
      <c r="E8" s="386">
        <v>0</v>
      </c>
      <c r="F8" s="386">
        <v>0</v>
      </c>
      <c r="G8" s="386">
        <v>0</v>
      </c>
      <c r="H8" s="386">
        <f>1500000+15000+130000+350000+850000+12054083+2450000+3934797+500000+20000</f>
        <v>21803880</v>
      </c>
      <c r="I8" s="386">
        <v>20221353</v>
      </c>
      <c r="J8" s="386"/>
      <c r="K8" s="386"/>
      <c r="L8" s="386">
        <v>0</v>
      </c>
      <c r="M8" s="386">
        <v>0</v>
      </c>
      <c r="N8" s="387">
        <v>0</v>
      </c>
      <c r="O8" s="387">
        <v>0</v>
      </c>
      <c r="P8" s="386">
        <v>8344429</v>
      </c>
      <c r="Q8" s="386">
        <v>8309524</v>
      </c>
      <c r="R8" s="387">
        <v>0</v>
      </c>
      <c r="S8" s="387">
        <v>0</v>
      </c>
      <c r="T8" s="386">
        <v>0</v>
      </c>
      <c r="U8" s="386">
        <v>0</v>
      </c>
      <c r="V8" s="432">
        <v>3400000</v>
      </c>
      <c r="W8" s="432">
        <v>725580</v>
      </c>
      <c r="X8" s="432">
        <f>1200000+350000</f>
        <v>1550000</v>
      </c>
      <c r="Y8" s="432">
        <v>4597340</v>
      </c>
      <c r="Z8" s="388">
        <f t="shared" si="0"/>
        <v>35098309</v>
      </c>
      <c r="AA8" s="620">
        <f t="shared" si="1"/>
        <v>33853797</v>
      </c>
      <c r="AB8" s="422">
        <v>0</v>
      </c>
      <c r="AC8" s="422">
        <v>0</v>
      </c>
    </row>
    <row r="9" spans="1:33" ht="16.5" thickBot="1" x14ac:dyDescent="0.3">
      <c r="A9" s="704"/>
      <c r="B9" s="391" t="s">
        <v>409</v>
      </c>
      <c r="C9" s="390" t="s">
        <v>410</v>
      </c>
      <c r="D9" s="386">
        <v>0</v>
      </c>
      <c r="E9" s="386">
        <v>0</v>
      </c>
      <c r="F9" s="386">
        <v>0</v>
      </c>
      <c r="G9" s="386">
        <v>0</v>
      </c>
      <c r="H9" s="386">
        <v>0</v>
      </c>
      <c r="I9" s="386">
        <v>0</v>
      </c>
      <c r="J9" s="386"/>
      <c r="K9" s="386"/>
      <c r="L9" s="386">
        <v>0</v>
      </c>
      <c r="M9" s="386">
        <v>0</v>
      </c>
      <c r="N9" s="387">
        <v>0</v>
      </c>
      <c r="O9" s="387">
        <v>0</v>
      </c>
      <c r="P9" s="386">
        <v>0</v>
      </c>
      <c r="Q9" s="386">
        <v>0</v>
      </c>
      <c r="R9" s="387">
        <v>0</v>
      </c>
      <c r="S9" s="387">
        <v>0</v>
      </c>
      <c r="T9" s="386">
        <v>0</v>
      </c>
      <c r="U9" s="386">
        <v>0</v>
      </c>
      <c r="V9" s="386">
        <v>0</v>
      </c>
      <c r="W9" s="386">
        <v>0</v>
      </c>
      <c r="X9" s="386">
        <v>0</v>
      </c>
      <c r="Y9" s="386">
        <v>0</v>
      </c>
      <c r="Z9" s="388">
        <f t="shared" si="0"/>
        <v>0</v>
      </c>
      <c r="AA9" s="620">
        <f t="shared" si="1"/>
        <v>0</v>
      </c>
      <c r="AB9" s="422">
        <v>0</v>
      </c>
      <c r="AC9" s="422">
        <v>0</v>
      </c>
    </row>
    <row r="10" spans="1:33" ht="16.5" thickBot="1" x14ac:dyDescent="0.3">
      <c r="A10" s="704"/>
      <c r="B10" s="391" t="s">
        <v>247</v>
      </c>
      <c r="C10" s="389" t="s">
        <v>266</v>
      </c>
      <c r="D10" s="386">
        <v>3668850</v>
      </c>
      <c r="E10" s="386">
        <v>11232483</v>
      </c>
      <c r="F10" s="386">
        <v>321023</v>
      </c>
      <c r="G10" s="386">
        <v>1051684</v>
      </c>
      <c r="H10" s="386">
        <v>0</v>
      </c>
      <c r="I10" s="386">
        <v>1190524</v>
      </c>
      <c r="J10" s="386"/>
      <c r="K10" s="386"/>
      <c r="L10" s="386">
        <v>0</v>
      </c>
      <c r="M10" s="386">
        <v>0</v>
      </c>
      <c r="N10" s="387">
        <v>0</v>
      </c>
      <c r="O10" s="387">
        <v>0</v>
      </c>
      <c r="P10" s="386">
        <v>1350319</v>
      </c>
      <c r="Q10" s="386">
        <v>1350319</v>
      </c>
      <c r="R10" s="387">
        <v>0</v>
      </c>
      <c r="S10" s="387">
        <v>0</v>
      </c>
      <c r="T10" s="386">
        <v>0</v>
      </c>
      <c r="U10" s="386">
        <v>0</v>
      </c>
      <c r="V10" s="432">
        <v>0</v>
      </c>
      <c r="W10" s="432">
        <v>0</v>
      </c>
      <c r="X10" s="432">
        <v>0</v>
      </c>
      <c r="Y10" s="432">
        <v>0</v>
      </c>
      <c r="Z10" s="388">
        <f t="shared" si="0"/>
        <v>5340192</v>
      </c>
      <c r="AA10" s="620">
        <f t="shared" si="1"/>
        <v>14825010</v>
      </c>
      <c r="AB10" s="422">
        <v>15</v>
      </c>
      <c r="AC10" s="422">
        <v>17</v>
      </c>
    </row>
    <row r="11" spans="1:33" ht="16.5" thickBot="1" x14ac:dyDescent="0.3">
      <c r="A11" s="704"/>
      <c r="B11" s="391" t="s">
        <v>365</v>
      </c>
      <c r="C11" s="389" t="s">
        <v>366</v>
      </c>
      <c r="D11" s="386">
        <v>2935080</v>
      </c>
      <c r="E11" s="386">
        <v>11813905</v>
      </c>
      <c r="F11" s="386">
        <v>256820</v>
      </c>
      <c r="G11" s="386">
        <v>1033717</v>
      </c>
      <c r="H11" s="386">
        <v>0</v>
      </c>
      <c r="I11" s="386">
        <v>8089716</v>
      </c>
      <c r="J11" s="386"/>
      <c r="K11" s="386"/>
      <c r="L11" s="386">
        <v>0</v>
      </c>
      <c r="M11" s="386">
        <v>0</v>
      </c>
      <c r="N11" s="387">
        <v>0</v>
      </c>
      <c r="O11" s="387">
        <v>0</v>
      </c>
      <c r="P11" s="386">
        <v>0</v>
      </c>
      <c r="Q11" s="386">
        <v>0</v>
      </c>
      <c r="R11" s="387">
        <v>0</v>
      </c>
      <c r="S11" s="387">
        <v>0</v>
      </c>
      <c r="T11" s="386">
        <v>0</v>
      </c>
      <c r="U11" s="386">
        <v>0</v>
      </c>
      <c r="V11" s="386">
        <v>0</v>
      </c>
      <c r="W11" s="386">
        <v>1023060</v>
      </c>
      <c r="X11" s="386">
        <v>0</v>
      </c>
      <c r="Y11" s="386">
        <v>0</v>
      </c>
      <c r="Z11" s="388">
        <f t="shared" si="0"/>
        <v>3191900</v>
      </c>
      <c r="AA11" s="620">
        <f t="shared" si="1"/>
        <v>21960398</v>
      </c>
      <c r="AB11" s="422">
        <v>13</v>
      </c>
      <c r="AC11" s="422">
        <v>12</v>
      </c>
    </row>
    <row r="12" spans="1:33" ht="16.5" thickBot="1" x14ac:dyDescent="0.3">
      <c r="A12" s="704"/>
      <c r="B12" s="391" t="s">
        <v>248</v>
      </c>
      <c r="C12" s="389" t="s">
        <v>267</v>
      </c>
      <c r="D12" s="386">
        <v>0</v>
      </c>
      <c r="E12" s="386">
        <v>0</v>
      </c>
      <c r="F12" s="386">
        <v>0</v>
      </c>
      <c r="G12" s="386">
        <v>0</v>
      </c>
      <c r="H12" s="386">
        <v>0</v>
      </c>
      <c r="I12" s="386">
        <v>0</v>
      </c>
      <c r="J12" s="386"/>
      <c r="K12" s="386"/>
      <c r="L12" s="386">
        <v>0</v>
      </c>
      <c r="M12" s="386">
        <v>0</v>
      </c>
      <c r="N12" s="387">
        <v>0</v>
      </c>
      <c r="O12" s="387">
        <v>0</v>
      </c>
      <c r="P12" s="386">
        <v>0</v>
      </c>
      <c r="Q12" s="386">
        <v>0</v>
      </c>
      <c r="R12" s="387">
        <v>0</v>
      </c>
      <c r="S12" s="387">
        <v>0</v>
      </c>
      <c r="T12" s="386">
        <v>0</v>
      </c>
      <c r="U12" s="386">
        <v>0</v>
      </c>
      <c r="V12" s="432">
        <v>0</v>
      </c>
      <c r="W12" s="432">
        <v>0</v>
      </c>
      <c r="X12" s="432">
        <v>0</v>
      </c>
      <c r="Y12" s="432">
        <v>0</v>
      </c>
      <c r="Z12" s="388">
        <f t="shared" si="0"/>
        <v>0</v>
      </c>
      <c r="AA12" s="620">
        <f t="shared" si="1"/>
        <v>0</v>
      </c>
      <c r="AB12" s="422">
        <v>0</v>
      </c>
      <c r="AC12" s="422">
        <v>0</v>
      </c>
    </row>
    <row r="13" spans="1:33" ht="16.5" thickBot="1" x14ac:dyDescent="0.3">
      <c r="A13" s="704"/>
      <c r="B13" s="478" t="s">
        <v>249</v>
      </c>
      <c r="C13" s="389" t="s">
        <v>325</v>
      </c>
      <c r="D13" s="386">
        <v>0</v>
      </c>
      <c r="E13" s="386">
        <v>0</v>
      </c>
      <c r="F13" s="386">
        <v>0</v>
      </c>
      <c r="G13" s="386">
        <v>0</v>
      </c>
      <c r="H13" s="386">
        <f>700000+550000+400000+50000</f>
        <v>1700000</v>
      </c>
      <c r="I13" s="386">
        <f>700000+550000+400000+50000</f>
        <v>1700000</v>
      </c>
      <c r="J13" s="386"/>
      <c r="K13" s="386"/>
      <c r="L13" s="386">
        <v>0</v>
      </c>
      <c r="M13" s="386">
        <v>0</v>
      </c>
      <c r="N13" s="387">
        <v>0</v>
      </c>
      <c r="O13" s="387">
        <v>0</v>
      </c>
      <c r="P13" s="386">
        <v>0</v>
      </c>
      <c r="Q13" s="386">
        <v>25000000</v>
      </c>
      <c r="R13" s="387">
        <v>0</v>
      </c>
      <c r="S13" s="387">
        <v>0</v>
      </c>
      <c r="T13" s="386">
        <v>0</v>
      </c>
      <c r="U13" s="386">
        <v>0</v>
      </c>
      <c r="V13" s="432">
        <v>0</v>
      </c>
      <c r="W13" s="432">
        <v>0</v>
      </c>
      <c r="X13" s="432">
        <f>6020000+1625400</f>
        <v>7645400</v>
      </c>
      <c r="Y13" s="432">
        <f>6020000+1625400</f>
        <v>7645400</v>
      </c>
      <c r="Z13" s="388">
        <f t="shared" si="0"/>
        <v>9345400</v>
      </c>
      <c r="AA13" s="620">
        <f t="shared" si="1"/>
        <v>34345400</v>
      </c>
      <c r="AB13" s="422">
        <v>0</v>
      </c>
      <c r="AC13" s="422">
        <v>0</v>
      </c>
    </row>
    <row r="14" spans="1:33" ht="16.5" thickBot="1" x14ac:dyDescent="0.3">
      <c r="A14" s="704"/>
      <c r="B14" s="478" t="s">
        <v>616</v>
      </c>
      <c r="C14" s="389" t="s">
        <v>617</v>
      </c>
      <c r="D14" s="386">
        <v>0</v>
      </c>
      <c r="E14" s="386">
        <v>0</v>
      </c>
      <c r="F14" s="386">
        <v>0</v>
      </c>
      <c r="G14" s="386">
        <v>0</v>
      </c>
      <c r="H14" s="386">
        <v>0</v>
      </c>
      <c r="I14" s="386">
        <v>0</v>
      </c>
      <c r="J14" s="386"/>
      <c r="K14" s="386"/>
      <c r="L14" s="386">
        <v>0</v>
      </c>
      <c r="M14" s="386">
        <v>0</v>
      </c>
      <c r="N14" s="387">
        <v>0</v>
      </c>
      <c r="O14" s="387">
        <v>0</v>
      </c>
      <c r="P14" s="386">
        <v>0</v>
      </c>
      <c r="Q14" s="386">
        <v>0</v>
      </c>
      <c r="R14" s="387">
        <v>0</v>
      </c>
      <c r="S14" s="387">
        <v>0</v>
      </c>
      <c r="T14" s="386">
        <v>0</v>
      </c>
      <c r="U14" s="386">
        <v>0</v>
      </c>
      <c r="V14" s="432">
        <v>0</v>
      </c>
      <c r="W14" s="432">
        <v>0</v>
      </c>
      <c r="X14" s="432">
        <v>0</v>
      </c>
      <c r="Y14" s="432">
        <v>154655790</v>
      </c>
      <c r="Z14" s="388">
        <f t="shared" si="0"/>
        <v>0</v>
      </c>
      <c r="AA14" s="620">
        <f t="shared" si="1"/>
        <v>154655790</v>
      </c>
      <c r="AB14" s="422">
        <v>0</v>
      </c>
      <c r="AC14" s="422">
        <v>0</v>
      </c>
    </row>
    <row r="15" spans="1:33" ht="16.5" thickBot="1" x14ac:dyDescent="0.3">
      <c r="A15" s="704"/>
      <c r="B15" s="391" t="s">
        <v>250</v>
      </c>
      <c r="C15" s="389" t="s">
        <v>326</v>
      </c>
      <c r="D15" s="386">
        <v>0</v>
      </c>
      <c r="E15" s="386">
        <v>0</v>
      </c>
      <c r="F15" s="386">
        <v>0</v>
      </c>
      <c r="G15" s="386">
        <v>0</v>
      </c>
      <c r="H15" s="386">
        <v>0</v>
      </c>
      <c r="I15" s="386">
        <v>0</v>
      </c>
      <c r="J15" s="386"/>
      <c r="K15" s="386"/>
      <c r="L15" s="386">
        <v>140000</v>
      </c>
      <c r="M15" s="386">
        <v>140000</v>
      </c>
      <c r="N15" s="387">
        <v>0</v>
      </c>
      <c r="O15" s="387">
        <v>0</v>
      </c>
      <c r="P15" s="386">
        <v>0</v>
      </c>
      <c r="Q15" s="386">
        <v>0</v>
      </c>
      <c r="R15" s="387">
        <v>0</v>
      </c>
      <c r="S15" s="387">
        <v>0</v>
      </c>
      <c r="T15" s="386">
        <v>0</v>
      </c>
      <c r="U15" s="386">
        <v>0</v>
      </c>
      <c r="V15" s="386">
        <v>0</v>
      </c>
      <c r="W15" s="386">
        <v>0</v>
      </c>
      <c r="X15" s="386">
        <v>0</v>
      </c>
      <c r="Y15" s="386">
        <v>0</v>
      </c>
      <c r="Z15" s="388">
        <f t="shared" si="0"/>
        <v>140000</v>
      </c>
      <c r="AA15" s="620">
        <f t="shared" si="1"/>
        <v>140000</v>
      </c>
      <c r="AB15" s="422">
        <v>0</v>
      </c>
      <c r="AC15" s="422">
        <v>0</v>
      </c>
    </row>
    <row r="16" spans="1:33" ht="16.5" thickBot="1" x14ac:dyDescent="0.3">
      <c r="A16" s="704"/>
      <c r="B16" s="391" t="s">
        <v>251</v>
      </c>
      <c r="C16" s="389" t="s">
        <v>268</v>
      </c>
      <c r="D16" s="386">
        <v>0</v>
      </c>
      <c r="E16" s="386">
        <v>0</v>
      </c>
      <c r="F16" s="386">
        <v>0</v>
      </c>
      <c r="G16" s="386">
        <v>0</v>
      </c>
      <c r="H16" s="386">
        <v>2255000</v>
      </c>
      <c r="I16" s="386">
        <v>2871111</v>
      </c>
      <c r="J16" s="386"/>
      <c r="K16" s="386"/>
      <c r="L16" s="386">
        <v>0</v>
      </c>
      <c r="M16" s="386">
        <v>0</v>
      </c>
      <c r="N16" s="387">
        <v>0</v>
      </c>
      <c r="O16" s="387">
        <v>0</v>
      </c>
      <c r="P16" s="386">
        <v>24944510</v>
      </c>
      <c r="Q16" s="386">
        <v>24328399</v>
      </c>
      <c r="R16" s="387">
        <v>0</v>
      </c>
      <c r="S16" s="387">
        <v>0</v>
      </c>
      <c r="T16" s="386">
        <v>0</v>
      </c>
      <c r="U16" s="386">
        <v>0</v>
      </c>
      <c r="V16" s="386">
        <v>0</v>
      </c>
      <c r="W16" s="386">
        <v>4697844</v>
      </c>
      <c r="X16" s="386">
        <v>15240000</v>
      </c>
      <c r="Y16" s="386">
        <v>0</v>
      </c>
      <c r="Z16" s="388">
        <f t="shared" si="0"/>
        <v>42439510</v>
      </c>
      <c r="AA16" s="620">
        <f t="shared" si="1"/>
        <v>31897354</v>
      </c>
      <c r="AB16" s="422">
        <v>0</v>
      </c>
      <c r="AC16" s="422">
        <v>0</v>
      </c>
    </row>
    <row r="17" spans="1:29" ht="16.5" thickBot="1" x14ac:dyDescent="0.3">
      <c r="A17" s="704"/>
      <c r="B17" s="391" t="s">
        <v>525</v>
      </c>
      <c r="C17" s="389" t="s">
        <v>526</v>
      </c>
      <c r="D17" s="386">
        <v>2511600</v>
      </c>
      <c r="E17" s="386">
        <v>2511600</v>
      </c>
      <c r="F17" s="386">
        <v>439530</v>
      </c>
      <c r="G17" s="386">
        <v>439530</v>
      </c>
      <c r="H17" s="386">
        <f>3763777+1016220</f>
        <v>4779997</v>
      </c>
      <c r="I17" s="386">
        <v>1320059</v>
      </c>
      <c r="J17" s="386"/>
      <c r="K17" s="386"/>
      <c r="L17" s="386">
        <v>0</v>
      </c>
      <c r="M17" s="386">
        <v>0</v>
      </c>
      <c r="N17" s="387">
        <v>0</v>
      </c>
      <c r="O17" s="387">
        <v>0</v>
      </c>
      <c r="P17" s="386">
        <v>0</v>
      </c>
      <c r="Q17" s="386">
        <v>0</v>
      </c>
      <c r="R17" s="387">
        <v>0</v>
      </c>
      <c r="S17" s="387">
        <v>0</v>
      </c>
      <c r="T17" s="386">
        <v>0</v>
      </c>
      <c r="U17" s="386">
        <v>0</v>
      </c>
      <c r="V17" s="386">
        <f>2362204+637795</f>
        <v>2999999</v>
      </c>
      <c r="W17" s="386">
        <v>6933035</v>
      </c>
      <c r="X17" s="386">
        <f>16877627+4557031</f>
        <v>21434658</v>
      </c>
      <c r="Y17" s="386">
        <v>20961560</v>
      </c>
      <c r="Z17" s="388">
        <f t="shared" si="0"/>
        <v>32165784</v>
      </c>
      <c r="AA17" s="620">
        <f t="shared" si="1"/>
        <v>32165784</v>
      </c>
      <c r="AB17" s="422">
        <v>0</v>
      </c>
      <c r="AC17" s="422">
        <v>0</v>
      </c>
    </row>
    <row r="18" spans="1:29" ht="16.5" thickBot="1" x14ac:dyDescent="0.3">
      <c r="A18" s="704"/>
      <c r="B18" s="391" t="s">
        <v>252</v>
      </c>
      <c r="C18" s="389" t="s">
        <v>269</v>
      </c>
      <c r="D18" s="386">
        <v>0</v>
      </c>
      <c r="E18" s="386">
        <v>0</v>
      </c>
      <c r="F18" s="386">
        <v>0</v>
      </c>
      <c r="G18" s="386">
        <v>0</v>
      </c>
      <c r="H18" s="386">
        <f>150000+850000+200000+1500000</f>
        <v>2700000</v>
      </c>
      <c r="I18" s="386">
        <v>4718337</v>
      </c>
      <c r="J18" s="386"/>
      <c r="K18" s="386"/>
      <c r="L18" s="386">
        <v>0</v>
      </c>
      <c r="M18" s="386">
        <v>0</v>
      </c>
      <c r="N18" s="387">
        <v>0</v>
      </c>
      <c r="O18" s="387">
        <v>0</v>
      </c>
      <c r="P18" s="386">
        <v>50933440</v>
      </c>
      <c r="Q18" s="386">
        <v>48915103</v>
      </c>
      <c r="R18" s="387">
        <v>0</v>
      </c>
      <c r="S18" s="387">
        <v>0</v>
      </c>
      <c r="T18" s="386">
        <v>0</v>
      </c>
      <c r="U18" s="386">
        <v>0</v>
      </c>
      <c r="V18" s="432">
        <v>0</v>
      </c>
      <c r="W18" s="432">
        <v>0</v>
      </c>
      <c r="X18" s="432">
        <v>0</v>
      </c>
      <c r="Y18" s="432">
        <v>0</v>
      </c>
      <c r="Z18" s="388">
        <f t="shared" si="0"/>
        <v>53633440</v>
      </c>
      <c r="AA18" s="620">
        <f t="shared" si="1"/>
        <v>53633440</v>
      </c>
      <c r="AB18" s="422">
        <v>0</v>
      </c>
      <c r="AC18" s="422">
        <v>0</v>
      </c>
    </row>
    <row r="19" spans="1:29" ht="16.5" thickBot="1" x14ac:dyDescent="0.3">
      <c r="A19" s="704"/>
      <c r="B19" s="391" t="s">
        <v>253</v>
      </c>
      <c r="C19" s="389" t="s">
        <v>48</v>
      </c>
      <c r="D19" s="386">
        <v>0</v>
      </c>
      <c r="E19" s="386">
        <v>0</v>
      </c>
      <c r="F19" s="386">
        <v>0</v>
      </c>
      <c r="G19" s="386">
        <v>0</v>
      </c>
      <c r="H19" s="386">
        <f>1600000+3550000+1250000</f>
        <v>6400000</v>
      </c>
      <c r="I19" s="386">
        <v>7292984</v>
      </c>
      <c r="J19" s="386"/>
      <c r="K19" s="386"/>
      <c r="L19" s="386">
        <v>0</v>
      </c>
      <c r="M19" s="386">
        <v>0</v>
      </c>
      <c r="N19" s="387">
        <v>0</v>
      </c>
      <c r="O19" s="387">
        <v>0</v>
      </c>
      <c r="P19" s="386">
        <v>0</v>
      </c>
      <c r="Q19" s="386">
        <v>0</v>
      </c>
      <c r="R19" s="387">
        <v>0</v>
      </c>
      <c r="S19" s="387">
        <v>0</v>
      </c>
      <c r="T19" s="386">
        <v>0</v>
      </c>
      <c r="U19" s="386">
        <v>0</v>
      </c>
      <c r="V19" s="432">
        <v>0</v>
      </c>
      <c r="W19" s="432">
        <v>0</v>
      </c>
      <c r="X19" s="432">
        <v>0</v>
      </c>
      <c r="Y19" s="432">
        <v>0</v>
      </c>
      <c r="Z19" s="388">
        <f t="shared" si="0"/>
        <v>6400000</v>
      </c>
      <c r="AA19" s="620">
        <f t="shared" si="1"/>
        <v>7292984</v>
      </c>
      <c r="AB19" s="422">
        <v>0</v>
      </c>
      <c r="AC19" s="422">
        <v>0</v>
      </c>
    </row>
    <row r="20" spans="1:29" ht="16.5" thickBot="1" x14ac:dyDescent="0.3">
      <c r="A20" s="704"/>
      <c r="B20" s="391" t="s">
        <v>222</v>
      </c>
      <c r="C20" s="389" t="s">
        <v>221</v>
      </c>
      <c r="D20" s="386">
        <v>2571600</v>
      </c>
      <c r="E20" s="386">
        <v>2449130</v>
      </c>
      <c r="F20" s="386">
        <v>450030</v>
      </c>
      <c r="G20" s="386">
        <v>450030</v>
      </c>
      <c r="H20" s="386">
        <f>1200000+300000+400000+80000</f>
        <v>1980000</v>
      </c>
      <c r="I20" s="386">
        <v>2132545</v>
      </c>
      <c r="J20" s="386"/>
      <c r="K20" s="386"/>
      <c r="L20" s="386">
        <v>0</v>
      </c>
      <c r="M20" s="386">
        <v>0</v>
      </c>
      <c r="N20" s="387">
        <v>0</v>
      </c>
      <c r="O20" s="387">
        <v>0</v>
      </c>
      <c r="P20" s="386">
        <v>4508070</v>
      </c>
      <c r="Q20" s="386">
        <v>4508070</v>
      </c>
      <c r="R20" s="387">
        <v>0</v>
      </c>
      <c r="S20" s="387">
        <v>0</v>
      </c>
      <c r="T20" s="386">
        <v>0</v>
      </c>
      <c r="U20" s="386">
        <v>0</v>
      </c>
      <c r="V20" s="432">
        <v>0</v>
      </c>
      <c r="W20" s="432">
        <v>0</v>
      </c>
      <c r="X20" s="432">
        <v>0</v>
      </c>
      <c r="Y20" s="432">
        <v>0</v>
      </c>
      <c r="Z20" s="388">
        <f t="shared" si="0"/>
        <v>9509700</v>
      </c>
      <c r="AA20" s="620">
        <f t="shared" si="1"/>
        <v>9539775</v>
      </c>
      <c r="AB20" s="422">
        <v>1</v>
      </c>
      <c r="AC20" s="422">
        <v>1</v>
      </c>
    </row>
    <row r="21" spans="1:29" ht="16.5" thickBot="1" x14ac:dyDescent="0.3">
      <c r="A21" s="704"/>
      <c r="B21" s="391" t="s">
        <v>223</v>
      </c>
      <c r="C21" s="389" t="s">
        <v>270</v>
      </c>
      <c r="D21" s="386">
        <f>25961083+72000</f>
        <v>26033083</v>
      </c>
      <c r="E21" s="386">
        <v>29595814</v>
      </c>
      <c r="F21" s="386">
        <v>4290649</v>
      </c>
      <c r="G21" s="386">
        <v>4835681</v>
      </c>
      <c r="H21" s="386">
        <f>8100000+50000+160000+1650000+6600000+6000000+700000</f>
        <v>23260000</v>
      </c>
      <c r="I21" s="386">
        <v>15830920</v>
      </c>
      <c r="J21" s="386"/>
      <c r="K21" s="386"/>
      <c r="L21" s="386">
        <v>0</v>
      </c>
      <c r="M21" s="386">
        <v>19072</v>
      </c>
      <c r="N21" s="387">
        <v>0</v>
      </c>
      <c r="O21" s="387">
        <v>0</v>
      </c>
      <c r="P21" s="386">
        <v>0</v>
      </c>
      <c r="Q21" s="386">
        <v>0</v>
      </c>
      <c r="R21" s="387">
        <v>0</v>
      </c>
      <c r="S21" s="387">
        <v>0</v>
      </c>
      <c r="T21" s="386">
        <v>0</v>
      </c>
      <c r="U21" s="386">
        <v>0</v>
      </c>
      <c r="V21" s="432">
        <v>0</v>
      </c>
      <c r="W21" s="432">
        <v>10047883</v>
      </c>
      <c r="X21" s="432">
        <v>0</v>
      </c>
      <c r="Y21" s="432">
        <v>0</v>
      </c>
      <c r="Z21" s="388">
        <f t="shared" si="0"/>
        <v>53583732</v>
      </c>
      <c r="AA21" s="620">
        <f t="shared" si="1"/>
        <v>60329370</v>
      </c>
      <c r="AB21" s="422">
        <v>11</v>
      </c>
      <c r="AC21" s="422">
        <v>11</v>
      </c>
    </row>
    <row r="22" spans="1:29" ht="16.5" thickBot="1" x14ac:dyDescent="0.3">
      <c r="A22" s="704"/>
      <c r="B22" s="391" t="s">
        <v>254</v>
      </c>
      <c r="C22" s="389" t="s">
        <v>271</v>
      </c>
      <c r="D22" s="386">
        <v>0</v>
      </c>
      <c r="E22" s="386">
        <v>0</v>
      </c>
      <c r="F22" s="386">
        <v>0</v>
      </c>
      <c r="G22" s="386">
        <v>0</v>
      </c>
      <c r="H22" s="386">
        <f>450000+1250000+1600000+900000</f>
        <v>4200000</v>
      </c>
      <c r="I22" s="386">
        <v>69660909</v>
      </c>
      <c r="J22" s="386"/>
      <c r="K22" s="386"/>
      <c r="L22" s="386">
        <v>0</v>
      </c>
      <c r="M22" s="386">
        <v>0</v>
      </c>
      <c r="N22" s="387">
        <v>0</v>
      </c>
      <c r="O22" s="387">
        <v>0</v>
      </c>
      <c r="P22" s="386">
        <v>0</v>
      </c>
      <c r="Q22" s="386">
        <v>0</v>
      </c>
      <c r="R22" s="387">
        <v>0</v>
      </c>
      <c r="S22" s="387">
        <v>0</v>
      </c>
      <c r="T22" s="386">
        <v>0</v>
      </c>
      <c r="U22" s="386">
        <v>0</v>
      </c>
      <c r="V22" s="432">
        <v>0</v>
      </c>
      <c r="W22" s="432">
        <v>219073213</v>
      </c>
      <c r="X22" s="432">
        <v>0</v>
      </c>
      <c r="Y22" s="432">
        <v>0</v>
      </c>
      <c r="Z22" s="388">
        <f t="shared" si="0"/>
        <v>4200000</v>
      </c>
      <c r="AA22" s="620">
        <f t="shared" si="1"/>
        <v>288734122</v>
      </c>
      <c r="AB22" s="422">
        <v>0</v>
      </c>
      <c r="AC22" s="422">
        <v>0</v>
      </c>
    </row>
    <row r="23" spans="1:29" ht="16.5" thickBot="1" x14ac:dyDescent="0.3">
      <c r="A23" s="704"/>
      <c r="B23" s="391" t="s">
        <v>225</v>
      </c>
      <c r="C23" s="390" t="s">
        <v>49</v>
      </c>
      <c r="D23" s="386">
        <f>16601640+2609790</f>
        <v>19211430</v>
      </c>
      <c r="E23" s="386">
        <v>19601655</v>
      </c>
      <c r="F23" s="386">
        <v>3362000</v>
      </c>
      <c r="G23" s="386">
        <v>3624500</v>
      </c>
      <c r="H23" s="386">
        <f>450000+70000+150000+120000+250000+250000+250000+250000</f>
        <v>1790000</v>
      </c>
      <c r="I23" s="386">
        <v>1872852</v>
      </c>
      <c r="J23" s="386"/>
      <c r="K23" s="386"/>
      <c r="L23" s="386">
        <v>0</v>
      </c>
      <c r="M23" s="386">
        <v>0</v>
      </c>
      <c r="N23" s="387">
        <v>0</v>
      </c>
      <c r="O23" s="387">
        <v>0</v>
      </c>
      <c r="P23" s="386">
        <v>0</v>
      </c>
      <c r="Q23" s="386">
        <v>0</v>
      </c>
      <c r="R23" s="387">
        <v>0</v>
      </c>
      <c r="S23" s="387">
        <v>0</v>
      </c>
      <c r="T23" s="386">
        <v>0</v>
      </c>
      <c r="U23" s="386">
        <v>0</v>
      </c>
      <c r="V23" s="432">
        <v>0</v>
      </c>
      <c r="W23" s="432">
        <v>0</v>
      </c>
      <c r="X23" s="432">
        <v>0</v>
      </c>
      <c r="Y23" s="432">
        <v>0</v>
      </c>
      <c r="Z23" s="388">
        <f t="shared" si="0"/>
        <v>24363430</v>
      </c>
      <c r="AA23" s="620">
        <f t="shared" si="1"/>
        <v>25099007</v>
      </c>
      <c r="AB23" s="422">
        <v>3</v>
      </c>
      <c r="AC23" s="422">
        <v>3</v>
      </c>
    </row>
    <row r="24" spans="1:29" ht="32.25" thickBot="1" x14ac:dyDescent="0.3">
      <c r="A24" s="704"/>
      <c r="B24" s="563" t="s">
        <v>618</v>
      </c>
      <c r="C24" s="629" t="s">
        <v>619</v>
      </c>
      <c r="D24" s="386">
        <v>0</v>
      </c>
      <c r="E24" s="386">
        <v>0</v>
      </c>
      <c r="F24" s="386">
        <v>0</v>
      </c>
      <c r="G24" s="386">
        <v>0</v>
      </c>
      <c r="H24" s="386">
        <v>0</v>
      </c>
      <c r="I24" s="386">
        <v>1327762</v>
      </c>
      <c r="J24" s="386"/>
      <c r="K24" s="386"/>
      <c r="L24" s="386">
        <v>0</v>
      </c>
      <c r="M24" s="386">
        <v>0</v>
      </c>
      <c r="N24" s="387">
        <v>0</v>
      </c>
      <c r="O24" s="387">
        <v>0</v>
      </c>
      <c r="P24" s="386">
        <v>0</v>
      </c>
      <c r="Q24" s="386">
        <v>0</v>
      </c>
      <c r="R24" s="387">
        <v>0</v>
      </c>
      <c r="S24" s="387">
        <v>0</v>
      </c>
      <c r="T24" s="386">
        <v>0</v>
      </c>
      <c r="U24" s="386">
        <v>0</v>
      </c>
      <c r="V24" s="432">
        <v>0</v>
      </c>
      <c r="W24" s="432">
        <v>0</v>
      </c>
      <c r="X24" s="432">
        <v>0</v>
      </c>
      <c r="Y24" s="432">
        <v>0</v>
      </c>
      <c r="Z24" s="388">
        <f t="shared" si="0"/>
        <v>0</v>
      </c>
      <c r="AA24" s="620">
        <f t="shared" si="1"/>
        <v>1327762</v>
      </c>
      <c r="AB24" s="422">
        <v>0</v>
      </c>
      <c r="AC24" s="422">
        <v>0</v>
      </c>
    </row>
    <row r="25" spans="1:29" ht="16.5" thickBot="1" x14ac:dyDescent="0.3">
      <c r="A25" s="704"/>
      <c r="B25" s="563" t="s">
        <v>257</v>
      </c>
      <c r="C25" s="390" t="s">
        <v>274</v>
      </c>
      <c r="D25" s="386">
        <f>120000+855000</f>
        <v>975000</v>
      </c>
      <c r="E25" s="386">
        <f>120000+855000</f>
        <v>975000</v>
      </c>
      <c r="F25" s="386">
        <v>170625</v>
      </c>
      <c r="G25" s="386">
        <v>170625</v>
      </c>
      <c r="H25" s="386">
        <f>260000+850000+1020000</f>
        <v>2130000</v>
      </c>
      <c r="I25" s="386">
        <v>3016231</v>
      </c>
      <c r="J25" s="386"/>
      <c r="K25" s="386"/>
      <c r="L25" s="386">
        <v>0</v>
      </c>
      <c r="M25" s="386">
        <v>0</v>
      </c>
      <c r="N25" s="387">
        <v>0</v>
      </c>
      <c r="O25" s="387">
        <v>0</v>
      </c>
      <c r="P25" s="386">
        <v>0</v>
      </c>
      <c r="Q25" s="386">
        <v>0</v>
      </c>
      <c r="R25" s="387">
        <v>0</v>
      </c>
      <c r="S25" s="387">
        <v>0</v>
      </c>
      <c r="T25" s="386">
        <v>0</v>
      </c>
      <c r="U25" s="386">
        <v>0</v>
      </c>
      <c r="V25" s="432">
        <v>1400000</v>
      </c>
      <c r="W25" s="432">
        <v>1400000</v>
      </c>
      <c r="X25" s="432">
        <v>0</v>
      </c>
      <c r="Y25" s="432">
        <v>0</v>
      </c>
      <c r="Z25" s="388">
        <f t="shared" si="0"/>
        <v>4675625</v>
      </c>
      <c r="AA25" s="620">
        <f t="shared" si="1"/>
        <v>5561856</v>
      </c>
      <c r="AB25" s="422">
        <v>1</v>
      </c>
      <c r="AC25" s="422">
        <v>1</v>
      </c>
    </row>
    <row r="26" spans="1:29" s="634" customFormat="1" ht="16.5" thickBot="1" x14ac:dyDescent="0.3">
      <c r="A26" s="704"/>
      <c r="B26" s="630" t="s">
        <v>327</v>
      </c>
      <c r="C26" s="631" t="s">
        <v>275</v>
      </c>
      <c r="D26" s="432">
        <v>0</v>
      </c>
      <c r="E26" s="432">
        <v>0</v>
      </c>
      <c r="F26" s="432">
        <v>0</v>
      </c>
      <c r="G26" s="432">
        <v>0</v>
      </c>
      <c r="H26" s="432">
        <v>0</v>
      </c>
      <c r="I26" s="432">
        <v>0</v>
      </c>
      <c r="J26" s="432"/>
      <c r="K26" s="432"/>
      <c r="L26" s="432">
        <v>86657095</v>
      </c>
      <c r="M26" s="432">
        <v>93876591</v>
      </c>
      <c r="N26" s="632">
        <v>0</v>
      </c>
      <c r="O26" s="632">
        <v>0</v>
      </c>
      <c r="P26" s="432">
        <v>0</v>
      </c>
      <c r="Q26" s="432">
        <v>0</v>
      </c>
      <c r="R26" s="632">
        <v>0</v>
      </c>
      <c r="S26" s="632">
        <v>0</v>
      </c>
      <c r="T26" s="432">
        <v>0</v>
      </c>
      <c r="U26" s="432">
        <v>0</v>
      </c>
      <c r="V26" s="432">
        <v>0</v>
      </c>
      <c r="W26" s="432">
        <v>0</v>
      </c>
      <c r="X26" s="432">
        <v>0</v>
      </c>
      <c r="Y26" s="432">
        <v>0</v>
      </c>
      <c r="Z26" s="388">
        <f t="shared" ref="Z26:Z27" si="2">+X26+V25:V26+T26+R26+P26+N26+L26+H26+F26+D26+J26</f>
        <v>86657095</v>
      </c>
      <c r="AA26" s="620">
        <f t="shared" ref="AA26:AA27" si="3">+Y26+W26+U26+S26+Q26+O26+M26+I26+G26+E26+K26</f>
        <v>93876591</v>
      </c>
      <c r="AB26" s="633">
        <v>0</v>
      </c>
      <c r="AC26" s="633">
        <v>0</v>
      </c>
    </row>
    <row r="27" spans="1:29" s="634" customFormat="1" ht="61.5" customHeight="1" thickBot="1" x14ac:dyDescent="0.3">
      <c r="A27" s="704"/>
      <c r="B27" s="630" t="s">
        <v>327</v>
      </c>
      <c r="C27" s="635" t="s">
        <v>475</v>
      </c>
      <c r="D27" s="432">
        <v>0</v>
      </c>
      <c r="E27" s="432">
        <v>0</v>
      </c>
      <c r="F27" s="432">
        <v>0</v>
      </c>
      <c r="G27" s="432">
        <v>0</v>
      </c>
      <c r="H27" s="432">
        <v>0</v>
      </c>
      <c r="I27" s="432">
        <v>0</v>
      </c>
      <c r="J27" s="432"/>
      <c r="K27" s="432"/>
      <c r="L27" s="432">
        <f>1080098+116455+7514250</f>
        <v>8710803</v>
      </c>
      <c r="M27" s="432">
        <v>7514250</v>
      </c>
      <c r="N27" s="432">
        <v>0</v>
      </c>
      <c r="O27" s="432">
        <v>0</v>
      </c>
      <c r="P27" s="432">
        <v>0</v>
      </c>
      <c r="Q27" s="432">
        <v>0</v>
      </c>
      <c r="R27" s="432">
        <v>0</v>
      </c>
      <c r="S27" s="432">
        <v>0</v>
      </c>
      <c r="T27" s="432">
        <v>0</v>
      </c>
      <c r="U27" s="432">
        <v>0</v>
      </c>
      <c r="V27" s="432">
        <v>0</v>
      </c>
      <c r="W27" s="432">
        <v>0</v>
      </c>
      <c r="X27" s="432">
        <v>0</v>
      </c>
      <c r="Y27" s="432">
        <v>0</v>
      </c>
      <c r="Z27" s="388">
        <f t="shared" si="2"/>
        <v>8710803</v>
      </c>
      <c r="AA27" s="620">
        <f t="shared" si="3"/>
        <v>7514250</v>
      </c>
      <c r="AB27" s="633">
        <v>0</v>
      </c>
      <c r="AC27" s="633">
        <v>0</v>
      </c>
    </row>
    <row r="28" spans="1:29" ht="16.5" thickBot="1" x14ac:dyDescent="0.3">
      <c r="A28" s="704"/>
      <c r="B28" s="391" t="s">
        <v>260</v>
      </c>
      <c r="C28" s="390" t="s">
        <v>227</v>
      </c>
      <c r="D28" s="386">
        <f>6028644+180000</f>
        <v>6208644</v>
      </c>
      <c r="E28" s="386">
        <v>8113601</v>
      </c>
      <c r="F28" s="386">
        <v>1055013</v>
      </c>
      <c r="G28" s="386">
        <v>1185958</v>
      </c>
      <c r="H28" s="386">
        <f>880000+400000+1192000+490000</f>
        <v>2962000</v>
      </c>
      <c r="I28" s="386">
        <v>2555323</v>
      </c>
      <c r="J28" s="386"/>
      <c r="K28" s="386"/>
      <c r="L28" s="386">
        <v>0</v>
      </c>
      <c r="M28" s="386">
        <v>0</v>
      </c>
      <c r="N28" s="387">
        <v>0</v>
      </c>
      <c r="O28" s="387">
        <v>0</v>
      </c>
      <c r="P28" s="386">
        <v>0</v>
      </c>
      <c r="Q28" s="386">
        <v>0</v>
      </c>
      <c r="R28" s="387">
        <v>0</v>
      </c>
      <c r="S28" s="387">
        <v>0</v>
      </c>
      <c r="T28" s="386">
        <v>0</v>
      </c>
      <c r="U28" s="386">
        <v>0</v>
      </c>
      <c r="V28" s="432">
        <v>0</v>
      </c>
      <c r="W28" s="432">
        <v>0</v>
      </c>
      <c r="X28" s="432">
        <v>150000</v>
      </c>
      <c r="Y28" s="432">
        <v>150000</v>
      </c>
      <c r="Z28" s="388">
        <f t="shared" ref="Z28:Z30" si="4">+X28+V27:V28+T28+R28+P28+N28+L28+H28+F28+D28+J28</f>
        <v>10375657</v>
      </c>
      <c r="AA28" s="620">
        <f t="shared" ref="AA28:AA30" si="5">+Y28+W28+U28+S28+Q28+O28+M28+I28+G28+E28+K28</f>
        <v>12004882</v>
      </c>
      <c r="AB28" s="422">
        <v>2</v>
      </c>
      <c r="AC28" s="422">
        <v>2</v>
      </c>
    </row>
    <row r="29" spans="1:29" ht="16.5" thickBot="1" x14ac:dyDescent="0.3">
      <c r="A29" s="704"/>
      <c r="B29" s="391" t="s">
        <v>261</v>
      </c>
      <c r="C29" s="390" t="s">
        <v>277</v>
      </c>
      <c r="D29" s="386">
        <v>0</v>
      </c>
      <c r="E29" s="386">
        <v>0</v>
      </c>
      <c r="F29" s="386">
        <v>0</v>
      </c>
      <c r="G29" s="386">
        <v>0</v>
      </c>
      <c r="H29" s="386">
        <v>450000</v>
      </c>
      <c r="I29" s="386">
        <v>450000</v>
      </c>
      <c r="J29" s="386"/>
      <c r="K29" s="386"/>
      <c r="L29" s="386">
        <v>0</v>
      </c>
      <c r="M29" s="386">
        <v>0</v>
      </c>
      <c r="N29" s="387">
        <v>0</v>
      </c>
      <c r="O29" s="387">
        <v>0</v>
      </c>
      <c r="P29" s="386">
        <v>8815656</v>
      </c>
      <c r="Q29" s="386">
        <v>8815656</v>
      </c>
      <c r="R29" s="387">
        <v>0</v>
      </c>
      <c r="S29" s="387">
        <v>0</v>
      </c>
      <c r="T29" s="386">
        <v>0</v>
      </c>
      <c r="U29" s="386">
        <v>0</v>
      </c>
      <c r="V29" s="432">
        <v>0</v>
      </c>
      <c r="W29" s="432">
        <v>0</v>
      </c>
      <c r="X29" s="432">
        <v>400000</v>
      </c>
      <c r="Y29" s="432">
        <v>400000</v>
      </c>
      <c r="Z29" s="388">
        <f t="shared" si="4"/>
        <v>9665656</v>
      </c>
      <c r="AA29" s="620">
        <f t="shared" si="5"/>
        <v>9665656</v>
      </c>
      <c r="AB29" s="422">
        <v>0</v>
      </c>
      <c r="AC29" s="422">
        <v>0</v>
      </c>
    </row>
    <row r="30" spans="1:29" ht="32.25" thickBot="1" x14ac:dyDescent="0.3">
      <c r="A30" s="704"/>
      <c r="B30" s="391" t="s">
        <v>411</v>
      </c>
      <c r="C30" s="629" t="s">
        <v>645</v>
      </c>
      <c r="D30" s="386"/>
      <c r="E30" s="386"/>
      <c r="F30" s="386"/>
      <c r="G30" s="386"/>
      <c r="H30" s="386">
        <v>0</v>
      </c>
      <c r="I30" s="386">
        <v>4384040</v>
      </c>
      <c r="J30" s="386"/>
      <c r="K30" s="386"/>
      <c r="L30" s="386"/>
      <c r="M30" s="386"/>
      <c r="N30" s="387"/>
      <c r="O30" s="387"/>
      <c r="P30" s="386"/>
      <c r="Q30" s="386"/>
      <c r="R30" s="387"/>
      <c r="S30" s="387"/>
      <c r="T30" s="386"/>
      <c r="U30" s="386"/>
      <c r="V30" s="432"/>
      <c r="W30" s="432"/>
      <c r="X30" s="432"/>
      <c r="Y30" s="432"/>
      <c r="Z30" s="388">
        <f t="shared" si="4"/>
        <v>0</v>
      </c>
      <c r="AA30" s="620">
        <f t="shared" si="5"/>
        <v>4384040</v>
      </c>
      <c r="AB30" s="422">
        <v>0</v>
      </c>
      <c r="AC30" s="422">
        <v>0</v>
      </c>
    </row>
    <row r="31" spans="1:29" ht="16.5" thickBot="1" x14ac:dyDescent="0.3">
      <c r="A31" s="704"/>
      <c r="B31" s="565" t="s">
        <v>262</v>
      </c>
      <c r="C31" s="640" t="s">
        <v>278</v>
      </c>
      <c r="D31" s="628">
        <v>0</v>
      </c>
      <c r="E31" s="628">
        <v>0</v>
      </c>
      <c r="F31" s="628">
        <v>0</v>
      </c>
      <c r="G31" s="628">
        <v>0</v>
      </c>
      <c r="H31" s="628">
        <v>0</v>
      </c>
      <c r="I31" s="628">
        <v>0</v>
      </c>
      <c r="J31" s="628"/>
      <c r="K31" s="628"/>
      <c r="L31" s="628">
        <v>0</v>
      </c>
      <c r="M31" s="628">
        <v>0</v>
      </c>
      <c r="N31" s="639">
        <f>700000+1600000+100000</f>
        <v>2400000</v>
      </c>
      <c r="O31" s="639">
        <f>700000+1600000+100000</f>
        <v>2400000</v>
      </c>
      <c r="P31" s="628">
        <v>0</v>
      </c>
      <c r="Q31" s="628">
        <v>0</v>
      </c>
      <c r="R31" s="639">
        <v>0</v>
      </c>
      <c r="S31" s="639">
        <v>0</v>
      </c>
      <c r="T31" s="628">
        <v>0</v>
      </c>
      <c r="U31" s="628">
        <v>0</v>
      </c>
      <c r="V31" s="628">
        <v>0</v>
      </c>
      <c r="W31" s="628">
        <v>0</v>
      </c>
      <c r="X31" s="628">
        <v>0</v>
      </c>
      <c r="Y31" s="628">
        <v>0</v>
      </c>
      <c r="Z31" s="388">
        <f>+X31+V29:V31+T31+R31+P31+N31+L31+H31+F31+D31+J31</f>
        <v>2400000</v>
      </c>
      <c r="AA31" s="620">
        <f t="shared" si="1"/>
        <v>2400000</v>
      </c>
      <c r="AB31" s="422">
        <v>0</v>
      </c>
      <c r="AC31" s="422">
        <v>0</v>
      </c>
    </row>
    <row r="32" spans="1:29" ht="13.5" customHeight="1" thickBot="1" x14ac:dyDescent="0.3">
      <c r="A32" s="704"/>
      <c r="B32" s="391" t="s">
        <v>284</v>
      </c>
      <c r="C32" s="637" t="s">
        <v>286</v>
      </c>
      <c r="D32" s="386">
        <v>0</v>
      </c>
      <c r="E32" s="386">
        <v>0</v>
      </c>
      <c r="F32" s="386">
        <v>0</v>
      </c>
      <c r="G32" s="386">
        <v>0</v>
      </c>
      <c r="H32" s="386">
        <f>750000+120000</f>
        <v>870000</v>
      </c>
      <c r="I32" s="386">
        <v>953978</v>
      </c>
      <c r="J32" s="386"/>
      <c r="K32" s="386"/>
      <c r="L32" s="386">
        <v>0</v>
      </c>
      <c r="M32" s="386">
        <v>0</v>
      </c>
      <c r="N32" s="387">
        <v>0</v>
      </c>
      <c r="O32" s="387">
        <v>0</v>
      </c>
      <c r="P32" s="386">
        <v>0</v>
      </c>
      <c r="Q32" s="386">
        <v>0</v>
      </c>
      <c r="R32" s="387">
        <v>0</v>
      </c>
      <c r="S32" s="387">
        <v>0</v>
      </c>
      <c r="T32" s="386">
        <v>0</v>
      </c>
      <c r="U32" s="386">
        <v>0</v>
      </c>
      <c r="V32" s="432">
        <v>3635000</v>
      </c>
      <c r="W32" s="432">
        <v>3907972</v>
      </c>
      <c r="X32" s="432">
        <v>0</v>
      </c>
      <c r="Y32" s="432">
        <v>1636191</v>
      </c>
      <c r="Z32" s="388">
        <f t="shared" si="0"/>
        <v>4505000</v>
      </c>
      <c r="AA32" s="620">
        <f t="shared" si="1"/>
        <v>6498141</v>
      </c>
      <c r="AB32" s="422">
        <v>0</v>
      </c>
      <c r="AC32" s="422">
        <v>0</v>
      </c>
    </row>
    <row r="33" spans="1:32" s="634" customFormat="1" ht="32.25" thickBot="1" x14ac:dyDescent="0.3">
      <c r="A33" s="704"/>
      <c r="B33" s="630" t="s">
        <v>328</v>
      </c>
      <c r="C33" s="636" t="s">
        <v>671</v>
      </c>
      <c r="D33" s="432"/>
      <c r="E33" s="432"/>
      <c r="F33" s="432"/>
      <c r="G33" s="432"/>
      <c r="H33" s="432"/>
      <c r="I33" s="432"/>
      <c r="J33" s="432"/>
      <c r="K33" s="432"/>
      <c r="L33" s="432">
        <v>0</v>
      </c>
      <c r="M33" s="432">
        <v>1170848</v>
      </c>
      <c r="N33" s="632"/>
      <c r="O33" s="632"/>
      <c r="P33" s="432"/>
      <c r="Q33" s="432"/>
      <c r="R33" s="632"/>
      <c r="S33" s="632"/>
      <c r="T33" s="432"/>
      <c r="U33" s="432"/>
      <c r="V33" s="432"/>
      <c r="W33" s="432"/>
      <c r="X33" s="432"/>
      <c r="Y33" s="432"/>
      <c r="Z33" s="388">
        <f t="shared" ref="Z33:Z34" si="6">+X33+V32:V33+T33+R33+P33+N33+L33+H33+F33+D33+J33</f>
        <v>0</v>
      </c>
      <c r="AA33" s="620">
        <f t="shared" ref="AA33:AA34" si="7">+Y33+W33+U33+S33+Q33+O33+M33+I33+G33+E33+K33</f>
        <v>1170848</v>
      </c>
      <c r="AB33" s="633">
        <v>0</v>
      </c>
      <c r="AC33" s="633">
        <v>0</v>
      </c>
    </row>
    <row r="34" spans="1:32" s="634" customFormat="1" ht="16.5" thickBot="1" x14ac:dyDescent="0.3">
      <c r="A34" s="704"/>
      <c r="B34" s="630" t="s">
        <v>328</v>
      </c>
      <c r="C34" s="631" t="s">
        <v>329</v>
      </c>
      <c r="D34" s="432">
        <v>0</v>
      </c>
      <c r="E34" s="432">
        <v>0</v>
      </c>
      <c r="F34" s="432">
        <v>0</v>
      </c>
      <c r="G34" s="432">
        <v>0</v>
      </c>
      <c r="H34" s="432">
        <v>0</v>
      </c>
      <c r="I34" s="432">
        <v>0</v>
      </c>
      <c r="J34" s="432"/>
      <c r="K34" s="432"/>
      <c r="L34" s="432">
        <v>0</v>
      </c>
      <c r="M34" s="432">
        <v>0</v>
      </c>
      <c r="N34" s="632">
        <v>0</v>
      </c>
      <c r="O34" s="632">
        <v>0</v>
      </c>
      <c r="P34" s="432">
        <v>0</v>
      </c>
      <c r="Q34" s="432">
        <v>0</v>
      </c>
      <c r="R34" s="632">
        <v>10751039</v>
      </c>
      <c r="S34" s="632">
        <v>10997076</v>
      </c>
      <c r="T34" s="432">
        <v>0</v>
      </c>
      <c r="U34" s="432">
        <v>0</v>
      </c>
      <c r="V34" s="432">
        <v>0</v>
      </c>
      <c r="W34" s="432">
        <v>0</v>
      </c>
      <c r="X34" s="432">
        <v>0</v>
      </c>
      <c r="Y34" s="432">
        <v>0</v>
      </c>
      <c r="Z34" s="388">
        <f t="shared" si="6"/>
        <v>10751039</v>
      </c>
      <c r="AA34" s="620">
        <f t="shared" si="7"/>
        <v>10997076</v>
      </c>
      <c r="AB34" s="633">
        <v>0</v>
      </c>
      <c r="AC34" s="633">
        <v>0</v>
      </c>
    </row>
    <row r="35" spans="1:32" ht="35.25" customHeight="1" thickBot="1" x14ac:dyDescent="0.3">
      <c r="A35" s="704"/>
      <c r="B35" s="391" t="s">
        <v>476</v>
      </c>
      <c r="C35" s="390" t="s">
        <v>477</v>
      </c>
      <c r="D35" s="386">
        <v>0</v>
      </c>
      <c r="E35" s="386">
        <v>0</v>
      </c>
      <c r="F35" s="386">
        <v>0</v>
      </c>
      <c r="G35" s="386">
        <v>0</v>
      </c>
      <c r="H35" s="386">
        <v>67492</v>
      </c>
      <c r="I35" s="386">
        <v>67502</v>
      </c>
      <c r="J35" s="386"/>
      <c r="K35" s="386"/>
      <c r="L35" s="386">
        <v>0</v>
      </c>
      <c r="M35" s="386">
        <v>0</v>
      </c>
      <c r="N35" s="386">
        <v>0</v>
      </c>
      <c r="O35" s="386">
        <v>0</v>
      </c>
      <c r="P35" s="386">
        <v>0</v>
      </c>
      <c r="Q35" s="386">
        <v>0</v>
      </c>
      <c r="R35" s="386">
        <v>0</v>
      </c>
      <c r="S35" s="386">
        <v>0</v>
      </c>
      <c r="T35" s="386">
        <v>0</v>
      </c>
      <c r="U35" s="386">
        <v>0</v>
      </c>
      <c r="V35" s="386">
        <f>537295+145070</f>
        <v>682365</v>
      </c>
      <c r="W35" s="386">
        <f>537295+145070</f>
        <v>682365</v>
      </c>
      <c r="X35" s="386">
        <v>0</v>
      </c>
      <c r="Y35" s="386">
        <v>0</v>
      </c>
      <c r="Z35" s="388">
        <f>+X35+V34:V35+T35+R35+P35+N35+L35+H35+F35+D35+J35</f>
        <v>749857</v>
      </c>
      <c r="AA35" s="620">
        <f t="shared" si="1"/>
        <v>749867</v>
      </c>
      <c r="AB35" s="422">
        <v>0</v>
      </c>
      <c r="AC35" s="422">
        <v>0</v>
      </c>
    </row>
    <row r="36" spans="1:32" ht="16.5" thickBot="1" x14ac:dyDescent="0.25">
      <c r="A36" s="704"/>
      <c r="B36" s="228" t="s">
        <v>52</v>
      </c>
      <c r="C36" s="228"/>
      <c r="D36" s="388">
        <f t="shared" ref="D36:Y36" si="8">SUM(D6:D35)</f>
        <v>80292326</v>
      </c>
      <c r="E36" s="388">
        <f t="shared" si="8"/>
        <v>103629560</v>
      </c>
      <c r="F36" s="388">
        <f t="shared" si="8"/>
        <v>13196875</v>
      </c>
      <c r="G36" s="388">
        <f t="shared" si="8"/>
        <v>15754841</v>
      </c>
      <c r="H36" s="388">
        <f t="shared" si="8"/>
        <v>82428369</v>
      </c>
      <c r="I36" s="388">
        <f t="shared" si="8"/>
        <v>154570026</v>
      </c>
      <c r="J36" s="388">
        <f t="shared" si="8"/>
        <v>0</v>
      </c>
      <c r="K36" s="388">
        <f t="shared" si="8"/>
        <v>0</v>
      </c>
      <c r="L36" s="388">
        <f t="shared" si="8"/>
        <v>95507898</v>
      </c>
      <c r="M36" s="388">
        <f t="shared" si="8"/>
        <v>102720761</v>
      </c>
      <c r="N36" s="388">
        <f t="shared" si="8"/>
        <v>2400000</v>
      </c>
      <c r="O36" s="388">
        <f t="shared" si="8"/>
        <v>2400000</v>
      </c>
      <c r="P36" s="388">
        <f t="shared" si="8"/>
        <v>98896424</v>
      </c>
      <c r="Q36" s="388">
        <f t="shared" si="8"/>
        <v>121227071</v>
      </c>
      <c r="R36" s="388">
        <f t="shared" si="8"/>
        <v>10751039</v>
      </c>
      <c r="S36" s="388">
        <f t="shared" si="8"/>
        <v>10997076</v>
      </c>
      <c r="T36" s="388">
        <f t="shared" si="8"/>
        <v>0</v>
      </c>
      <c r="U36" s="388">
        <f t="shared" si="8"/>
        <v>0</v>
      </c>
      <c r="V36" s="388">
        <f t="shared" si="8"/>
        <v>12117364</v>
      </c>
      <c r="W36" s="388">
        <f t="shared" si="8"/>
        <v>248650591</v>
      </c>
      <c r="X36" s="388">
        <f t="shared" si="8"/>
        <v>46420058</v>
      </c>
      <c r="Y36" s="388">
        <f t="shared" si="8"/>
        <v>190046281</v>
      </c>
      <c r="Z36" s="388">
        <f>+X36+V35:V36+T36+R36+P36+N36+L36+H36+F36+D36+J36</f>
        <v>442010353</v>
      </c>
      <c r="AA36" s="620">
        <f>+Y36+W36+U36+S36+Q36+O36+M36+I36+G36+E36+K36</f>
        <v>949996207</v>
      </c>
      <c r="AB36" s="388">
        <f>SUM(AB6:AB35)</f>
        <v>47</v>
      </c>
      <c r="AC36" s="388">
        <f>SUM(AC6:AC35)</f>
        <v>48</v>
      </c>
      <c r="AE36" s="561"/>
      <c r="AF36" s="561"/>
    </row>
    <row r="37" spans="1:32" ht="16.5" thickBot="1" x14ac:dyDescent="0.3">
      <c r="A37" s="704"/>
      <c r="B37" s="391" t="s">
        <v>256</v>
      </c>
      <c r="C37" s="390" t="s">
        <v>273</v>
      </c>
      <c r="D37" s="386">
        <v>863130</v>
      </c>
      <c r="E37" s="386">
        <v>863130</v>
      </c>
      <c r="F37" s="386">
        <v>0</v>
      </c>
      <c r="G37" s="386">
        <v>0</v>
      </c>
      <c r="H37" s="386">
        <f>80000+150000</f>
        <v>230000</v>
      </c>
      <c r="I37" s="386">
        <f>80000+150000</f>
        <v>230000</v>
      </c>
      <c r="J37" s="386"/>
      <c r="K37" s="386"/>
      <c r="L37" s="386">
        <v>0</v>
      </c>
      <c r="M37" s="386">
        <v>0</v>
      </c>
      <c r="N37" s="387">
        <v>0</v>
      </c>
      <c r="O37" s="387">
        <v>0</v>
      </c>
      <c r="P37" s="386">
        <v>0</v>
      </c>
      <c r="Q37" s="386">
        <v>0</v>
      </c>
      <c r="R37" s="387">
        <v>0</v>
      </c>
      <c r="S37" s="387">
        <v>0</v>
      </c>
      <c r="T37" s="386">
        <v>0</v>
      </c>
      <c r="U37" s="386">
        <v>0</v>
      </c>
      <c r="V37" s="386">
        <v>0</v>
      </c>
      <c r="W37" s="386">
        <v>0</v>
      </c>
      <c r="X37" s="386">
        <v>0</v>
      </c>
      <c r="Y37" s="386">
        <v>0</v>
      </c>
      <c r="Z37" s="388">
        <f t="shared" si="0"/>
        <v>1093130</v>
      </c>
      <c r="AA37" s="620">
        <f t="shared" si="1"/>
        <v>1093130</v>
      </c>
      <c r="AB37" s="422">
        <v>1</v>
      </c>
      <c r="AC37" s="422">
        <v>1</v>
      </c>
      <c r="AE37" s="561"/>
    </row>
    <row r="38" spans="1:32" ht="16.5" thickBot="1" x14ac:dyDescent="0.3">
      <c r="A38" s="704"/>
      <c r="B38" s="565" t="s">
        <v>262</v>
      </c>
      <c r="C38" s="640" t="s">
        <v>233</v>
      </c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/>
      <c r="K38" s="628"/>
      <c r="L38" s="628">
        <v>0</v>
      </c>
      <c r="M38" s="628">
        <v>0</v>
      </c>
      <c r="N38" s="639">
        <v>567000</v>
      </c>
      <c r="O38" s="639">
        <v>567000</v>
      </c>
      <c r="P38" s="628">
        <v>0</v>
      </c>
      <c r="Q38" s="628">
        <v>0</v>
      </c>
      <c r="R38" s="639">
        <v>0</v>
      </c>
      <c r="S38" s="639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388">
        <f t="shared" si="0"/>
        <v>567000</v>
      </c>
      <c r="AA38" s="620">
        <f t="shared" si="1"/>
        <v>567000</v>
      </c>
      <c r="AB38" s="422">
        <v>0</v>
      </c>
      <c r="AC38" s="422">
        <v>0</v>
      </c>
      <c r="AE38" s="561"/>
    </row>
    <row r="39" spans="1:32" ht="32.25" customHeight="1" thickBot="1" x14ac:dyDescent="0.3">
      <c r="A39" s="704"/>
      <c r="B39" s="565" t="s">
        <v>262</v>
      </c>
      <c r="C39" s="638" t="s">
        <v>296</v>
      </c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/>
      <c r="K39" s="628"/>
      <c r="L39" s="628">
        <v>0</v>
      </c>
      <c r="M39" s="628">
        <v>0</v>
      </c>
      <c r="N39" s="639">
        <v>180000</v>
      </c>
      <c r="O39" s="639">
        <v>180000</v>
      </c>
      <c r="P39" s="628">
        <v>0</v>
      </c>
      <c r="Q39" s="628">
        <v>0</v>
      </c>
      <c r="R39" s="639">
        <v>0</v>
      </c>
      <c r="S39" s="639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388">
        <f t="shared" si="0"/>
        <v>180000</v>
      </c>
      <c r="AA39" s="620">
        <f t="shared" si="1"/>
        <v>180000</v>
      </c>
      <c r="AB39" s="422">
        <v>0</v>
      </c>
      <c r="AC39" s="422">
        <v>0</v>
      </c>
    </row>
    <row r="40" spans="1:32" ht="16.5" thickBot="1" x14ac:dyDescent="0.3">
      <c r="A40" s="704"/>
      <c r="B40" s="564" t="s">
        <v>360</v>
      </c>
      <c r="C40" s="390" t="s">
        <v>361</v>
      </c>
      <c r="D40" s="386">
        <v>0</v>
      </c>
      <c r="E40" s="386">
        <v>0</v>
      </c>
      <c r="F40" s="386">
        <v>0</v>
      </c>
      <c r="G40" s="386">
        <v>0</v>
      </c>
      <c r="H40" s="386">
        <v>0</v>
      </c>
      <c r="I40" s="386">
        <v>0</v>
      </c>
      <c r="J40" s="386"/>
      <c r="K40" s="386">
        <v>117120</v>
      </c>
      <c r="L40" s="386">
        <v>0</v>
      </c>
      <c r="M40" s="386">
        <v>0</v>
      </c>
      <c r="N40" s="387">
        <v>0</v>
      </c>
      <c r="O40" s="387">
        <v>0</v>
      </c>
      <c r="P40" s="386">
        <v>0</v>
      </c>
      <c r="Q40" s="386">
        <v>0</v>
      </c>
      <c r="R40" s="387">
        <v>0</v>
      </c>
      <c r="S40" s="387">
        <v>0</v>
      </c>
      <c r="T40" s="386">
        <v>0</v>
      </c>
      <c r="U40" s="386">
        <v>0</v>
      </c>
      <c r="V40" s="386">
        <v>0</v>
      </c>
      <c r="W40" s="386">
        <v>0</v>
      </c>
      <c r="X40" s="386">
        <v>0</v>
      </c>
      <c r="Y40" s="386">
        <v>0</v>
      </c>
      <c r="Z40" s="388">
        <f t="shared" si="0"/>
        <v>0</v>
      </c>
      <c r="AA40" s="620">
        <f t="shared" si="1"/>
        <v>117120</v>
      </c>
      <c r="AB40" s="422">
        <v>0</v>
      </c>
      <c r="AC40" s="422">
        <v>0</v>
      </c>
    </row>
    <row r="41" spans="1:32" ht="16.5" thickBot="1" x14ac:dyDescent="0.3">
      <c r="A41" s="704"/>
      <c r="B41" s="589" t="s">
        <v>246</v>
      </c>
      <c r="C41" s="389" t="s">
        <v>265</v>
      </c>
      <c r="D41" s="386">
        <v>0</v>
      </c>
      <c r="E41" s="386">
        <v>0</v>
      </c>
      <c r="F41" s="386">
        <v>0</v>
      </c>
      <c r="G41" s="386">
        <v>0</v>
      </c>
      <c r="H41" s="386">
        <v>0</v>
      </c>
      <c r="I41" s="386">
        <v>0</v>
      </c>
      <c r="J41" s="386"/>
      <c r="K41" s="386"/>
      <c r="L41" s="386">
        <v>0</v>
      </c>
      <c r="M41" s="386">
        <v>0</v>
      </c>
      <c r="N41" s="387">
        <v>0</v>
      </c>
      <c r="O41" s="387">
        <v>0</v>
      </c>
      <c r="P41" s="386">
        <v>0</v>
      </c>
      <c r="Q41" s="386">
        <v>0</v>
      </c>
      <c r="R41" s="387">
        <v>0</v>
      </c>
      <c r="S41" s="387">
        <v>0</v>
      </c>
      <c r="T41" s="386">
        <v>0</v>
      </c>
      <c r="U41" s="386">
        <v>0</v>
      </c>
      <c r="V41" s="432">
        <v>0</v>
      </c>
      <c r="W41" s="432">
        <v>0</v>
      </c>
      <c r="X41" s="386">
        <v>0</v>
      </c>
      <c r="Y41" s="386">
        <v>0</v>
      </c>
      <c r="Z41" s="388">
        <f t="shared" si="0"/>
        <v>0</v>
      </c>
      <c r="AA41" s="620">
        <f t="shared" si="1"/>
        <v>0</v>
      </c>
      <c r="AB41" s="422">
        <v>0</v>
      </c>
      <c r="AC41" s="422">
        <v>0</v>
      </c>
    </row>
    <row r="42" spans="1:32" ht="16.5" thickBot="1" x14ac:dyDescent="0.3">
      <c r="A42" s="704"/>
      <c r="B42" s="391" t="s">
        <v>356</v>
      </c>
      <c r="C42" s="389" t="s">
        <v>358</v>
      </c>
      <c r="D42" s="386">
        <f>774100+672000</f>
        <v>1446100</v>
      </c>
      <c r="E42" s="386">
        <f>774100+672000</f>
        <v>1446100</v>
      </c>
      <c r="F42" s="386">
        <v>241309</v>
      </c>
      <c r="G42" s="386">
        <v>241309</v>
      </c>
      <c r="H42" s="386">
        <f>374441+643916+700000+19432532+527490</f>
        <v>21678379</v>
      </c>
      <c r="I42" s="386">
        <v>22474216</v>
      </c>
      <c r="J42" s="386"/>
      <c r="K42" s="386"/>
      <c r="L42" s="386">
        <v>0</v>
      </c>
      <c r="M42" s="386">
        <v>0</v>
      </c>
      <c r="N42" s="387">
        <v>0</v>
      </c>
      <c r="O42" s="387">
        <v>0</v>
      </c>
      <c r="P42" s="386">
        <v>0</v>
      </c>
      <c r="Q42" s="386">
        <v>0</v>
      </c>
      <c r="R42" s="387">
        <v>0</v>
      </c>
      <c r="S42" s="387">
        <v>0</v>
      </c>
      <c r="T42" s="386">
        <v>0</v>
      </c>
      <c r="U42" s="386">
        <v>0</v>
      </c>
      <c r="V42" s="432">
        <f>344000+92880</f>
        <v>436880</v>
      </c>
      <c r="W42" s="432">
        <f>344000+92880</f>
        <v>436880</v>
      </c>
      <c r="X42" s="386">
        <v>0</v>
      </c>
      <c r="Y42" s="386">
        <v>0</v>
      </c>
      <c r="Z42" s="388">
        <f t="shared" si="0"/>
        <v>23802668</v>
      </c>
      <c r="AA42" s="620">
        <f t="shared" si="1"/>
        <v>24598505</v>
      </c>
      <c r="AB42" s="422">
        <v>0</v>
      </c>
      <c r="AC42" s="422">
        <v>0</v>
      </c>
    </row>
    <row r="43" spans="1:32" ht="16.5" thickBot="1" x14ac:dyDescent="0.3">
      <c r="A43" s="704"/>
      <c r="B43" s="391" t="s">
        <v>357</v>
      </c>
      <c r="C43" s="389" t="s">
        <v>359</v>
      </c>
      <c r="D43" s="386">
        <f>2700000+591000</f>
        <v>3291000</v>
      </c>
      <c r="E43" s="386">
        <v>3384600</v>
      </c>
      <c r="F43" s="386">
        <v>565584</v>
      </c>
      <c r="G43" s="386">
        <v>576714</v>
      </c>
      <c r="H43" s="386">
        <f>168165+258889+3944697+43342</f>
        <v>4415093</v>
      </c>
      <c r="I43" s="386">
        <v>5111675</v>
      </c>
      <c r="J43" s="386"/>
      <c r="K43" s="386"/>
      <c r="L43" s="386">
        <v>0</v>
      </c>
      <c r="M43" s="386">
        <v>0</v>
      </c>
      <c r="N43" s="387">
        <v>0</v>
      </c>
      <c r="O43" s="387">
        <v>0</v>
      </c>
      <c r="P43" s="386">
        <v>0</v>
      </c>
      <c r="Q43" s="386">
        <v>0</v>
      </c>
      <c r="R43" s="387">
        <v>0</v>
      </c>
      <c r="S43" s="387">
        <v>0</v>
      </c>
      <c r="T43" s="386">
        <v>0</v>
      </c>
      <c r="U43" s="386">
        <v>0</v>
      </c>
      <c r="V43" s="432">
        <v>0</v>
      </c>
      <c r="W43" s="432">
        <v>0</v>
      </c>
      <c r="X43" s="386">
        <v>0</v>
      </c>
      <c r="Y43" s="386">
        <v>0</v>
      </c>
      <c r="Z43" s="388">
        <f t="shared" si="0"/>
        <v>8271677</v>
      </c>
      <c r="AA43" s="620">
        <f t="shared" si="1"/>
        <v>9072989</v>
      </c>
      <c r="AB43" s="422">
        <v>0</v>
      </c>
      <c r="AC43" s="422">
        <v>0</v>
      </c>
    </row>
    <row r="44" spans="1:32" ht="16.5" thickBot="1" x14ac:dyDescent="0.25">
      <c r="A44" s="704"/>
      <c r="B44" s="228" t="s">
        <v>53</v>
      </c>
      <c r="C44" s="228"/>
      <c r="D44" s="388">
        <f>SUM(D37:D43)</f>
        <v>5600230</v>
      </c>
      <c r="E44" s="388">
        <f>SUM(E37:E43)</f>
        <v>5693830</v>
      </c>
      <c r="F44" s="388">
        <f t="shared" ref="F44:Y44" si="9">SUM(F37:F43)</f>
        <v>806893</v>
      </c>
      <c r="G44" s="388">
        <f t="shared" ref="G44" si="10">SUM(G37:G43)</f>
        <v>818023</v>
      </c>
      <c r="H44" s="388">
        <f>SUM(H37:H43)</f>
        <v>26323472</v>
      </c>
      <c r="I44" s="388">
        <f t="shared" si="9"/>
        <v>27815891</v>
      </c>
      <c r="J44" s="388">
        <f t="shared" si="9"/>
        <v>0</v>
      </c>
      <c r="K44" s="388">
        <f t="shared" si="9"/>
        <v>117120</v>
      </c>
      <c r="L44" s="388">
        <f t="shared" si="9"/>
        <v>0</v>
      </c>
      <c r="M44" s="388">
        <f t="shared" si="9"/>
        <v>0</v>
      </c>
      <c r="N44" s="388">
        <f t="shared" si="9"/>
        <v>747000</v>
      </c>
      <c r="O44" s="388">
        <f t="shared" si="9"/>
        <v>747000</v>
      </c>
      <c r="P44" s="388">
        <f t="shared" si="9"/>
        <v>0</v>
      </c>
      <c r="Q44" s="388">
        <f t="shared" si="9"/>
        <v>0</v>
      </c>
      <c r="R44" s="388">
        <f t="shared" si="9"/>
        <v>0</v>
      </c>
      <c r="S44" s="388">
        <f t="shared" si="9"/>
        <v>0</v>
      </c>
      <c r="T44" s="388">
        <f t="shared" si="9"/>
        <v>0</v>
      </c>
      <c r="U44" s="388">
        <f t="shared" si="9"/>
        <v>0</v>
      </c>
      <c r="V44" s="388">
        <f t="shared" si="9"/>
        <v>436880</v>
      </c>
      <c r="W44" s="388">
        <f t="shared" si="9"/>
        <v>436880</v>
      </c>
      <c r="X44" s="388">
        <f t="shared" si="9"/>
        <v>0</v>
      </c>
      <c r="Y44" s="388">
        <f t="shared" si="9"/>
        <v>0</v>
      </c>
      <c r="Z44" s="388">
        <f t="shared" si="0"/>
        <v>33914475</v>
      </c>
      <c r="AA44" s="388">
        <f t="shared" si="1"/>
        <v>35628744</v>
      </c>
      <c r="AB44" s="420">
        <v>0</v>
      </c>
      <c r="AC44" s="420">
        <v>0</v>
      </c>
    </row>
    <row r="45" spans="1:32" ht="16.5" thickBot="1" x14ac:dyDescent="0.25">
      <c r="A45" s="704"/>
      <c r="B45" s="705" t="s">
        <v>54</v>
      </c>
      <c r="C45" s="706"/>
      <c r="D45" s="388">
        <f>D36+D44</f>
        <v>85892556</v>
      </c>
      <c r="E45" s="388">
        <f>E36+E44</f>
        <v>109323390</v>
      </c>
      <c r="F45" s="388">
        <f t="shared" ref="F45" si="11">F36+F44</f>
        <v>14003768</v>
      </c>
      <c r="G45" s="388">
        <f t="shared" ref="G45" si="12">G36+G44</f>
        <v>16572864</v>
      </c>
      <c r="H45" s="388">
        <f>H36+H44</f>
        <v>108751841</v>
      </c>
      <c r="I45" s="388">
        <f>I36+I44</f>
        <v>182385917</v>
      </c>
      <c r="J45" s="388">
        <f>J36+J44</f>
        <v>0</v>
      </c>
      <c r="K45" s="388">
        <f t="shared" ref="K45:Y45" si="13">K36+K44</f>
        <v>117120</v>
      </c>
      <c r="L45" s="388">
        <f t="shared" si="13"/>
        <v>95507898</v>
      </c>
      <c r="M45" s="388">
        <f t="shared" si="13"/>
        <v>102720761</v>
      </c>
      <c r="N45" s="388">
        <f t="shared" si="13"/>
        <v>3147000</v>
      </c>
      <c r="O45" s="388">
        <f t="shared" si="13"/>
        <v>3147000</v>
      </c>
      <c r="P45" s="388">
        <f t="shared" si="13"/>
        <v>98896424</v>
      </c>
      <c r="Q45" s="388">
        <f t="shared" si="13"/>
        <v>121227071</v>
      </c>
      <c r="R45" s="388">
        <f t="shared" si="13"/>
        <v>10751039</v>
      </c>
      <c r="S45" s="388">
        <f t="shared" si="13"/>
        <v>10997076</v>
      </c>
      <c r="T45" s="388">
        <f t="shared" si="13"/>
        <v>0</v>
      </c>
      <c r="U45" s="388">
        <f t="shared" si="13"/>
        <v>0</v>
      </c>
      <c r="V45" s="388">
        <f t="shared" si="13"/>
        <v>12554244</v>
      </c>
      <c r="W45" s="388">
        <f t="shared" si="13"/>
        <v>249087471</v>
      </c>
      <c r="X45" s="388">
        <f t="shared" si="13"/>
        <v>46420058</v>
      </c>
      <c r="Y45" s="388">
        <f t="shared" si="13"/>
        <v>190046281</v>
      </c>
      <c r="Z45" s="388">
        <f t="shared" si="0"/>
        <v>475924828</v>
      </c>
      <c r="AA45" s="388">
        <f t="shared" si="1"/>
        <v>985624951</v>
      </c>
      <c r="AB45" s="420">
        <f>SUM(AB36,AB44)</f>
        <v>47</v>
      </c>
      <c r="AC45" s="420">
        <f>SUM(AC36,AC44)</f>
        <v>48</v>
      </c>
    </row>
    <row r="46" spans="1:32" ht="37.9" customHeight="1" thickBot="1" x14ac:dyDescent="0.25">
      <c r="A46" s="704" t="s">
        <v>39</v>
      </c>
      <c r="B46" s="478" t="s">
        <v>220</v>
      </c>
      <c r="C46" s="390" t="s">
        <v>263</v>
      </c>
      <c r="D46" s="386">
        <f>65279912+3200000+3491088+450000+126000</f>
        <v>72547000</v>
      </c>
      <c r="E46" s="386">
        <v>72958995</v>
      </c>
      <c r="F46" s="386">
        <f>373063+12441212</f>
        <v>12814275</v>
      </c>
      <c r="G46" s="386">
        <v>12184393</v>
      </c>
      <c r="H46" s="386">
        <v>14100000</v>
      </c>
      <c r="I46" s="386">
        <v>13755607</v>
      </c>
      <c r="J46" s="386"/>
      <c r="K46" s="386"/>
      <c r="L46" s="386">
        <v>0</v>
      </c>
      <c r="M46" s="386">
        <v>0</v>
      </c>
      <c r="N46" s="387">
        <v>0</v>
      </c>
      <c r="O46" s="387">
        <v>0</v>
      </c>
      <c r="P46" s="386">
        <v>0</v>
      </c>
      <c r="Q46" s="386">
        <v>0</v>
      </c>
      <c r="R46" s="387">
        <v>0</v>
      </c>
      <c r="S46" s="387">
        <v>0</v>
      </c>
      <c r="T46" s="386"/>
      <c r="U46" s="386"/>
      <c r="V46" s="386">
        <v>381000</v>
      </c>
      <c r="W46" s="386">
        <v>506918</v>
      </c>
      <c r="X46" s="386">
        <v>0</v>
      </c>
      <c r="Y46" s="386">
        <v>0</v>
      </c>
      <c r="Z46" s="388">
        <f t="shared" si="0"/>
        <v>99842275</v>
      </c>
      <c r="AA46" s="388">
        <f t="shared" si="1"/>
        <v>99405913</v>
      </c>
      <c r="AB46" s="421">
        <v>17</v>
      </c>
      <c r="AC46" s="421">
        <v>17</v>
      </c>
    </row>
    <row r="47" spans="1:32" ht="22.5" customHeight="1" thickBot="1" x14ac:dyDescent="0.25">
      <c r="A47" s="704"/>
      <c r="B47" s="512" t="s">
        <v>356</v>
      </c>
      <c r="C47" s="389" t="s">
        <v>358</v>
      </c>
      <c r="D47" s="386">
        <f>100000+902000</f>
        <v>1002000</v>
      </c>
      <c r="E47" s="386">
        <v>1113275</v>
      </c>
      <c r="F47" s="386">
        <v>157850</v>
      </c>
      <c r="G47" s="386">
        <v>237475</v>
      </c>
      <c r="H47" s="386">
        <v>0</v>
      </c>
      <c r="I47" s="386">
        <v>0</v>
      </c>
      <c r="J47" s="386"/>
      <c r="K47" s="386"/>
      <c r="L47" s="386">
        <v>0</v>
      </c>
      <c r="M47" s="386">
        <v>0</v>
      </c>
      <c r="N47" s="386">
        <v>0</v>
      </c>
      <c r="O47" s="386">
        <v>0</v>
      </c>
      <c r="P47" s="386">
        <v>0</v>
      </c>
      <c r="Q47" s="386">
        <v>0</v>
      </c>
      <c r="R47" s="386">
        <v>0</v>
      </c>
      <c r="S47" s="386">
        <v>0</v>
      </c>
      <c r="T47" s="386">
        <v>0</v>
      </c>
      <c r="U47" s="386">
        <v>0</v>
      </c>
      <c r="V47" s="386">
        <v>0</v>
      </c>
      <c r="W47" s="386">
        <v>0</v>
      </c>
      <c r="X47" s="386">
        <v>0</v>
      </c>
      <c r="Y47" s="386">
        <v>0</v>
      </c>
      <c r="Z47" s="388">
        <f t="shared" si="0"/>
        <v>1159850</v>
      </c>
      <c r="AA47" s="388">
        <f t="shared" si="1"/>
        <v>1350750</v>
      </c>
      <c r="AB47" s="421">
        <v>0</v>
      </c>
      <c r="AC47" s="421">
        <v>0</v>
      </c>
    </row>
    <row r="48" spans="1:32" ht="39" customHeight="1" thickBot="1" x14ac:dyDescent="0.25">
      <c r="A48" s="704"/>
      <c r="B48" s="513" t="s">
        <v>369</v>
      </c>
      <c r="C48" s="389" t="s">
        <v>359</v>
      </c>
      <c r="D48" s="386">
        <f>1365000+90000</f>
        <v>1455000</v>
      </c>
      <c r="E48" s="386">
        <v>1800375</v>
      </c>
      <c r="F48" s="386">
        <v>238875</v>
      </c>
      <c r="G48" s="386">
        <v>243875</v>
      </c>
      <c r="H48" s="386">
        <v>0</v>
      </c>
      <c r="I48" s="386">
        <v>0</v>
      </c>
      <c r="J48" s="386"/>
      <c r="K48" s="386"/>
      <c r="L48" s="386">
        <v>0</v>
      </c>
      <c r="M48" s="386">
        <v>0</v>
      </c>
      <c r="N48" s="386">
        <v>0</v>
      </c>
      <c r="O48" s="386">
        <v>0</v>
      </c>
      <c r="P48" s="386">
        <v>0</v>
      </c>
      <c r="Q48" s="386">
        <v>0</v>
      </c>
      <c r="R48" s="386">
        <v>0</v>
      </c>
      <c r="S48" s="386">
        <v>0</v>
      </c>
      <c r="T48" s="386">
        <v>0</v>
      </c>
      <c r="U48" s="386">
        <v>0</v>
      </c>
      <c r="V48" s="386">
        <v>0</v>
      </c>
      <c r="W48" s="386">
        <v>0</v>
      </c>
      <c r="X48" s="386">
        <v>0</v>
      </c>
      <c r="Y48" s="386">
        <v>0</v>
      </c>
      <c r="Z48" s="388">
        <f t="shared" si="0"/>
        <v>1693875</v>
      </c>
      <c r="AA48" s="388">
        <f t="shared" si="1"/>
        <v>2044250</v>
      </c>
      <c r="AB48" s="421">
        <v>0</v>
      </c>
      <c r="AC48" s="421">
        <v>0</v>
      </c>
    </row>
    <row r="49" spans="1:30" ht="16.5" thickBot="1" x14ac:dyDescent="0.25">
      <c r="A49" s="704"/>
      <c r="B49" s="705" t="s">
        <v>55</v>
      </c>
      <c r="C49" s="706"/>
      <c r="D49" s="388">
        <f>+D46+D47+D48</f>
        <v>75004000</v>
      </c>
      <c r="E49" s="388">
        <f>+E46+E47+E48</f>
        <v>75872645</v>
      </c>
      <c r="F49" s="388">
        <f t="shared" ref="F49:X49" si="14">+F46+F47+F48</f>
        <v>13211000</v>
      </c>
      <c r="G49" s="388">
        <f t="shared" ref="G49" si="15">+G46+G47+G48</f>
        <v>12665743</v>
      </c>
      <c r="H49" s="388">
        <f t="shared" si="14"/>
        <v>14100000</v>
      </c>
      <c r="I49" s="388">
        <f t="shared" ref="I49:L49" si="16">+I46+I47+I48</f>
        <v>13755607</v>
      </c>
      <c r="J49" s="388">
        <f t="shared" si="16"/>
        <v>0</v>
      </c>
      <c r="K49" s="388">
        <f t="shared" si="16"/>
        <v>0</v>
      </c>
      <c r="L49" s="388">
        <f t="shared" si="16"/>
        <v>0</v>
      </c>
      <c r="M49" s="388">
        <f t="shared" ref="M49" si="17">+M46+M47+M48</f>
        <v>0</v>
      </c>
      <c r="N49" s="388">
        <f t="shared" si="14"/>
        <v>0</v>
      </c>
      <c r="O49" s="388">
        <f t="shared" ref="O49" si="18">+O46+O47+O48</f>
        <v>0</v>
      </c>
      <c r="P49" s="388">
        <f t="shared" si="14"/>
        <v>0</v>
      </c>
      <c r="Q49" s="388">
        <f t="shared" ref="Q49" si="19">+Q46+Q47+Q48</f>
        <v>0</v>
      </c>
      <c r="R49" s="388">
        <f t="shared" si="14"/>
        <v>0</v>
      </c>
      <c r="S49" s="388">
        <f t="shared" ref="S49" si="20">+S46+S47+S48</f>
        <v>0</v>
      </c>
      <c r="T49" s="388">
        <f t="shared" si="14"/>
        <v>0</v>
      </c>
      <c r="U49" s="388">
        <f t="shared" ref="U49" si="21">+U46+U47+U48</f>
        <v>0</v>
      </c>
      <c r="V49" s="388">
        <f t="shared" si="14"/>
        <v>381000</v>
      </c>
      <c r="W49" s="388">
        <f t="shared" ref="W49" si="22">+W46+W47+W48</f>
        <v>506918</v>
      </c>
      <c r="X49" s="388">
        <f t="shared" si="14"/>
        <v>0</v>
      </c>
      <c r="Y49" s="388">
        <f t="shared" ref="Y49" si="23">+Y46+Y47+Y48</f>
        <v>0</v>
      </c>
      <c r="Z49" s="388">
        <f t="shared" si="0"/>
        <v>102696000</v>
      </c>
      <c r="AA49" s="388">
        <f t="shared" si="1"/>
        <v>102800913</v>
      </c>
      <c r="AB49" s="420">
        <v>17</v>
      </c>
      <c r="AC49" s="420">
        <v>17</v>
      </c>
    </row>
    <row r="50" spans="1:30" ht="18.95" customHeight="1" thickBot="1" x14ac:dyDescent="0.25">
      <c r="A50" s="704" t="s">
        <v>41</v>
      </c>
      <c r="B50" s="391" t="s">
        <v>284</v>
      </c>
      <c r="C50" s="390" t="s">
        <v>286</v>
      </c>
      <c r="D50" s="386">
        <v>2855400</v>
      </c>
      <c r="E50" s="386">
        <v>5857095</v>
      </c>
      <c r="F50" s="386">
        <v>405195</v>
      </c>
      <c r="G50" s="386">
        <v>852074</v>
      </c>
      <c r="H50" s="386">
        <f>35000+950000+50000+100000+2300000+300000+10000+2900000+60000+1600000+60000</f>
        <v>8365000</v>
      </c>
      <c r="I50" s="386">
        <v>7609301</v>
      </c>
      <c r="J50" s="386"/>
      <c r="K50" s="386"/>
      <c r="L50" s="386">
        <v>120000</v>
      </c>
      <c r="M50" s="386">
        <v>120000</v>
      </c>
      <c r="N50" s="387">
        <v>0</v>
      </c>
      <c r="O50" s="387">
        <v>0</v>
      </c>
      <c r="P50" s="386">
        <v>0</v>
      </c>
      <c r="Q50" s="386">
        <v>0</v>
      </c>
      <c r="R50" s="387">
        <v>0</v>
      </c>
      <c r="S50" s="387">
        <v>0</v>
      </c>
      <c r="T50" s="386"/>
      <c r="U50" s="386"/>
      <c r="V50" s="386">
        <v>0</v>
      </c>
      <c r="W50" s="386">
        <v>0</v>
      </c>
      <c r="X50" s="386">
        <v>0</v>
      </c>
      <c r="Y50" s="386">
        <v>273050</v>
      </c>
      <c r="Z50" s="388">
        <f t="shared" si="0"/>
        <v>11745595</v>
      </c>
      <c r="AA50" s="388">
        <f t="shared" si="1"/>
        <v>14711520</v>
      </c>
      <c r="AB50" s="421">
        <v>0</v>
      </c>
      <c r="AC50" s="421">
        <v>3</v>
      </c>
      <c r="AD50" s="562" t="s">
        <v>662</v>
      </c>
    </row>
    <row r="51" spans="1:30" ht="30.75" customHeight="1" thickBot="1" x14ac:dyDescent="0.25">
      <c r="A51" s="704"/>
      <c r="B51" s="600" t="s">
        <v>478</v>
      </c>
      <c r="C51" s="601" t="s">
        <v>479</v>
      </c>
      <c r="D51" s="386">
        <v>0</v>
      </c>
      <c r="E51" s="386">
        <v>0</v>
      </c>
      <c r="F51" s="386">
        <v>0</v>
      </c>
      <c r="G51" s="386">
        <v>0</v>
      </c>
      <c r="H51" s="386">
        <f>200000+100000+200000+50000</f>
        <v>550000</v>
      </c>
      <c r="I51" s="386">
        <f>200000+100000+200000+50000</f>
        <v>550000</v>
      </c>
      <c r="J51" s="386"/>
      <c r="K51" s="386"/>
      <c r="L51" s="386">
        <v>0</v>
      </c>
      <c r="M51" s="386">
        <v>0</v>
      </c>
      <c r="N51" s="386">
        <v>0</v>
      </c>
      <c r="O51" s="386">
        <v>0</v>
      </c>
      <c r="P51" s="386">
        <v>0</v>
      </c>
      <c r="Q51" s="386">
        <v>0</v>
      </c>
      <c r="R51" s="386">
        <v>0</v>
      </c>
      <c r="S51" s="386">
        <v>0</v>
      </c>
      <c r="T51" s="386">
        <v>0</v>
      </c>
      <c r="U51" s="386">
        <v>0</v>
      </c>
      <c r="V51" s="386">
        <v>0</v>
      </c>
      <c r="W51" s="386">
        <v>0</v>
      </c>
      <c r="X51" s="386">
        <v>0</v>
      </c>
      <c r="Y51" s="386">
        <v>0</v>
      </c>
      <c r="Z51" s="388">
        <f t="shared" si="0"/>
        <v>550000</v>
      </c>
      <c r="AA51" s="388">
        <f t="shared" si="1"/>
        <v>550000</v>
      </c>
      <c r="AB51" s="421">
        <v>0</v>
      </c>
      <c r="AC51" s="421">
        <v>0</v>
      </c>
    </row>
    <row r="52" spans="1:30" ht="18.95" customHeight="1" thickBot="1" x14ac:dyDescent="0.25">
      <c r="A52" s="704"/>
      <c r="B52" s="600" t="s">
        <v>480</v>
      </c>
      <c r="C52" s="602" t="s">
        <v>481</v>
      </c>
      <c r="D52" s="386">
        <f>420000+3511200</f>
        <v>3931200</v>
      </c>
      <c r="E52" s="386">
        <v>3585056</v>
      </c>
      <c r="F52" s="386">
        <v>614460</v>
      </c>
      <c r="G52" s="386">
        <v>614460</v>
      </c>
      <c r="H52" s="386">
        <f>50000+50000</f>
        <v>100000</v>
      </c>
      <c r="I52" s="386">
        <f>50000+50000</f>
        <v>100000</v>
      </c>
      <c r="J52" s="386"/>
      <c r="K52" s="386"/>
      <c r="L52" s="386">
        <v>0</v>
      </c>
      <c r="M52" s="386">
        <v>0</v>
      </c>
      <c r="N52" s="386">
        <v>0</v>
      </c>
      <c r="O52" s="386">
        <v>0</v>
      </c>
      <c r="P52" s="386">
        <v>0</v>
      </c>
      <c r="Q52" s="386">
        <v>0</v>
      </c>
      <c r="R52" s="386">
        <v>0</v>
      </c>
      <c r="S52" s="386">
        <v>0</v>
      </c>
      <c r="T52" s="386">
        <v>0</v>
      </c>
      <c r="U52" s="386">
        <v>0</v>
      </c>
      <c r="V52" s="386">
        <v>0</v>
      </c>
      <c r="W52" s="386">
        <v>0</v>
      </c>
      <c r="X52" s="386">
        <v>0</v>
      </c>
      <c r="Y52" s="386">
        <v>0</v>
      </c>
      <c r="Z52" s="388">
        <f t="shared" si="0"/>
        <v>4645660</v>
      </c>
      <c r="AA52" s="388">
        <f t="shared" si="1"/>
        <v>4299516</v>
      </c>
      <c r="AB52" s="421">
        <v>3</v>
      </c>
      <c r="AC52" s="421">
        <v>1</v>
      </c>
    </row>
    <row r="53" spans="1:30" ht="32.25" customHeight="1" thickBot="1" x14ac:dyDescent="0.25">
      <c r="A53" s="704"/>
      <c r="B53" s="600" t="s">
        <v>482</v>
      </c>
      <c r="C53" s="601" t="s">
        <v>483</v>
      </c>
      <c r="D53" s="386">
        <v>0</v>
      </c>
      <c r="E53" s="386">
        <v>0</v>
      </c>
      <c r="F53" s="386">
        <v>0</v>
      </c>
      <c r="G53" s="386">
        <v>0</v>
      </c>
      <c r="H53" s="386">
        <v>0</v>
      </c>
      <c r="I53" s="386">
        <v>0</v>
      </c>
      <c r="J53" s="386"/>
      <c r="K53" s="386"/>
      <c r="L53" s="386">
        <v>0</v>
      </c>
      <c r="M53" s="386">
        <v>0</v>
      </c>
      <c r="N53" s="386">
        <v>0</v>
      </c>
      <c r="O53" s="386">
        <v>0</v>
      </c>
      <c r="P53" s="386">
        <v>0</v>
      </c>
      <c r="Q53" s="386">
        <v>0</v>
      </c>
      <c r="R53" s="386">
        <v>0</v>
      </c>
      <c r="S53" s="386">
        <v>0</v>
      </c>
      <c r="T53" s="386">
        <v>0</v>
      </c>
      <c r="U53" s="386">
        <v>0</v>
      </c>
      <c r="V53" s="386">
        <v>0</v>
      </c>
      <c r="W53" s="386">
        <v>0</v>
      </c>
      <c r="X53" s="386">
        <v>0</v>
      </c>
      <c r="Y53" s="386">
        <v>0</v>
      </c>
      <c r="Z53" s="388">
        <f t="shared" si="0"/>
        <v>0</v>
      </c>
      <c r="AA53" s="388">
        <f t="shared" si="1"/>
        <v>0</v>
      </c>
      <c r="AB53" s="421">
        <v>0</v>
      </c>
      <c r="AC53" s="421">
        <v>0</v>
      </c>
    </row>
    <row r="54" spans="1:30" ht="22.5" customHeight="1" thickBot="1" x14ac:dyDescent="0.25">
      <c r="A54" s="704"/>
      <c r="B54" s="705" t="s">
        <v>285</v>
      </c>
      <c r="C54" s="706"/>
      <c r="D54" s="388">
        <f>SUM(+D50+D51+D52+D53)</f>
        <v>6786600</v>
      </c>
      <c r="E54" s="388">
        <f>SUM(+E50+E51+E52+E53)</f>
        <v>9442151</v>
      </c>
      <c r="F54" s="388">
        <f t="shared" ref="F54:X54" si="24">SUM(+F50+F51+F52+F53)</f>
        <v>1019655</v>
      </c>
      <c r="G54" s="388">
        <f t="shared" ref="G54" si="25">SUM(+G50+G51+G52+G53)</f>
        <v>1466534</v>
      </c>
      <c r="H54" s="388">
        <f t="shared" si="24"/>
        <v>9015000</v>
      </c>
      <c r="I54" s="388">
        <f t="shared" ref="I54:L54" si="26">SUM(+I50+I51+I52+I53)</f>
        <v>8259301</v>
      </c>
      <c r="J54" s="388">
        <f t="shared" si="26"/>
        <v>0</v>
      </c>
      <c r="K54" s="388">
        <f t="shared" si="26"/>
        <v>0</v>
      </c>
      <c r="L54" s="388">
        <f t="shared" si="26"/>
        <v>120000</v>
      </c>
      <c r="M54" s="388">
        <f t="shared" ref="M54" si="27">SUM(+M50+M51+M52+M53)</f>
        <v>120000</v>
      </c>
      <c r="N54" s="388">
        <f t="shared" si="24"/>
        <v>0</v>
      </c>
      <c r="O54" s="388">
        <f t="shared" ref="O54" si="28">SUM(+O50+O51+O52+O53)</f>
        <v>0</v>
      </c>
      <c r="P54" s="388">
        <f t="shared" si="24"/>
        <v>0</v>
      </c>
      <c r="Q54" s="388">
        <f t="shared" ref="Q54" si="29">SUM(+Q50+Q51+Q52+Q53)</f>
        <v>0</v>
      </c>
      <c r="R54" s="388">
        <f t="shared" si="24"/>
        <v>0</v>
      </c>
      <c r="S54" s="388">
        <f t="shared" ref="S54" si="30">SUM(+S50+S51+S52+S53)</f>
        <v>0</v>
      </c>
      <c r="T54" s="388">
        <f t="shared" si="24"/>
        <v>0</v>
      </c>
      <c r="U54" s="388">
        <f t="shared" ref="U54" si="31">SUM(+U50+U51+U52+U53)</f>
        <v>0</v>
      </c>
      <c r="V54" s="388">
        <f t="shared" si="24"/>
        <v>0</v>
      </c>
      <c r="W54" s="388">
        <f t="shared" ref="W54" si="32">SUM(+W50+W51+W52+W53)</f>
        <v>0</v>
      </c>
      <c r="X54" s="388">
        <f t="shared" si="24"/>
        <v>0</v>
      </c>
      <c r="Y54" s="388">
        <f t="shared" ref="Y54" si="33">SUM(+Y50+Y51+Y52+Y53)</f>
        <v>273050</v>
      </c>
      <c r="Z54" s="388">
        <f t="shared" si="0"/>
        <v>16941255</v>
      </c>
      <c r="AA54" s="388">
        <f t="shared" si="1"/>
        <v>19561036</v>
      </c>
      <c r="AB54" s="420">
        <v>3</v>
      </c>
      <c r="AC54" s="420">
        <f>+AC50+AC51+AC52+AC53</f>
        <v>4</v>
      </c>
    </row>
    <row r="55" spans="1:30" ht="15.75" customHeight="1" thickBot="1" x14ac:dyDescent="0.25">
      <c r="A55" s="618"/>
      <c r="B55" s="478" t="s">
        <v>413</v>
      </c>
      <c r="C55" s="390" t="s">
        <v>414</v>
      </c>
      <c r="D55" s="386">
        <v>0</v>
      </c>
      <c r="E55" s="386">
        <v>0</v>
      </c>
      <c r="F55" s="386">
        <v>0</v>
      </c>
      <c r="G55" s="386">
        <v>0</v>
      </c>
      <c r="H55" s="386">
        <f>930000+60000</f>
        <v>990000</v>
      </c>
      <c r="I55" s="386">
        <f>930000+60000</f>
        <v>990000</v>
      </c>
      <c r="J55" s="386"/>
      <c r="K55" s="386"/>
      <c r="L55" s="386">
        <v>0</v>
      </c>
      <c r="M55" s="386">
        <v>0</v>
      </c>
      <c r="N55" s="386">
        <v>0</v>
      </c>
      <c r="O55" s="386">
        <v>0</v>
      </c>
      <c r="P55" s="386">
        <v>0</v>
      </c>
      <c r="Q55" s="386">
        <v>0</v>
      </c>
      <c r="R55" s="386">
        <v>0</v>
      </c>
      <c r="S55" s="386">
        <v>0</v>
      </c>
      <c r="T55" s="386">
        <v>0</v>
      </c>
      <c r="U55" s="386">
        <v>0</v>
      </c>
      <c r="V55" s="386">
        <v>0</v>
      </c>
      <c r="W55" s="386">
        <v>0</v>
      </c>
      <c r="X55" s="386">
        <v>0</v>
      </c>
      <c r="Y55" s="386">
        <v>0</v>
      </c>
      <c r="Z55" s="388">
        <f t="shared" si="0"/>
        <v>990000</v>
      </c>
      <c r="AA55" s="388">
        <f t="shared" si="1"/>
        <v>990000</v>
      </c>
      <c r="AB55" s="421"/>
      <c r="AC55" s="421"/>
    </row>
    <row r="56" spans="1:30" ht="15.75" customHeight="1" thickBot="1" x14ac:dyDescent="0.25">
      <c r="A56" s="704" t="s">
        <v>43</v>
      </c>
      <c r="B56" s="478" t="s">
        <v>289</v>
      </c>
      <c r="C56" s="390" t="s">
        <v>287</v>
      </c>
      <c r="D56" s="386">
        <v>3642400</v>
      </c>
      <c r="E56" s="386">
        <v>4304887</v>
      </c>
      <c r="F56" s="386">
        <v>619920</v>
      </c>
      <c r="G56" s="386">
        <v>602020</v>
      </c>
      <c r="H56" s="386">
        <f>2460000-990000</f>
        <v>1470000</v>
      </c>
      <c r="I56" s="386">
        <v>1451811</v>
      </c>
      <c r="J56" s="386"/>
      <c r="K56" s="386"/>
      <c r="L56" s="386">
        <v>0</v>
      </c>
      <c r="M56" s="386">
        <v>0</v>
      </c>
      <c r="N56" s="387">
        <v>0</v>
      </c>
      <c r="O56" s="387">
        <v>0</v>
      </c>
      <c r="P56" s="386">
        <v>0</v>
      </c>
      <c r="Q56" s="386">
        <v>0</v>
      </c>
      <c r="R56" s="387">
        <v>0</v>
      </c>
      <c r="S56" s="387">
        <v>0</v>
      </c>
      <c r="T56" s="386"/>
      <c r="U56" s="386"/>
      <c r="V56" s="386">
        <v>50800</v>
      </c>
      <c r="W56" s="386">
        <v>50800</v>
      </c>
      <c r="X56" s="386">
        <v>0</v>
      </c>
      <c r="Y56" s="386">
        <v>0</v>
      </c>
      <c r="Z56" s="388">
        <f t="shared" si="0"/>
        <v>5783120</v>
      </c>
      <c r="AA56" s="388">
        <f t="shared" si="1"/>
        <v>6409518</v>
      </c>
      <c r="AB56" s="421">
        <v>1</v>
      </c>
      <c r="AC56" s="421">
        <v>1</v>
      </c>
    </row>
    <row r="57" spans="1:30" ht="21" customHeight="1" thickBot="1" x14ac:dyDescent="0.25">
      <c r="A57" s="704"/>
      <c r="B57" s="705" t="s">
        <v>288</v>
      </c>
      <c r="C57" s="706"/>
      <c r="D57" s="388">
        <f>SUM(D55:D56)</f>
        <v>3642400</v>
      </c>
      <c r="E57" s="388">
        <f>SUM(E55:E56)</f>
        <v>4304887</v>
      </c>
      <c r="F57" s="388">
        <f t="shared" ref="F57:X57" si="34">SUM(F55:F56)</f>
        <v>619920</v>
      </c>
      <c r="G57" s="388">
        <f t="shared" ref="G57" si="35">SUM(G55:G56)</f>
        <v>602020</v>
      </c>
      <c r="H57" s="388">
        <f t="shared" si="34"/>
        <v>2460000</v>
      </c>
      <c r="I57" s="388">
        <f t="shared" ref="I57:K57" si="36">SUM(I55:I56)</f>
        <v>2441811</v>
      </c>
      <c r="J57" s="388">
        <f t="shared" si="36"/>
        <v>0</v>
      </c>
      <c r="K57" s="388">
        <f t="shared" si="36"/>
        <v>0</v>
      </c>
      <c r="L57" s="388">
        <f t="shared" si="34"/>
        <v>0</v>
      </c>
      <c r="M57" s="388">
        <f t="shared" ref="M57" si="37">SUM(M55:M56)</f>
        <v>0</v>
      </c>
      <c r="N57" s="388">
        <f t="shared" si="34"/>
        <v>0</v>
      </c>
      <c r="O57" s="388">
        <f t="shared" ref="O57" si="38">SUM(O55:O56)</f>
        <v>0</v>
      </c>
      <c r="P57" s="388">
        <f t="shared" si="34"/>
        <v>0</v>
      </c>
      <c r="Q57" s="388">
        <f t="shared" ref="Q57" si="39">SUM(Q55:Q56)</f>
        <v>0</v>
      </c>
      <c r="R57" s="388">
        <f t="shared" si="34"/>
        <v>0</v>
      </c>
      <c r="S57" s="388">
        <f t="shared" ref="S57" si="40">SUM(S55:S56)</f>
        <v>0</v>
      </c>
      <c r="T57" s="388">
        <f t="shared" si="34"/>
        <v>0</v>
      </c>
      <c r="U57" s="388">
        <f t="shared" ref="U57" si="41">SUM(U55:U56)</f>
        <v>0</v>
      </c>
      <c r="V57" s="388">
        <f t="shared" si="34"/>
        <v>50800</v>
      </c>
      <c r="W57" s="388">
        <f t="shared" ref="W57" si="42">SUM(W55:W56)</f>
        <v>50800</v>
      </c>
      <c r="X57" s="388">
        <f t="shared" si="34"/>
        <v>0</v>
      </c>
      <c r="Y57" s="388">
        <f t="shared" ref="Y57" si="43">SUM(Y55:Y56)</f>
        <v>0</v>
      </c>
      <c r="Z57" s="388">
        <f t="shared" si="0"/>
        <v>6773120</v>
      </c>
      <c r="AA57" s="388">
        <f t="shared" si="1"/>
        <v>7399518</v>
      </c>
      <c r="AB57" s="420">
        <v>1</v>
      </c>
      <c r="AC57" s="420">
        <v>1</v>
      </c>
    </row>
    <row r="58" spans="1:30" ht="32.25" thickBot="1" x14ac:dyDescent="0.25">
      <c r="A58" s="709" t="s">
        <v>210</v>
      </c>
      <c r="B58" s="619" t="s">
        <v>618</v>
      </c>
      <c r="C58" s="510" t="s">
        <v>619</v>
      </c>
      <c r="D58" s="417"/>
      <c r="E58" s="417"/>
      <c r="F58" s="417"/>
      <c r="G58" s="417"/>
      <c r="H58" s="417">
        <v>0</v>
      </c>
      <c r="I58" s="417">
        <v>1838373</v>
      </c>
      <c r="J58" s="417"/>
      <c r="K58" s="417"/>
      <c r="L58" s="417"/>
      <c r="M58" s="417"/>
      <c r="N58" s="418"/>
      <c r="O58" s="418"/>
      <c r="P58" s="417"/>
      <c r="Q58" s="417"/>
      <c r="R58" s="418"/>
      <c r="S58" s="418"/>
      <c r="T58" s="386"/>
      <c r="U58" s="386"/>
      <c r="V58" s="417">
        <v>0</v>
      </c>
      <c r="W58" s="417">
        <v>52155</v>
      </c>
      <c r="X58" s="417"/>
      <c r="Y58" s="417"/>
      <c r="Z58" s="388">
        <f>+X58+V56:V58+T58+R58+P58+N58+L58+H58+F58+D58+J58</f>
        <v>0</v>
      </c>
      <c r="AA58" s="388">
        <f>+Y58+W58+U58+S58+Q58+O58+M58+K58+I58+G58+E58</f>
        <v>1890528</v>
      </c>
      <c r="AB58" s="419">
        <v>0</v>
      </c>
      <c r="AC58" s="419">
        <v>0</v>
      </c>
    </row>
    <row r="59" spans="1:30" ht="21" customHeight="1" thickBot="1" x14ac:dyDescent="0.25">
      <c r="A59" s="710"/>
      <c r="B59" s="252" t="s">
        <v>290</v>
      </c>
      <c r="C59" s="253" t="s">
        <v>280</v>
      </c>
      <c r="D59" s="417">
        <f>50000+12930925</f>
        <v>12980925</v>
      </c>
      <c r="E59" s="417">
        <v>13601786</v>
      </c>
      <c r="F59" s="417">
        <v>2262912</v>
      </c>
      <c r="G59" s="417">
        <v>2268342</v>
      </c>
      <c r="H59" s="417">
        <f>20000+100000+500000+120000+100000+20000+100000</f>
        <v>960000</v>
      </c>
      <c r="I59" s="417">
        <v>1050317</v>
      </c>
      <c r="J59" s="417"/>
      <c r="K59" s="417"/>
      <c r="L59" s="417">
        <v>0</v>
      </c>
      <c r="M59" s="417">
        <v>0</v>
      </c>
      <c r="N59" s="418">
        <v>0</v>
      </c>
      <c r="O59" s="418">
        <v>0</v>
      </c>
      <c r="P59" s="417">
        <v>0</v>
      </c>
      <c r="Q59" s="417">
        <v>0</v>
      </c>
      <c r="R59" s="418">
        <v>0</v>
      </c>
      <c r="S59" s="418">
        <v>0</v>
      </c>
      <c r="T59" s="386">
        <v>0</v>
      </c>
      <c r="U59" s="386">
        <v>0</v>
      </c>
      <c r="V59" s="417">
        <f>160000+45000</f>
        <v>205000</v>
      </c>
      <c r="W59" s="417">
        <v>61490</v>
      </c>
      <c r="X59" s="417">
        <v>0</v>
      </c>
      <c r="Y59" s="417">
        <v>0</v>
      </c>
      <c r="Z59" s="388">
        <f>+X59+V57:V59+T59+R59+P59+N59+L59+H59+F59+D59+J59</f>
        <v>16408837</v>
      </c>
      <c r="AA59" s="388">
        <f t="shared" ref="AA59:AA67" si="44">+Y59+W59+U59+S59+Q59+O59+M59+K59+I59+G59+E59</f>
        <v>16981935</v>
      </c>
      <c r="AB59" s="419">
        <v>4</v>
      </c>
      <c r="AC59" s="419">
        <v>5</v>
      </c>
    </row>
    <row r="60" spans="1:30" ht="21" customHeight="1" thickBot="1" x14ac:dyDescent="0.25">
      <c r="A60" s="710"/>
      <c r="B60" s="252" t="s">
        <v>291</v>
      </c>
      <c r="C60" s="253" t="s">
        <v>281</v>
      </c>
      <c r="D60" s="417">
        <f>200000+6693413+50000</f>
        <v>6943413</v>
      </c>
      <c r="E60" s="417">
        <v>7155393</v>
      </c>
      <c r="F60" s="417">
        <v>1171347</v>
      </c>
      <c r="G60" s="417">
        <v>1171347</v>
      </c>
      <c r="H60" s="417">
        <f>60000+50000+40000+450000+20000+50000+40000+250000</f>
        <v>960000</v>
      </c>
      <c r="I60" s="417">
        <v>1639206</v>
      </c>
      <c r="J60" s="417"/>
      <c r="K60" s="417"/>
      <c r="L60" s="417">
        <v>0</v>
      </c>
      <c r="M60" s="417">
        <v>0</v>
      </c>
      <c r="N60" s="418">
        <v>0</v>
      </c>
      <c r="O60" s="418">
        <v>0</v>
      </c>
      <c r="P60" s="417">
        <v>0</v>
      </c>
      <c r="Q60" s="417">
        <v>0</v>
      </c>
      <c r="R60" s="418">
        <v>0</v>
      </c>
      <c r="S60" s="418">
        <v>0</v>
      </c>
      <c r="T60" s="386">
        <v>0</v>
      </c>
      <c r="U60" s="386">
        <v>0</v>
      </c>
      <c r="V60" s="417">
        <v>0</v>
      </c>
      <c r="W60" s="417">
        <v>0</v>
      </c>
      <c r="X60" s="417">
        <v>0</v>
      </c>
      <c r="Y60" s="417">
        <v>0</v>
      </c>
      <c r="Z60" s="388">
        <f t="shared" si="0"/>
        <v>9074760</v>
      </c>
      <c r="AA60" s="388">
        <f t="shared" si="44"/>
        <v>9965946</v>
      </c>
      <c r="AB60" s="419">
        <v>2</v>
      </c>
      <c r="AC60" s="419">
        <v>1</v>
      </c>
    </row>
    <row r="61" spans="1:30" ht="21" customHeight="1" thickBot="1" x14ac:dyDescent="0.25">
      <c r="A61" s="710"/>
      <c r="B61" s="252" t="s">
        <v>292</v>
      </c>
      <c r="C61" s="253" t="s">
        <v>282</v>
      </c>
      <c r="D61" s="417">
        <f>447000+4738892+50000+50000</f>
        <v>5285892</v>
      </c>
      <c r="E61" s="417">
        <v>10638697</v>
      </c>
      <c r="F61" s="417">
        <f>829306+78225</f>
        <v>907531</v>
      </c>
      <c r="G61" s="417">
        <v>1823219</v>
      </c>
      <c r="H61" s="417">
        <f>140000+900000+80000+20000+450000+150000+50000+660000+50000+80000+600000</f>
        <v>3180000</v>
      </c>
      <c r="I61" s="417">
        <v>2972893</v>
      </c>
      <c r="J61" s="417"/>
      <c r="K61" s="417"/>
      <c r="L61" s="417">
        <v>0</v>
      </c>
      <c r="M61" s="417">
        <v>0</v>
      </c>
      <c r="N61" s="418">
        <v>0</v>
      </c>
      <c r="O61" s="418">
        <v>0</v>
      </c>
      <c r="P61" s="417">
        <v>0</v>
      </c>
      <c r="Q61" s="417">
        <v>0</v>
      </c>
      <c r="R61" s="418">
        <v>0</v>
      </c>
      <c r="S61" s="418">
        <v>0</v>
      </c>
      <c r="T61" s="386">
        <v>0</v>
      </c>
      <c r="U61" s="386">
        <v>0</v>
      </c>
      <c r="V61" s="417">
        <f>45000+160000</f>
        <v>205000</v>
      </c>
      <c r="W61" s="417">
        <v>291614</v>
      </c>
      <c r="X61" s="417">
        <v>0</v>
      </c>
      <c r="Y61" s="417">
        <v>0</v>
      </c>
      <c r="Z61" s="388">
        <f t="shared" si="0"/>
        <v>9578423</v>
      </c>
      <c r="AA61" s="388">
        <f t="shared" si="44"/>
        <v>15726423</v>
      </c>
      <c r="AB61" s="419">
        <v>2</v>
      </c>
      <c r="AC61" s="419">
        <v>2</v>
      </c>
    </row>
    <row r="62" spans="1:30" ht="40.5" customHeight="1" thickBot="1" x14ac:dyDescent="0.25">
      <c r="A62" s="710"/>
      <c r="B62" s="252" t="s">
        <v>484</v>
      </c>
      <c r="C62" s="510" t="s">
        <v>485</v>
      </c>
      <c r="D62" s="386">
        <v>0</v>
      </c>
      <c r="E62" s="386">
        <v>0</v>
      </c>
      <c r="F62" s="386">
        <v>0</v>
      </c>
      <c r="G62" s="386">
        <v>0</v>
      </c>
      <c r="H62" s="417">
        <f>250000+20000+800000</f>
        <v>1070000</v>
      </c>
      <c r="I62" s="417">
        <v>579329</v>
      </c>
      <c r="J62" s="417"/>
      <c r="K62" s="417"/>
      <c r="L62" s="386">
        <v>0</v>
      </c>
      <c r="M62" s="386">
        <v>0</v>
      </c>
      <c r="N62" s="386">
        <v>0</v>
      </c>
      <c r="O62" s="386">
        <v>0</v>
      </c>
      <c r="P62" s="386">
        <v>0</v>
      </c>
      <c r="Q62" s="386">
        <v>0</v>
      </c>
      <c r="R62" s="386">
        <v>0</v>
      </c>
      <c r="S62" s="386">
        <v>0</v>
      </c>
      <c r="T62" s="386">
        <v>0</v>
      </c>
      <c r="U62" s="386">
        <v>0</v>
      </c>
      <c r="V62" s="386">
        <v>0</v>
      </c>
      <c r="W62" s="386">
        <v>0</v>
      </c>
      <c r="X62" s="386">
        <v>0</v>
      </c>
      <c r="Y62" s="386">
        <v>0</v>
      </c>
      <c r="Z62" s="388">
        <f t="shared" si="0"/>
        <v>1070000</v>
      </c>
      <c r="AA62" s="388">
        <f t="shared" si="44"/>
        <v>579329</v>
      </c>
      <c r="AB62" s="419">
        <v>0</v>
      </c>
      <c r="AC62" s="419">
        <v>0</v>
      </c>
    </row>
    <row r="63" spans="1:30" ht="21" customHeight="1" thickBot="1" x14ac:dyDescent="0.25">
      <c r="A63" s="710"/>
      <c r="B63" s="252" t="s">
        <v>293</v>
      </c>
      <c r="C63" s="253" t="s">
        <v>283</v>
      </c>
      <c r="D63" s="417">
        <f>2625624+150000</f>
        <v>2775624</v>
      </c>
      <c r="E63" s="417">
        <v>3044180</v>
      </c>
      <c r="F63" s="417">
        <v>459484</v>
      </c>
      <c r="G63" s="417">
        <v>468184</v>
      </c>
      <c r="H63" s="417">
        <f>50000+4000000+200000+50000+20000+450000+30000+30000+14000000</f>
        <v>18830000</v>
      </c>
      <c r="I63" s="417">
        <v>15288190</v>
      </c>
      <c r="J63" s="417"/>
      <c r="K63" s="417"/>
      <c r="L63" s="417">
        <v>0</v>
      </c>
      <c r="M63" s="417">
        <v>0</v>
      </c>
      <c r="N63" s="418">
        <v>0</v>
      </c>
      <c r="O63" s="418">
        <v>0</v>
      </c>
      <c r="P63" s="417">
        <v>0</v>
      </c>
      <c r="Q63" s="417">
        <v>0</v>
      </c>
      <c r="R63" s="418">
        <v>0</v>
      </c>
      <c r="S63" s="418">
        <v>0</v>
      </c>
      <c r="T63" s="386">
        <v>0</v>
      </c>
      <c r="U63" s="386">
        <v>0</v>
      </c>
      <c r="V63" s="417">
        <v>0</v>
      </c>
      <c r="W63" s="417">
        <v>0</v>
      </c>
      <c r="X63" s="417">
        <v>0</v>
      </c>
      <c r="Y63" s="417">
        <v>0</v>
      </c>
      <c r="Z63" s="388">
        <f t="shared" si="0"/>
        <v>22065108</v>
      </c>
      <c r="AA63" s="388">
        <f t="shared" si="44"/>
        <v>18800554</v>
      </c>
      <c r="AB63" s="419">
        <v>1</v>
      </c>
      <c r="AC63" s="419">
        <v>1</v>
      </c>
    </row>
    <row r="64" spans="1:30" s="627" customFormat="1" ht="21" customHeight="1" thickBot="1" x14ac:dyDescent="0.25">
      <c r="A64" s="710"/>
      <c r="B64" s="621" t="s">
        <v>614</v>
      </c>
      <c r="C64" s="622" t="s">
        <v>615</v>
      </c>
      <c r="D64" s="623">
        <v>0</v>
      </c>
      <c r="E64" s="623">
        <v>0</v>
      </c>
      <c r="F64" s="623">
        <v>0</v>
      </c>
      <c r="G64" s="623">
        <v>0</v>
      </c>
      <c r="H64" s="623">
        <v>0</v>
      </c>
      <c r="I64" s="623">
        <v>764509</v>
      </c>
      <c r="J64" s="623"/>
      <c r="K64" s="623"/>
      <c r="L64" s="623">
        <v>0</v>
      </c>
      <c r="M64" s="623">
        <v>0</v>
      </c>
      <c r="N64" s="624">
        <v>0</v>
      </c>
      <c r="O64" s="624">
        <v>0</v>
      </c>
      <c r="P64" s="623">
        <v>0</v>
      </c>
      <c r="Q64" s="623">
        <v>0</v>
      </c>
      <c r="R64" s="624">
        <v>0</v>
      </c>
      <c r="S64" s="624">
        <v>0</v>
      </c>
      <c r="T64" s="625">
        <v>0</v>
      </c>
      <c r="U64" s="625">
        <v>0</v>
      </c>
      <c r="V64" s="623">
        <v>0</v>
      </c>
      <c r="W64" s="623">
        <v>0</v>
      </c>
      <c r="X64" s="623">
        <v>0</v>
      </c>
      <c r="Y64" s="623">
        <v>0</v>
      </c>
      <c r="Z64" s="620">
        <f t="shared" si="0"/>
        <v>0</v>
      </c>
      <c r="AA64" s="388">
        <f t="shared" si="44"/>
        <v>764509</v>
      </c>
      <c r="AB64" s="626">
        <v>0</v>
      </c>
      <c r="AC64" s="626">
        <v>0</v>
      </c>
    </row>
    <row r="65" spans="1:29" s="627" customFormat="1" ht="21" customHeight="1" thickBot="1" x14ac:dyDescent="0.25">
      <c r="A65" s="710"/>
      <c r="B65" s="621" t="s">
        <v>259</v>
      </c>
      <c r="C65" s="622" t="s">
        <v>331</v>
      </c>
      <c r="D65" s="623">
        <v>0</v>
      </c>
      <c r="E65" s="623">
        <v>0</v>
      </c>
      <c r="F65" s="623">
        <v>0</v>
      </c>
      <c r="G65" s="623">
        <v>0</v>
      </c>
      <c r="H65" s="623">
        <f>1100000+350000</f>
        <v>1450000</v>
      </c>
      <c r="I65" s="623">
        <f>1100000+350000</f>
        <v>1450000</v>
      </c>
      <c r="J65" s="623"/>
      <c r="K65" s="623"/>
      <c r="L65" s="623">
        <v>0</v>
      </c>
      <c r="M65" s="623">
        <v>0</v>
      </c>
      <c r="N65" s="624">
        <v>0</v>
      </c>
      <c r="O65" s="624">
        <v>0</v>
      </c>
      <c r="P65" s="623">
        <v>0</v>
      </c>
      <c r="Q65" s="623">
        <v>0</v>
      </c>
      <c r="R65" s="624">
        <v>0</v>
      </c>
      <c r="S65" s="624">
        <v>0</v>
      </c>
      <c r="T65" s="625">
        <v>0</v>
      </c>
      <c r="U65" s="625">
        <v>0</v>
      </c>
      <c r="V65" s="623">
        <v>0</v>
      </c>
      <c r="W65" s="623">
        <v>0</v>
      </c>
      <c r="X65" s="623">
        <v>0</v>
      </c>
      <c r="Y65" s="623">
        <v>0</v>
      </c>
      <c r="Z65" s="620">
        <f t="shared" si="0"/>
        <v>1450000</v>
      </c>
      <c r="AA65" s="388">
        <f t="shared" si="44"/>
        <v>1450000</v>
      </c>
      <c r="AB65" s="626">
        <v>0</v>
      </c>
      <c r="AC65" s="626">
        <v>0</v>
      </c>
    </row>
    <row r="66" spans="1:29" ht="27.75" customHeight="1" thickBot="1" x14ac:dyDescent="0.25">
      <c r="A66" s="710"/>
      <c r="B66" s="252" t="s">
        <v>258</v>
      </c>
      <c r="C66" s="253" t="s">
        <v>330</v>
      </c>
      <c r="D66" s="417">
        <v>0</v>
      </c>
      <c r="E66" s="417">
        <v>0</v>
      </c>
      <c r="F66" s="417">
        <v>0</v>
      </c>
      <c r="G66" s="417">
        <v>0</v>
      </c>
      <c r="H66" s="417">
        <f>950000+20000+20000+4600000</f>
        <v>5590000</v>
      </c>
      <c r="I66" s="417">
        <v>5580003</v>
      </c>
      <c r="J66" s="417"/>
      <c r="K66" s="417"/>
      <c r="L66" s="417">
        <v>0</v>
      </c>
      <c r="M66" s="417">
        <v>0</v>
      </c>
      <c r="N66" s="418">
        <v>0</v>
      </c>
      <c r="O66" s="418">
        <v>0</v>
      </c>
      <c r="P66" s="417">
        <v>0</v>
      </c>
      <c r="Q66" s="417">
        <v>0</v>
      </c>
      <c r="R66" s="418">
        <v>0</v>
      </c>
      <c r="S66" s="418">
        <v>0</v>
      </c>
      <c r="T66" s="386">
        <v>0</v>
      </c>
      <c r="U66" s="386">
        <v>0</v>
      </c>
      <c r="V66" s="417">
        <v>0</v>
      </c>
      <c r="W66" s="417">
        <v>0</v>
      </c>
      <c r="X66" s="417">
        <v>0</v>
      </c>
      <c r="Y66" s="417">
        <v>0</v>
      </c>
      <c r="Z66" s="388">
        <f t="shared" si="0"/>
        <v>5590000</v>
      </c>
      <c r="AA66" s="388">
        <f t="shared" si="44"/>
        <v>5580003</v>
      </c>
      <c r="AB66" s="419">
        <v>0</v>
      </c>
      <c r="AC66" s="419">
        <v>0</v>
      </c>
    </row>
    <row r="67" spans="1:29" ht="21" customHeight="1" thickBot="1" x14ac:dyDescent="0.25">
      <c r="A67" s="710"/>
      <c r="B67" s="252" t="s">
        <v>226</v>
      </c>
      <c r="C67" s="253" t="s">
        <v>276</v>
      </c>
      <c r="D67" s="417">
        <f>23538400+50000+100000</f>
        <v>23688400</v>
      </c>
      <c r="E67" s="417">
        <v>23671255</v>
      </c>
      <c r="F67" s="417">
        <v>4119220</v>
      </c>
      <c r="G67" s="417">
        <v>3945525</v>
      </c>
      <c r="H67" s="417">
        <f>20000+24500000+30000+3000000+60000+450000+5500000+500000</f>
        <v>34060000</v>
      </c>
      <c r="I67" s="417">
        <v>33980000</v>
      </c>
      <c r="J67" s="417"/>
      <c r="K67" s="417"/>
      <c r="L67" s="417">
        <v>0</v>
      </c>
      <c r="M67" s="417">
        <v>0</v>
      </c>
      <c r="N67" s="418">
        <v>0</v>
      </c>
      <c r="O67" s="418">
        <v>0</v>
      </c>
      <c r="P67" s="417">
        <v>0</v>
      </c>
      <c r="Q67" s="417">
        <v>0</v>
      </c>
      <c r="R67" s="418">
        <v>0</v>
      </c>
      <c r="S67" s="418">
        <v>0</v>
      </c>
      <c r="T67" s="386">
        <v>0</v>
      </c>
      <c r="U67" s="386">
        <v>0</v>
      </c>
      <c r="V67" s="417">
        <v>0</v>
      </c>
      <c r="W67" s="417">
        <v>0</v>
      </c>
      <c r="X67" s="417">
        <v>0</v>
      </c>
      <c r="Y67" s="417">
        <v>143510</v>
      </c>
      <c r="Z67" s="388">
        <f t="shared" si="0"/>
        <v>61867620</v>
      </c>
      <c r="AA67" s="388">
        <f t="shared" si="44"/>
        <v>61740290</v>
      </c>
      <c r="AB67" s="419">
        <v>9</v>
      </c>
      <c r="AC67" s="419">
        <v>9</v>
      </c>
    </row>
    <row r="68" spans="1:29" ht="33" customHeight="1" thickBot="1" x14ac:dyDescent="0.25">
      <c r="A68" s="711"/>
      <c r="B68" s="707" t="s">
        <v>294</v>
      </c>
      <c r="C68" s="708"/>
      <c r="D68" s="388">
        <f>SUM(D58:D67)</f>
        <v>51674254</v>
      </c>
      <c r="E68" s="388">
        <f t="shared" ref="E68:Y68" si="45">SUM(E58:E67)</f>
        <v>58111311</v>
      </c>
      <c r="F68" s="388">
        <f t="shared" si="45"/>
        <v>8920494</v>
      </c>
      <c r="G68" s="388">
        <f t="shared" si="45"/>
        <v>9676617</v>
      </c>
      <c r="H68" s="388">
        <f t="shared" si="45"/>
        <v>66100000</v>
      </c>
      <c r="I68" s="388">
        <f t="shared" si="45"/>
        <v>65142820</v>
      </c>
      <c r="J68" s="388">
        <f t="shared" si="45"/>
        <v>0</v>
      </c>
      <c r="K68" s="388">
        <f t="shared" si="45"/>
        <v>0</v>
      </c>
      <c r="L68" s="388">
        <f t="shared" si="45"/>
        <v>0</v>
      </c>
      <c r="M68" s="388">
        <f t="shared" si="45"/>
        <v>0</v>
      </c>
      <c r="N68" s="388">
        <f t="shared" si="45"/>
        <v>0</v>
      </c>
      <c r="O68" s="388">
        <f t="shared" si="45"/>
        <v>0</v>
      </c>
      <c r="P68" s="388">
        <f t="shared" si="45"/>
        <v>0</v>
      </c>
      <c r="Q68" s="388">
        <f t="shared" si="45"/>
        <v>0</v>
      </c>
      <c r="R68" s="388">
        <f t="shared" si="45"/>
        <v>0</v>
      </c>
      <c r="S68" s="388">
        <f t="shared" si="45"/>
        <v>0</v>
      </c>
      <c r="T68" s="388">
        <f t="shared" si="45"/>
        <v>0</v>
      </c>
      <c r="U68" s="388">
        <f t="shared" si="45"/>
        <v>0</v>
      </c>
      <c r="V68" s="388">
        <f t="shared" si="45"/>
        <v>410000</v>
      </c>
      <c r="W68" s="388">
        <f t="shared" si="45"/>
        <v>405259</v>
      </c>
      <c r="X68" s="388">
        <f t="shared" si="45"/>
        <v>0</v>
      </c>
      <c r="Y68" s="388">
        <f t="shared" si="45"/>
        <v>143510</v>
      </c>
      <c r="Z68" s="388">
        <f>+X68+V67:V68+T68+R68+P68+N68+L68+H68+F68+D68+J68</f>
        <v>127104748</v>
      </c>
      <c r="AA68" s="388">
        <f>+Y68+W68+U68+S68+Q68+O68+M68+I68+G68+E68+K68</f>
        <v>133479517</v>
      </c>
      <c r="AB68" s="420">
        <f>SUM(AB59:AB67)</f>
        <v>18</v>
      </c>
      <c r="AC68" s="420">
        <f>SUM(AC59:AC67)</f>
        <v>18</v>
      </c>
    </row>
    <row r="69" spans="1:29" ht="26.25" customHeight="1" thickBot="1" x14ac:dyDescent="0.25">
      <c r="A69" s="703" t="s">
        <v>56</v>
      </c>
      <c r="B69" s="703"/>
      <c r="C69" s="703"/>
      <c r="D69" s="388">
        <f t="shared" ref="D69:AB69" si="46">SUM(D45,D49,D54,D57,D68)</f>
        <v>222999810</v>
      </c>
      <c r="E69" s="388">
        <f t="shared" ref="E69" si="47">SUM(E45,E49,E54,E57,E68)</f>
        <v>257054384</v>
      </c>
      <c r="F69" s="388">
        <f t="shared" si="46"/>
        <v>37774837</v>
      </c>
      <c r="G69" s="388">
        <f t="shared" ref="G69" si="48">SUM(G45,G49,G54,G57,G68)</f>
        <v>40983778</v>
      </c>
      <c r="H69" s="388">
        <f t="shared" si="46"/>
        <v>200426841</v>
      </c>
      <c r="I69" s="388">
        <f t="shared" ref="I69:K69" si="49">SUM(I45,I49,I54,I57,I68)</f>
        <v>271985456</v>
      </c>
      <c r="J69" s="388">
        <f t="shared" si="49"/>
        <v>0</v>
      </c>
      <c r="K69" s="388">
        <f t="shared" si="49"/>
        <v>117120</v>
      </c>
      <c r="L69" s="388">
        <f t="shared" si="46"/>
        <v>95627898</v>
      </c>
      <c r="M69" s="388">
        <f t="shared" ref="M69" si="50">SUM(M45,M49,M54,M57,M68)</f>
        <v>102840761</v>
      </c>
      <c r="N69" s="511">
        <f t="shared" si="46"/>
        <v>3147000</v>
      </c>
      <c r="O69" s="511">
        <f t="shared" ref="O69" si="51">SUM(O45,O49,O54,O57,O68)</f>
        <v>3147000</v>
      </c>
      <c r="P69" s="388">
        <f t="shared" si="46"/>
        <v>98896424</v>
      </c>
      <c r="Q69" s="388">
        <f t="shared" ref="Q69" si="52">SUM(Q45,Q49,Q54,Q57,Q68)</f>
        <v>121227071</v>
      </c>
      <c r="R69" s="388">
        <f t="shared" si="46"/>
        <v>10751039</v>
      </c>
      <c r="S69" s="388">
        <f t="shared" ref="S69" si="53">SUM(S45,S49,S54,S57,S68)</f>
        <v>10997076</v>
      </c>
      <c r="T69" s="388">
        <f t="shared" si="46"/>
        <v>0</v>
      </c>
      <c r="U69" s="388">
        <f t="shared" ref="U69" si="54">SUM(U45,U49,U54,U57,U68)</f>
        <v>0</v>
      </c>
      <c r="V69" s="388">
        <f t="shared" si="46"/>
        <v>13396044</v>
      </c>
      <c r="W69" s="388">
        <f t="shared" ref="W69" si="55">SUM(W45,W49,W54,W57,W68)</f>
        <v>250050448</v>
      </c>
      <c r="X69" s="388">
        <f t="shared" si="46"/>
        <v>46420058</v>
      </c>
      <c r="Y69" s="388">
        <f t="shared" ref="Y69" si="56">SUM(Y45,Y49,Y54,Y57,Y68)</f>
        <v>190462841</v>
      </c>
      <c r="Z69" s="388">
        <f>+X69+V69+T69+R69+P69+N69+L69+H69+F69+D69+J69</f>
        <v>729439951</v>
      </c>
      <c r="AA69" s="388">
        <f>+Y69+W69+U69+S69+Q69+O69+M69+I69+G69+E69+K69</f>
        <v>1248865935</v>
      </c>
      <c r="AB69" s="420">
        <f t="shared" si="46"/>
        <v>86</v>
      </c>
      <c r="AC69" s="420">
        <f t="shared" ref="AC69" si="57">SUM(AC45,AC49,AC54,AC57,AC68)</f>
        <v>88</v>
      </c>
    </row>
    <row r="71" spans="1:29" x14ac:dyDescent="0.2">
      <c r="P71" s="604"/>
    </row>
    <row r="72" spans="1:29" x14ac:dyDescent="0.2">
      <c r="P72" s="604"/>
    </row>
    <row r="73" spans="1:29" x14ac:dyDescent="0.2">
      <c r="P73" s="604"/>
    </row>
    <row r="74" spans="1:29" x14ac:dyDescent="0.2">
      <c r="AA74" s="561"/>
    </row>
  </sheetData>
  <mergeCells count="21">
    <mergeCell ref="A69:C69"/>
    <mergeCell ref="A6:A45"/>
    <mergeCell ref="B45:C45"/>
    <mergeCell ref="A46:A49"/>
    <mergeCell ref="B49:C49"/>
    <mergeCell ref="A50:A54"/>
    <mergeCell ref="B54:C54"/>
    <mergeCell ref="A56:A57"/>
    <mergeCell ref="B57:C57"/>
    <mergeCell ref="B68:C68"/>
    <mergeCell ref="A58:A68"/>
    <mergeCell ref="AB4:AB5"/>
    <mergeCell ref="AC4:AC5"/>
    <mergeCell ref="A1:P1"/>
    <mergeCell ref="A2:P2"/>
    <mergeCell ref="A4:A5"/>
    <mergeCell ref="B4:B5"/>
    <mergeCell ref="C4:C5"/>
    <mergeCell ref="D4:N4"/>
    <mergeCell ref="Z4:Z5"/>
    <mergeCell ref="AA4:AA5"/>
  </mergeCells>
  <pageMargins left="0.25" right="0.25" top="0.75" bottom="0.75" header="0.3" footer="0.3"/>
  <pageSetup paperSize="8" scale="42" fitToHeight="2" orientation="landscape" r:id="rId1"/>
  <headerFooter alignWithMargins="0"/>
  <colBreaks count="1" manualBreakCount="1">
    <brk id="16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0F1FD-EDFB-45DF-89DD-0A446BD61A1C}">
  <sheetPr>
    <tabColor rgb="FFFF99FF"/>
    <pageSetUpPr fitToPage="1"/>
  </sheetPr>
  <dimension ref="A1:AJ70"/>
  <sheetViews>
    <sheetView zoomScale="80" zoomScaleNormal="80" workbookViewId="0">
      <pane xSplit="2" ySplit="5" topLeftCell="C30" activePane="bottomRight" state="frozen"/>
      <selection activeCell="C98" sqref="C98"/>
      <selection pane="topRight" activeCell="C98" sqref="C98"/>
      <selection pane="bottomLeft" activeCell="C98" sqref="C98"/>
      <selection pane="bottomRight" activeCell="A2" sqref="A2:L2"/>
    </sheetView>
  </sheetViews>
  <sheetFormatPr defaultColWidth="8.85546875" defaultRowHeight="12.75" x14ac:dyDescent="0.2"/>
  <cols>
    <col min="1" max="1" width="8.28515625" style="39" customWidth="1"/>
    <col min="2" max="2" width="12.140625" style="39" customWidth="1"/>
    <col min="3" max="3" width="49.5703125" style="39" customWidth="1"/>
    <col min="4" max="5" width="16" style="39" customWidth="1"/>
    <col min="6" max="7" width="14.42578125" style="39" customWidth="1"/>
    <col min="8" max="11" width="15.28515625" style="39" customWidth="1"/>
    <col min="12" max="12" width="18.5703125" style="39" customWidth="1"/>
    <col min="13" max="15" width="14.85546875" style="39" customWidth="1"/>
    <col min="16" max="17" width="16.85546875" style="39" customWidth="1"/>
    <col min="18" max="20" width="18" style="39" customWidth="1"/>
    <col min="21" max="21" width="15.85546875" style="39" customWidth="1"/>
    <col min="22" max="22" width="7.42578125" style="39" bestFit="1" customWidth="1"/>
    <col min="23" max="25" width="10.5703125" style="39" bestFit="1" customWidth="1"/>
    <col min="26" max="26" width="5.140625" style="45" bestFit="1" customWidth="1"/>
    <col min="27" max="27" width="7.140625" style="39" bestFit="1" customWidth="1"/>
    <col min="28" max="16384" width="8.85546875" style="37"/>
  </cols>
  <sheetData>
    <row r="1" spans="1:36" ht="15.75" x14ac:dyDescent="0.2">
      <c r="A1" s="656" t="s">
        <v>686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36"/>
      <c r="N1" s="36"/>
      <c r="O1" s="36"/>
      <c r="P1" s="36"/>
      <c r="Q1" s="36"/>
      <c r="R1" s="36"/>
      <c r="S1" s="36"/>
      <c r="T1" s="36"/>
      <c r="U1" s="35"/>
      <c r="V1" s="35"/>
      <c r="W1" s="35"/>
      <c r="X1" s="35"/>
      <c r="Y1" s="35"/>
      <c r="Z1" s="35"/>
      <c r="AA1" s="36"/>
      <c r="AB1" s="35"/>
      <c r="AC1" s="36"/>
    </row>
    <row r="2" spans="1:36" ht="33.75" customHeight="1" x14ac:dyDescent="0.2">
      <c r="A2" s="712" t="s">
        <v>575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575"/>
      <c r="N2" s="575"/>
      <c r="O2" s="575"/>
      <c r="P2" s="575"/>
      <c r="Q2" s="575"/>
      <c r="R2" s="575"/>
      <c r="S2" s="575"/>
      <c r="T2" s="575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38"/>
    </row>
    <row r="3" spans="1:36" ht="16.5" thickBot="1" x14ac:dyDescent="0.25">
      <c r="B3" s="40"/>
      <c r="C3" s="40"/>
      <c r="D3" s="41"/>
      <c r="E3" s="41"/>
      <c r="F3" s="41"/>
      <c r="G3" s="41"/>
      <c r="H3" s="41"/>
      <c r="I3" s="41"/>
      <c r="J3" s="41"/>
      <c r="K3" s="41"/>
      <c r="L3" s="41" t="s">
        <v>316</v>
      </c>
      <c r="M3" s="41"/>
      <c r="N3" s="41"/>
      <c r="O3" s="41"/>
      <c r="P3" s="41"/>
      <c r="Q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2"/>
      <c r="AE3" s="42"/>
      <c r="AF3" s="42"/>
      <c r="AG3" s="43"/>
      <c r="AH3" s="39"/>
    </row>
    <row r="4" spans="1:36" ht="39" customHeight="1" thickBot="1" x14ac:dyDescent="0.25">
      <c r="A4" s="694" t="s">
        <v>46</v>
      </c>
      <c r="B4" s="716" t="s">
        <v>314</v>
      </c>
      <c r="C4" s="718" t="s">
        <v>47</v>
      </c>
      <c r="D4" s="713" t="s">
        <v>295</v>
      </c>
      <c r="E4" s="714"/>
      <c r="F4" s="714"/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5"/>
      <c r="R4" s="581"/>
      <c r="S4" s="581"/>
      <c r="T4" s="37"/>
      <c r="U4" s="37"/>
      <c r="V4" s="37"/>
      <c r="W4" s="37"/>
      <c r="X4" s="37"/>
      <c r="Y4" s="37"/>
      <c r="Z4" s="37"/>
      <c r="AA4" s="37"/>
    </row>
    <row r="5" spans="1:36" ht="114" customHeight="1" thickBot="1" x14ac:dyDescent="0.25">
      <c r="A5" s="695"/>
      <c r="B5" s="717"/>
      <c r="C5" s="719"/>
      <c r="D5" s="519" t="s">
        <v>488</v>
      </c>
      <c r="E5" s="519" t="s">
        <v>591</v>
      </c>
      <c r="F5" s="519" t="s">
        <v>489</v>
      </c>
      <c r="G5" s="519" t="s">
        <v>592</v>
      </c>
      <c r="H5" s="520" t="s">
        <v>490</v>
      </c>
      <c r="I5" s="520" t="s">
        <v>593</v>
      </c>
      <c r="J5" s="520" t="s">
        <v>667</v>
      </c>
      <c r="K5" s="520" t="s">
        <v>668</v>
      </c>
      <c r="L5" s="520" t="s">
        <v>417</v>
      </c>
      <c r="M5" s="520" t="s">
        <v>594</v>
      </c>
      <c r="N5" s="520" t="s">
        <v>422</v>
      </c>
      <c r="O5" s="520" t="s">
        <v>595</v>
      </c>
      <c r="P5" s="520" t="s">
        <v>491</v>
      </c>
      <c r="Q5" s="580" t="s">
        <v>596</v>
      </c>
      <c r="R5" s="521" t="s">
        <v>367</v>
      </c>
      <c r="S5" s="579" t="s">
        <v>597</v>
      </c>
      <c r="T5" s="37"/>
      <c r="U5" s="37"/>
      <c r="V5" s="37"/>
      <c r="W5" s="37"/>
      <c r="X5" s="37"/>
      <c r="Y5" s="37"/>
      <c r="Z5" s="37"/>
      <c r="AA5" s="37"/>
    </row>
    <row r="6" spans="1:36" s="562" customFormat="1" ht="16.5" thickBot="1" x14ac:dyDescent="0.25">
      <c r="A6" s="704" t="s">
        <v>38</v>
      </c>
      <c r="B6" s="391" t="s">
        <v>220</v>
      </c>
      <c r="C6" s="390" t="s">
        <v>263</v>
      </c>
      <c r="D6" s="386">
        <v>5000</v>
      </c>
      <c r="E6" s="386">
        <v>2989</v>
      </c>
      <c r="F6" s="386">
        <v>61262718</v>
      </c>
      <c r="G6" s="386">
        <v>0</v>
      </c>
      <c r="H6" s="386"/>
      <c r="I6" s="386"/>
      <c r="J6" s="386"/>
      <c r="K6" s="386"/>
      <c r="L6" s="386"/>
      <c r="M6" s="386"/>
      <c r="N6" s="386"/>
      <c r="O6" s="386"/>
      <c r="P6" s="432"/>
      <c r="Q6" s="432"/>
      <c r="R6" s="443">
        <f t="shared" ref="R6:R38" si="0">+P6+N6+L6+H6+F6+D6</f>
        <v>61267718</v>
      </c>
      <c r="S6" s="443">
        <f>+Q6+O6+M6+I6+G6+E6+K6</f>
        <v>2989</v>
      </c>
      <c r="T6" s="561"/>
    </row>
    <row r="7" spans="1:36" s="562" customFormat="1" ht="16.5" thickBot="1" x14ac:dyDescent="0.25">
      <c r="A7" s="704"/>
      <c r="B7" s="391" t="s">
        <v>244</v>
      </c>
      <c r="C7" s="390" t="s">
        <v>324</v>
      </c>
      <c r="D7" s="386">
        <v>60000</v>
      </c>
      <c r="E7" s="386">
        <v>60000</v>
      </c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432"/>
      <c r="Q7" s="432"/>
      <c r="R7" s="443">
        <f t="shared" si="0"/>
        <v>60000</v>
      </c>
      <c r="S7" s="443">
        <f t="shared" ref="S7:S38" si="1">+Q7+O7+M7+I7+G7+E7+K7</f>
        <v>60000</v>
      </c>
      <c r="T7" s="561"/>
    </row>
    <row r="8" spans="1:36" s="562" customFormat="1" ht="16.5" thickBot="1" x14ac:dyDescent="0.25">
      <c r="A8" s="704"/>
      <c r="B8" s="391" t="s">
        <v>245</v>
      </c>
      <c r="C8" s="390" t="s">
        <v>264</v>
      </c>
      <c r="D8" s="386">
        <f>6500000+1900000+300000+700000+20000</f>
        <v>9420000</v>
      </c>
      <c r="E8" s="386">
        <v>12241537</v>
      </c>
      <c r="F8" s="386"/>
      <c r="G8" s="386"/>
      <c r="H8" s="386"/>
      <c r="I8" s="386"/>
      <c r="J8" s="386">
        <v>0</v>
      </c>
      <c r="K8" s="386">
        <v>1100000</v>
      </c>
      <c r="L8" s="386">
        <v>12344429</v>
      </c>
      <c r="M8" s="386">
        <v>0</v>
      </c>
      <c r="N8" s="386"/>
      <c r="O8" s="386"/>
      <c r="P8" s="432"/>
      <c r="Q8" s="432"/>
      <c r="R8" s="443">
        <f t="shared" si="0"/>
        <v>21764429</v>
      </c>
      <c r="S8" s="443">
        <f t="shared" si="1"/>
        <v>13341537</v>
      </c>
      <c r="T8" s="561"/>
    </row>
    <row r="9" spans="1:36" s="562" customFormat="1" ht="16.5" thickBot="1" x14ac:dyDescent="0.25">
      <c r="A9" s="704"/>
      <c r="B9" s="391" t="s">
        <v>354</v>
      </c>
      <c r="C9" s="390" t="s">
        <v>355</v>
      </c>
      <c r="D9" s="386"/>
      <c r="E9" s="386"/>
      <c r="F9" s="386"/>
      <c r="G9" s="386"/>
      <c r="H9" s="386"/>
      <c r="I9" s="386"/>
      <c r="J9" s="386"/>
      <c r="K9" s="386"/>
      <c r="L9" s="432"/>
      <c r="M9" s="432"/>
      <c r="N9" s="432"/>
      <c r="O9" s="432"/>
      <c r="P9" s="432"/>
      <c r="Q9" s="432"/>
      <c r="R9" s="443">
        <f t="shared" si="0"/>
        <v>0</v>
      </c>
      <c r="S9" s="443">
        <f t="shared" si="1"/>
        <v>0</v>
      </c>
      <c r="T9" s="561"/>
    </row>
    <row r="10" spans="1:36" s="562" customFormat="1" ht="16.5" thickBot="1" x14ac:dyDescent="0.25">
      <c r="A10" s="704"/>
      <c r="B10" s="391" t="s">
        <v>409</v>
      </c>
      <c r="C10" s="390" t="s">
        <v>410</v>
      </c>
      <c r="D10" s="386"/>
      <c r="E10" s="386"/>
      <c r="F10" s="386"/>
      <c r="G10" s="386"/>
      <c r="H10" s="386"/>
      <c r="I10" s="386"/>
      <c r="J10" s="386"/>
      <c r="K10" s="386"/>
      <c r="L10" s="432"/>
      <c r="M10" s="432"/>
      <c r="N10" s="432"/>
      <c r="O10" s="432"/>
      <c r="P10" s="432"/>
      <c r="Q10" s="432"/>
      <c r="R10" s="443">
        <f t="shared" si="0"/>
        <v>0</v>
      </c>
      <c r="S10" s="443">
        <f t="shared" si="1"/>
        <v>0</v>
      </c>
      <c r="T10" s="561"/>
    </row>
    <row r="11" spans="1:36" s="562" customFormat="1" ht="16.5" thickBot="1" x14ac:dyDescent="0.25">
      <c r="A11" s="704"/>
      <c r="B11" s="391" t="s">
        <v>247</v>
      </c>
      <c r="C11" s="389" t="s">
        <v>266</v>
      </c>
      <c r="D11" s="386"/>
      <c r="E11" s="386"/>
      <c r="F11" s="386">
        <v>0</v>
      </c>
      <c r="G11" s="386">
        <v>19192885</v>
      </c>
      <c r="H11" s="386"/>
      <c r="I11" s="386"/>
      <c r="J11" s="386"/>
      <c r="K11" s="386"/>
      <c r="L11" s="386">
        <v>5340192</v>
      </c>
      <c r="M11" s="386">
        <v>0</v>
      </c>
      <c r="N11" s="386"/>
      <c r="O11" s="386"/>
      <c r="P11" s="432"/>
      <c r="Q11" s="432"/>
      <c r="R11" s="443">
        <f t="shared" si="0"/>
        <v>5340192</v>
      </c>
      <c r="S11" s="443">
        <f t="shared" si="1"/>
        <v>19192885</v>
      </c>
      <c r="T11" s="561"/>
    </row>
    <row r="12" spans="1:36" s="562" customFormat="1" ht="16.5" thickBot="1" x14ac:dyDescent="0.25">
      <c r="A12" s="704"/>
      <c r="B12" s="391" t="s">
        <v>365</v>
      </c>
      <c r="C12" s="389" t="s">
        <v>366</v>
      </c>
      <c r="D12" s="386">
        <v>0</v>
      </c>
      <c r="E12" s="386">
        <v>3182025</v>
      </c>
      <c r="F12" s="386">
        <v>0</v>
      </c>
      <c r="G12" s="386">
        <v>8369443</v>
      </c>
      <c r="H12" s="386"/>
      <c r="I12" s="386"/>
      <c r="J12" s="386"/>
      <c r="K12" s="386"/>
      <c r="L12" s="386">
        <v>3191900</v>
      </c>
      <c r="M12" s="386">
        <v>0</v>
      </c>
      <c r="N12" s="386"/>
      <c r="O12" s="386"/>
      <c r="P12" s="387"/>
      <c r="Q12" s="387"/>
      <c r="R12" s="443">
        <f t="shared" si="0"/>
        <v>3191900</v>
      </c>
      <c r="S12" s="443">
        <f t="shared" si="1"/>
        <v>11551468</v>
      </c>
      <c r="T12" s="561"/>
    </row>
    <row r="13" spans="1:36" s="562" customFormat="1" ht="16.5" thickBot="1" x14ac:dyDescent="0.25">
      <c r="A13" s="704"/>
      <c r="B13" s="391" t="s">
        <v>248</v>
      </c>
      <c r="C13" s="389" t="s">
        <v>267</v>
      </c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7"/>
      <c r="Q13" s="387"/>
      <c r="R13" s="443">
        <f t="shared" si="0"/>
        <v>0</v>
      </c>
      <c r="S13" s="443">
        <f t="shared" si="1"/>
        <v>0</v>
      </c>
      <c r="T13" s="561"/>
    </row>
    <row r="14" spans="1:36" s="562" customFormat="1" ht="16.5" thickBot="1" x14ac:dyDescent="0.25">
      <c r="A14" s="704"/>
      <c r="B14" s="478" t="s">
        <v>249</v>
      </c>
      <c r="C14" s="389" t="s">
        <v>325</v>
      </c>
      <c r="D14" s="386">
        <v>0</v>
      </c>
      <c r="E14" s="386">
        <v>25000000</v>
      </c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7"/>
      <c r="Q14" s="387"/>
      <c r="R14" s="443">
        <f t="shared" si="0"/>
        <v>0</v>
      </c>
      <c r="S14" s="443">
        <f t="shared" si="1"/>
        <v>25000000</v>
      </c>
      <c r="T14" s="561"/>
    </row>
    <row r="15" spans="1:36" s="562" customFormat="1" ht="16.5" thickBot="1" x14ac:dyDescent="0.25">
      <c r="A15" s="704"/>
      <c r="B15" s="391" t="s">
        <v>250</v>
      </c>
      <c r="C15" s="389" t="s">
        <v>326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7"/>
      <c r="Q15" s="387"/>
      <c r="R15" s="443">
        <f t="shared" si="0"/>
        <v>0</v>
      </c>
      <c r="S15" s="443">
        <f t="shared" si="1"/>
        <v>0</v>
      </c>
      <c r="T15" s="561"/>
    </row>
    <row r="16" spans="1:36" s="562" customFormat="1" ht="16.5" thickBot="1" x14ac:dyDescent="0.25">
      <c r="A16" s="704"/>
      <c r="B16" s="391" t="s">
        <v>251</v>
      </c>
      <c r="C16" s="389" t="s">
        <v>268</v>
      </c>
      <c r="D16" s="386">
        <f>7000000+1890000</f>
        <v>8890000</v>
      </c>
      <c r="E16" s="386">
        <v>8890026</v>
      </c>
      <c r="F16" s="386"/>
      <c r="G16" s="386"/>
      <c r="H16" s="386"/>
      <c r="I16" s="386"/>
      <c r="J16" s="386"/>
      <c r="K16" s="386"/>
      <c r="L16" s="386">
        <v>24944510</v>
      </c>
      <c r="M16" s="386">
        <v>0</v>
      </c>
      <c r="N16" s="386"/>
      <c r="O16" s="386"/>
      <c r="P16" s="387"/>
      <c r="Q16" s="387"/>
      <c r="R16" s="443">
        <f t="shared" si="0"/>
        <v>33834510</v>
      </c>
      <c r="S16" s="443">
        <f t="shared" si="1"/>
        <v>8890026</v>
      </c>
      <c r="T16" s="561"/>
    </row>
    <row r="17" spans="1:20" s="562" customFormat="1" ht="16.5" thickBot="1" x14ac:dyDescent="0.25">
      <c r="A17" s="704"/>
      <c r="B17" s="391" t="s">
        <v>525</v>
      </c>
      <c r="C17" s="389" t="s">
        <v>526</v>
      </c>
      <c r="D17" s="386"/>
      <c r="E17" s="386"/>
      <c r="F17" s="386"/>
      <c r="G17" s="386"/>
      <c r="H17" s="386"/>
      <c r="I17" s="386"/>
      <c r="J17" s="386"/>
      <c r="K17" s="386"/>
      <c r="L17" s="386">
        <v>30103579</v>
      </c>
      <c r="M17" s="386">
        <v>0</v>
      </c>
      <c r="N17" s="386"/>
      <c r="O17" s="386"/>
      <c r="P17" s="387"/>
      <c r="Q17" s="387"/>
      <c r="R17" s="443">
        <f t="shared" si="0"/>
        <v>30103579</v>
      </c>
      <c r="S17" s="443">
        <f t="shared" si="1"/>
        <v>0</v>
      </c>
      <c r="T17" s="561"/>
    </row>
    <row r="18" spans="1:20" s="562" customFormat="1" ht="16.5" thickBot="1" x14ac:dyDescent="0.25">
      <c r="A18" s="704"/>
      <c r="B18" s="391" t="s">
        <v>252</v>
      </c>
      <c r="C18" s="389" t="s">
        <v>269</v>
      </c>
      <c r="D18" s="386">
        <f>6500000+1755000</f>
        <v>8255000</v>
      </c>
      <c r="E18" s="386">
        <v>8255000</v>
      </c>
      <c r="F18" s="386"/>
      <c r="G18" s="386"/>
      <c r="H18" s="386"/>
      <c r="I18" s="386"/>
      <c r="J18" s="386"/>
      <c r="K18" s="386"/>
      <c r="L18" s="386">
        <v>45378440</v>
      </c>
      <c r="M18" s="386">
        <v>0</v>
      </c>
      <c r="N18" s="386"/>
      <c r="O18" s="386"/>
      <c r="P18" s="387"/>
      <c r="Q18" s="387"/>
      <c r="R18" s="443">
        <f t="shared" si="0"/>
        <v>53633440</v>
      </c>
      <c r="S18" s="443">
        <f t="shared" si="1"/>
        <v>8255000</v>
      </c>
      <c r="T18" s="561"/>
    </row>
    <row r="19" spans="1:20" s="562" customFormat="1" ht="16.5" thickBot="1" x14ac:dyDescent="0.25">
      <c r="A19" s="704"/>
      <c r="B19" s="391" t="s">
        <v>253</v>
      </c>
      <c r="C19" s="389" t="s">
        <v>48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7"/>
      <c r="Q19" s="387"/>
      <c r="R19" s="443">
        <f t="shared" si="0"/>
        <v>0</v>
      </c>
      <c r="S19" s="443">
        <f t="shared" si="1"/>
        <v>0</v>
      </c>
      <c r="T19" s="561"/>
    </row>
    <row r="20" spans="1:20" s="562" customFormat="1" ht="16.5" thickBot="1" x14ac:dyDescent="0.25">
      <c r="A20" s="704"/>
      <c r="B20" s="391" t="s">
        <v>222</v>
      </c>
      <c r="C20" s="389" t="s">
        <v>221</v>
      </c>
      <c r="D20" s="386"/>
      <c r="E20" s="386"/>
      <c r="F20" s="386"/>
      <c r="G20" s="386"/>
      <c r="H20" s="386"/>
      <c r="I20" s="386"/>
      <c r="J20" s="386"/>
      <c r="K20" s="386"/>
      <c r="L20" s="386">
        <v>4508070</v>
      </c>
      <c r="M20" s="386">
        <v>0</v>
      </c>
      <c r="N20" s="386"/>
      <c r="O20" s="386"/>
      <c r="P20" s="387"/>
      <c r="Q20" s="387"/>
      <c r="R20" s="443">
        <f t="shared" si="0"/>
        <v>4508070</v>
      </c>
      <c r="S20" s="443">
        <f t="shared" si="1"/>
        <v>0</v>
      </c>
      <c r="T20" s="561"/>
    </row>
    <row r="21" spans="1:20" s="562" customFormat="1" ht="16.5" thickBot="1" x14ac:dyDescent="0.25">
      <c r="A21" s="704"/>
      <c r="B21" s="391" t="s">
        <v>223</v>
      </c>
      <c r="C21" s="389" t="s">
        <v>270</v>
      </c>
      <c r="D21" s="386">
        <f>600000+900000+290000+200000</f>
        <v>1990000</v>
      </c>
      <c r="E21" s="386">
        <v>2164203</v>
      </c>
      <c r="F21" s="386"/>
      <c r="G21" s="386"/>
      <c r="H21" s="386"/>
      <c r="I21" s="386"/>
      <c r="J21" s="386"/>
      <c r="K21" s="386"/>
      <c r="L21" s="432">
        <v>56437995</v>
      </c>
      <c r="M21" s="432">
        <v>0</v>
      </c>
      <c r="N21" s="386"/>
      <c r="O21" s="386"/>
      <c r="P21" s="387"/>
      <c r="Q21" s="387"/>
      <c r="R21" s="443">
        <f t="shared" si="0"/>
        <v>58427995</v>
      </c>
      <c r="S21" s="443">
        <f t="shared" si="1"/>
        <v>2164203</v>
      </c>
      <c r="T21" s="561"/>
    </row>
    <row r="22" spans="1:20" s="562" customFormat="1" ht="16.5" thickBot="1" x14ac:dyDescent="0.25">
      <c r="A22" s="704"/>
      <c r="B22" s="391" t="s">
        <v>254</v>
      </c>
      <c r="C22" s="389" t="s">
        <v>271</v>
      </c>
      <c r="D22" s="386">
        <v>450000</v>
      </c>
      <c r="E22" s="386">
        <v>550835</v>
      </c>
      <c r="F22" s="386"/>
      <c r="G22" s="386"/>
      <c r="H22" s="386"/>
      <c r="I22" s="386"/>
      <c r="J22" s="386"/>
      <c r="K22" s="386"/>
      <c r="L22" s="432"/>
      <c r="M22" s="432"/>
      <c r="N22" s="386"/>
      <c r="O22" s="386"/>
      <c r="P22" s="387"/>
      <c r="Q22" s="387"/>
      <c r="R22" s="443">
        <f t="shared" si="0"/>
        <v>450000</v>
      </c>
      <c r="S22" s="443">
        <f t="shared" si="1"/>
        <v>550835</v>
      </c>
      <c r="T22" s="561"/>
    </row>
    <row r="23" spans="1:20" s="562" customFormat="1" ht="16.5" thickBot="1" x14ac:dyDescent="0.25">
      <c r="A23" s="704"/>
      <c r="B23" s="391" t="s">
        <v>256</v>
      </c>
      <c r="C23" s="390" t="s">
        <v>273</v>
      </c>
      <c r="D23" s="386"/>
      <c r="E23" s="386"/>
      <c r="F23" s="386"/>
      <c r="G23" s="386"/>
      <c r="H23" s="386"/>
      <c r="I23" s="386"/>
      <c r="J23" s="386"/>
      <c r="K23" s="386"/>
      <c r="L23" s="432"/>
      <c r="M23" s="432"/>
      <c r="N23" s="386"/>
      <c r="O23" s="386"/>
      <c r="P23" s="387"/>
      <c r="Q23" s="387"/>
      <c r="R23" s="443">
        <f t="shared" si="0"/>
        <v>0</v>
      </c>
      <c r="S23" s="443">
        <f t="shared" si="1"/>
        <v>0</v>
      </c>
      <c r="T23" s="561"/>
    </row>
    <row r="24" spans="1:20" s="562" customFormat="1" ht="16.5" thickBot="1" x14ac:dyDescent="0.25">
      <c r="A24" s="704"/>
      <c r="B24" s="391" t="s">
        <v>255</v>
      </c>
      <c r="C24" s="389" t="s">
        <v>272</v>
      </c>
      <c r="D24" s="386"/>
      <c r="E24" s="386"/>
      <c r="F24" s="386"/>
      <c r="G24" s="386"/>
      <c r="H24" s="386"/>
      <c r="I24" s="386"/>
      <c r="J24" s="386"/>
      <c r="K24" s="386"/>
      <c r="L24" s="432"/>
      <c r="M24" s="432"/>
      <c r="N24" s="386"/>
      <c r="O24" s="386"/>
      <c r="P24" s="387"/>
      <c r="Q24" s="387"/>
      <c r="R24" s="443">
        <f t="shared" si="0"/>
        <v>0</v>
      </c>
      <c r="S24" s="443">
        <f t="shared" si="1"/>
        <v>0</v>
      </c>
      <c r="T24" s="561"/>
    </row>
    <row r="25" spans="1:20" s="562" customFormat="1" ht="16.5" thickBot="1" x14ac:dyDescent="0.25">
      <c r="A25" s="704"/>
      <c r="B25" s="391" t="s">
        <v>225</v>
      </c>
      <c r="C25" s="390" t="s">
        <v>49</v>
      </c>
      <c r="D25" s="386"/>
      <c r="E25" s="386"/>
      <c r="F25" s="386">
        <v>20354748</v>
      </c>
      <c r="G25" s="386">
        <v>22200100</v>
      </c>
      <c r="H25" s="386"/>
      <c r="I25" s="386"/>
      <c r="J25" s="386"/>
      <c r="K25" s="386"/>
      <c r="L25" s="432"/>
      <c r="M25" s="432"/>
      <c r="N25" s="386"/>
      <c r="O25" s="386"/>
      <c r="P25" s="387"/>
      <c r="Q25" s="387"/>
      <c r="R25" s="443">
        <f t="shared" si="0"/>
        <v>20354748</v>
      </c>
      <c r="S25" s="443">
        <f t="shared" si="1"/>
        <v>22200100</v>
      </c>
      <c r="T25" s="561"/>
    </row>
    <row r="26" spans="1:20" s="562" customFormat="1" ht="16.5" thickBot="1" x14ac:dyDescent="0.25">
      <c r="A26" s="704"/>
      <c r="B26" s="563" t="s">
        <v>257</v>
      </c>
      <c r="C26" s="390" t="s">
        <v>274</v>
      </c>
      <c r="D26" s="386"/>
      <c r="E26" s="386"/>
      <c r="F26" s="386"/>
      <c r="G26" s="386"/>
      <c r="H26" s="386"/>
      <c r="I26" s="386"/>
      <c r="J26" s="386"/>
      <c r="K26" s="386"/>
      <c r="L26" s="432"/>
      <c r="M26" s="432"/>
      <c r="N26" s="386"/>
      <c r="O26" s="386"/>
      <c r="P26" s="387"/>
      <c r="Q26" s="387"/>
      <c r="R26" s="443">
        <f t="shared" si="0"/>
        <v>0</v>
      </c>
      <c r="S26" s="443">
        <f t="shared" si="1"/>
        <v>0</v>
      </c>
      <c r="T26" s="561"/>
    </row>
    <row r="27" spans="1:20" s="562" customFormat="1" ht="16.5" thickBot="1" x14ac:dyDescent="0.25">
      <c r="A27" s="704"/>
      <c r="B27" s="391" t="s">
        <v>327</v>
      </c>
      <c r="C27" s="390" t="s">
        <v>416</v>
      </c>
      <c r="D27" s="386"/>
      <c r="E27" s="386"/>
      <c r="F27" s="386">
        <v>0</v>
      </c>
      <c r="G27" s="386">
        <v>150000</v>
      </c>
      <c r="H27" s="386">
        <v>5096029</v>
      </c>
      <c r="I27" s="386">
        <v>452983194</v>
      </c>
      <c r="J27" s="386"/>
      <c r="K27" s="386"/>
      <c r="L27" s="432">
        <v>0</v>
      </c>
      <c r="M27" s="432">
        <v>226247840</v>
      </c>
      <c r="N27" s="386"/>
      <c r="O27" s="386"/>
      <c r="P27" s="387"/>
      <c r="Q27" s="387"/>
      <c r="R27" s="443">
        <f t="shared" si="0"/>
        <v>5096029</v>
      </c>
      <c r="S27" s="443">
        <f t="shared" si="1"/>
        <v>679381034</v>
      </c>
      <c r="T27" s="561"/>
    </row>
    <row r="28" spans="1:20" s="562" customFormat="1" ht="16.5" thickBot="1" x14ac:dyDescent="0.25">
      <c r="A28" s="704"/>
      <c r="B28" s="391" t="s">
        <v>260</v>
      </c>
      <c r="C28" s="390" t="s">
        <v>227</v>
      </c>
      <c r="D28" s="386"/>
      <c r="E28" s="386"/>
      <c r="F28" s="386">
        <v>7411115</v>
      </c>
      <c r="G28" s="386">
        <v>8950115</v>
      </c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443">
        <f t="shared" si="0"/>
        <v>7411115</v>
      </c>
      <c r="S28" s="443">
        <f t="shared" si="1"/>
        <v>8950115</v>
      </c>
      <c r="T28" s="561"/>
    </row>
    <row r="29" spans="1:20" s="562" customFormat="1" ht="16.5" thickBot="1" x14ac:dyDescent="0.25">
      <c r="A29" s="704"/>
      <c r="B29" s="564" t="s">
        <v>360</v>
      </c>
      <c r="C29" s="629" t="s">
        <v>361</v>
      </c>
      <c r="D29" s="386"/>
      <c r="E29" s="386"/>
      <c r="F29" s="386">
        <v>0</v>
      </c>
      <c r="G29" s="386">
        <v>66960</v>
      </c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443">
        <f t="shared" si="0"/>
        <v>0</v>
      </c>
      <c r="S29" s="443">
        <f t="shared" si="1"/>
        <v>66960</v>
      </c>
      <c r="T29" s="561"/>
    </row>
    <row r="30" spans="1:20" s="562" customFormat="1" ht="16.5" thickBot="1" x14ac:dyDescent="0.25">
      <c r="A30" s="704"/>
      <c r="B30" s="391" t="s">
        <v>261</v>
      </c>
      <c r="C30" s="390" t="s">
        <v>277</v>
      </c>
      <c r="D30" s="386">
        <v>1500000</v>
      </c>
      <c r="E30" s="386">
        <v>1500000</v>
      </c>
      <c r="F30" s="386"/>
      <c r="G30" s="386"/>
      <c r="H30" s="386"/>
      <c r="I30" s="386"/>
      <c r="J30" s="386"/>
      <c r="K30" s="386"/>
      <c r="L30" s="386">
        <v>8165656</v>
      </c>
      <c r="M30" s="386">
        <v>0</v>
      </c>
      <c r="N30" s="386"/>
      <c r="O30" s="386"/>
      <c r="P30" s="386"/>
      <c r="Q30" s="386"/>
      <c r="R30" s="443">
        <f>+P30+N30+L30+H30+F30+D30</f>
        <v>9665656</v>
      </c>
      <c r="S30" s="443">
        <f t="shared" si="1"/>
        <v>1500000</v>
      </c>
      <c r="T30" s="561"/>
    </row>
    <row r="31" spans="1:20" s="562" customFormat="1" ht="32.25" thickBot="1" x14ac:dyDescent="0.25">
      <c r="A31" s="704"/>
      <c r="B31" s="391" t="s">
        <v>411</v>
      </c>
      <c r="C31" s="629" t="s">
        <v>412</v>
      </c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443">
        <f t="shared" si="0"/>
        <v>0</v>
      </c>
      <c r="S31" s="443">
        <f t="shared" si="1"/>
        <v>0</v>
      </c>
      <c r="T31" s="561"/>
    </row>
    <row r="32" spans="1:20" s="562" customFormat="1" ht="16.5" thickBot="1" x14ac:dyDescent="0.25">
      <c r="A32" s="704"/>
      <c r="B32" s="391" t="s">
        <v>262</v>
      </c>
      <c r="C32" s="390" t="s">
        <v>278</v>
      </c>
      <c r="D32" s="386">
        <v>400000</v>
      </c>
      <c r="E32" s="386">
        <v>400000</v>
      </c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7"/>
      <c r="Q32" s="387"/>
      <c r="R32" s="443">
        <f t="shared" si="0"/>
        <v>400000</v>
      </c>
      <c r="S32" s="443">
        <f t="shared" si="1"/>
        <v>400000</v>
      </c>
      <c r="T32" s="561"/>
    </row>
    <row r="33" spans="1:27" s="562" customFormat="1" ht="16.5" thickBot="1" x14ac:dyDescent="0.25">
      <c r="A33" s="704"/>
      <c r="B33" s="391" t="s">
        <v>356</v>
      </c>
      <c r="C33" s="389" t="s">
        <v>358</v>
      </c>
      <c r="D33" s="386">
        <v>0</v>
      </c>
      <c r="E33" s="386">
        <v>795837</v>
      </c>
      <c r="F33" s="386"/>
      <c r="G33" s="386"/>
      <c r="H33" s="386"/>
      <c r="I33" s="386"/>
      <c r="J33" s="386"/>
      <c r="K33" s="386"/>
      <c r="L33" s="386">
        <v>21687507</v>
      </c>
      <c r="M33" s="386">
        <v>0</v>
      </c>
      <c r="N33" s="386"/>
      <c r="O33" s="386"/>
      <c r="P33" s="387"/>
      <c r="Q33" s="387"/>
      <c r="R33" s="443">
        <f t="shared" si="0"/>
        <v>21687507</v>
      </c>
      <c r="S33" s="443">
        <f t="shared" si="1"/>
        <v>795837</v>
      </c>
      <c r="T33" s="561"/>
    </row>
    <row r="34" spans="1:27" s="562" customFormat="1" ht="16.5" thickBot="1" x14ac:dyDescent="0.25">
      <c r="A34" s="704"/>
      <c r="B34" s="391" t="s">
        <v>357</v>
      </c>
      <c r="C34" s="389" t="s">
        <v>359</v>
      </c>
      <c r="D34" s="386"/>
      <c r="E34" s="386">
        <v>801312</v>
      </c>
      <c r="F34" s="386"/>
      <c r="G34" s="386"/>
      <c r="H34" s="386"/>
      <c r="I34" s="386"/>
      <c r="J34" s="386"/>
      <c r="K34" s="386"/>
      <c r="L34" s="386">
        <v>8144534</v>
      </c>
      <c r="M34" s="386">
        <v>0</v>
      </c>
      <c r="N34" s="386"/>
      <c r="O34" s="386"/>
      <c r="P34" s="387"/>
      <c r="Q34" s="387"/>
      <c r="R34" s="443">
        <f t="shared" si="0"/>
        <v>8144534</v>
      </c>
      <c r="S34" s="443">
        <f t="shared" si="1"/>
        <v>801312</v>
      </c>
      <c r="T34" s="561"/>
    </row>
    <row r="35" spans="1:27" s="562" customFormat="1" ht="16.5" thickBot="1" x14ac:dyDescent="0.25">
      <c r="A35" s="704"/>
      <c r="B35" s="391" t="s">
        <v>284</v>
      </c>
      <c r="C35" s="389" t="s">
        <v>286</v>
      </c>
      <c r="D35" s="386">
        <v>0</v>
      </c>
      <c r="E35" s="386">
        <v>30000</v>
      </c>
      <c r="F35" s="386"/>
      <c r="G35" s="386"/>
      <c r="H35" s="386"/>
      <c r="I35" s="386"/>
      <c r="J35" s="386"/>
      <c r="K35" s="386"/>
      <c r="L35" s="386">
        <v>1835000</v>
      </c>
      <c r="M35" s="386">
        <v>0</v>
      </c>
      <c r="N35" s="386"/>
      <c r="O35" s="386"/>
      <c r="P35" s="386"/>
      <c r="Q35" s="386"/>
      <c r="R35" s="443">
        <f t="shared" si="0"/>
        <v>1835000</v>
      </c>
      <c r="S35" s="443">
        <f t="shared" si="1"/>
        <v>30000</v>
      </c>
      <c r="T35" s="561"/>
    </row>
    <row r="36" spans="1:27" s="562" customFormat="1" ht="16.5" thickBot="1" x14ac:dyDescent="0.25">
      <c r="A36" s="704"/>
      <c r="B36" s="391" t="s">
        <v>669</v>
      </c>
      <c r="C36" s="389" t="s">
        <v>670</v>
      </c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443">
        <f t="shared" ref="R36" si="2">+P36+N36+L36+H36+F36+D36</f>
        <v>0</v>
      </c>
      <c r="S36" s="443">
        <f t="shared" ref="S36" si="3">+Q36+O36+M36+I36+G36+E36+K36</f>
        <v>0</v>
      </c>
      <c r="T36" s="561"/>
    </row>
    <row r="37" spans="1:27" s="562" customFormat="1" ht="32.25" thickBot="1" x14ac:dyDescent="0.25">
      <c r="A37" s="704"/>
      <c r="B37" s="391" t="s">
        <v>328</v>
      </c>
      <c r="C37" s="629" t="s">
        <v>415</v>
      </c>
      <c r="D37" s="386"/>
      <c r="E37" s="386"/>
      <c r="F37" s="432">
        <f>+'2.sz.mell.'!C26</f>
        <v>268775970</v>
      </c>
      <c r="G37" s="432">
        <v>297438675</v>
      </c>
      <c r="H37" s="432">
        <v>0</v>
      </c>
      <c r="I37" s="432">
        <v>909000</v>
      </c>
      <c r="J37" s="432"/>
      <c r="K37" s="432"/>
      <c r="L37" s="432">
        <v>0</v>
      </c>
      <c r="M37" s="432">
        <v>11598782</v>
      </c>
      <c r="N37" s="386"/>
      <c r="O37" s="386"/>
      <c r="P37" s="386"/>
      <c r="Q37" s="386"/>
      <c r="R37" s="443">
        <f t="shared" si="0"/>
        <v>268775970</v>
      </c>
      <c r="S37" s="443">
        <f t="shared" si="1"/>
        <v>309946457</v>
      </c>
      <c r="T37" s="561"/>
    </row>
    <row r="38" spans="1:27" s="562" customFormat="1" ht="16.5" thickBot="1" x14ac:dyDescent="0.25">
      <c r="A38" s="704"/>
      <c r="B38" s="391" t="s">
        <v>420</v>
      </c>
      <c r="C38" s="629" t="s">
        <v>421</v>
      </c>
      <c r="D38" s="386"/>
      <c r="E38" s="386"/>
      <c r="F38" s="386"/>
      <c r="G38" s="386"/>
      <c r="H38" s="386"/>
      <c r="I38" s="386"/>
      <c r="J38" s="386"/>
      <c r="K38" s="386"/>
      <c r="L38" s="432"/>
      <c r="M38" s="432"/>
      <c r="N38" s="386"/>
      <c r="O38" s="386"/>
      <c r="P38" s="386">
        <v>79200000</v>
      </c>
      <c r="Q38" s="386">
        <v>93359115</v>
      </c>
      <c r="R38" s="443">
        <f t="shared" si="0"/>
        <v>79200000</v>
      </c>
      <c r="S38" s="443">
        <f t="shared" si="1"/>
        <v>93359115</v>
      </c>
      <c r="T38" s="561"/>
    </row>
    <row r="39" spans="1:27" s="562" customFormat="1" ht="16.5" thickBot="1" x14ac:dyDescent="0.25">
      <c r="A39" s="704"/>
      <c r="B39" s="228" t="s">
        <v>418</v>
      </c>
      <c r="C39" s="228" t="s">
        <v>419</v>
      </c>
      <c r="D39" s="388">
        <f>SUM(D6:D38)</f>
        <v>30970000</v>
      </c>
      <c r="E39" s="388">
        <f t="shared" ref="E39:Q39" si="4">SUM(E6:E38)</f>
        <v>63873764</v>
      </c>
      <c r="F39" s="388">
        <f t="shared" si="4"/>
        <v>357804551</v>
      </c>
      <c r="G39" s="388">
        <f t="shared" si="4"/>
        <v>356368178</v>
      </c>
      <c r="H39" s="388">
        <f t="shared" si="4"/>
        <v>5096029</v>
      </c>
      <c r="I39" s="388">
        <f t="shared" si="4"/>
        <v>453892194</v>
      </c>
      <c r="J39" s="388">
        <f t="shared" si="4"/>
        <v>0</v>
      </c>
      <c r="K39" s="388">
        <f t="shared" si="4"/>
        <v>1100000</v>
      </c>
      <c r="L39" s="388">
        <f t="shared" si="4"/>
        <v>222081812</v>
      </c>
      <c r="M39" s="388">
        <f t="shared" si="4"/>
        <v>237846622</v>
      </c>
      <c r="N39" s="388">
        <f t="shared" si="4"/>
        <v>0</v>
      </c>
      <c r="O39" s="388">
        <f t="shared" si="4"/>
        <v>0</v>
      </c>
      <c r="P39" s="388">
        <f t="shared" si="4"/>
        <v>79200000</v>
      </c>
      <c r="Q39" s="388">
        <f t="shared" si="4"/>
        <v>93359115</v>
      </c>
      <c r="R39" s="443">
        <f>+SUM(R6:R38)</f>
        <v>695152392</v>
      </c>
      <c r="S39" s="443">
        <f>+SUM(S6:S38)</f>
        <v>1206439873</v>
      </c>
      <c r="T39" s="604">
        <v>695152392</v>
      </c>
      <c r="V39" s="561"/>
      <c r="W39" s="561"/>
    </row>
    <row r="40" spans="1:27" ht="37.9" customHeight="1" thickBot="1" x14ac:dyDescent="0.25">
      <c r="A40" s="704" t="s">
        <v>39</v>
      </c>
      <c r="B40" s="251" t="s">
        <v>220</v>
      </c>
      <c r="C40" s="227" t="s">
        <v>263</v>
      </c>
      <c r="D40" s="386">
        <f>200000+900000</f>
        <v>1100000</v>
      </c>
      <c r="E40" s="386">
        <v>1204913</v>
      </c>
      <c r="F40" s="386">
        <v>1938774</v>
      </c>
      <c r="G40" s="386">
        <v>977813</v>
      </c>
      <c r="H40" s="517"/>
      <c r="I40" s="517"/>
      <c r="J40" s="517"/>
      <c r="K40" s="517"/>
      <c r="L40" s="517"/>
      <c r="M40" s="517"/>
      <c r="N40" s="517"/>
      <c r="O40" s="517"/>
      <c r="P40" s="387">
        <v>70000</v>
      </c>
      <c r="Q40" s="387">
        <v>70000</v>
      </c>
      <c r="R40" s="388">
        <f t="shared" ref="R40:S43" si="5">+P40+H40+F40+D40+L40+N40</f>
        <v>3108774</v>
      </c>
      <c r="S40" s="388">
        <f t="shared" si="5"/>
        <v>2252726</v>
      </c>
      <c r="T40" s="44">
        <f>+R39-T39</f>
        <v>0</v>
      </c>
      <c r="U40" s="37"/>
      <c r="V40" s="37"/>
      <c r="W40" s="37"/>
      <c r="X40" s="37"/>
      <c r="Y40" s="37"/>
      <c r="Z40" s="37"/>
      <c r="AA40" s="37"/>
    </row>
    <row r="41" spans="1:27" ht="22.5" customHeight="1" thickBot="1" x14ac:dyDescent="0.25">
      <c r="A41" s="704"/>
      <c r="B41" s="439" t="s">
        <v>327</v>
      </c>
      <c r="C41" s="440" t="s">
        <v>416</v>
      </c>
      <c r="D41" s="517"/>
      <c r="E41" s="517"/>
      <c r="F41" s="386">
        <v>0</v>
      </c>
      <c r="G41" s="386"/>
      <c r="H41" s="517"/>
      <c r="I41" s="517"/>
      <c r="J41" s="517"/>
      <c r="K41" s="517"/>
      <c r="L41" s="386">
        <v>1129708</v>
      </c>
      <c r="M41" s="386">
        <v>1129708</v>
      </c>
      <c r="N41" s="386">
        <v>98457518</v>
      </c>
      <c r="O41" s="386">
        <v>99418479</v>
      </c>
      <c r="P41" s="518"/>
      <c r="Q41" s="518"/>
      <c r="R41" s="388">
        <f t="shared" si="5"/>
        <v>99587226</v>
      </c>
      <c r="S41" s="388">
        <f t="shared" si="5"/>
        <v>100548187</v>
      </c>
      <c r="T41" s="37"/>
      <c r="U41" s="37"/>
      <c r="V41" s="37"/>
      <c r="W41" s="37"/>
      <c r="X41" s="37"/>
      <c r="Y41" s="37"/>
      <c r="Z41" s="37"/>
      <c r="AA41" s="37"/>
    </row>
    <row r="42" spans="1:27" ht="22.5" customHeight="1" thickBot="1" x14ac:dyDescent="0.25">
      <c r="A42" s="704"/>
      <c r="B42" s="439" t="s">
        <v>356</v>
      </c>
      <c r="C42" s="389" t="s">
        <v>358</v>
      </c>
      <c r="D42" s="517"/>
      <c r="E42" s="517"/>
      <c r="F42" s="517"/>
      <c r="G42" s="517"/>
      <c r="H42" s="517"/>
      <c r="I42" s="517"/>
      <c r="J42" s="517"/>
      <c r="K42" s="517"/>
      <c r="L42" s="432">
        <v>0</v>
      </c>
      <c r="M42" s="432">
        <v>0</v>
      </c>
      <c r="N42" s="517"/>
      <c r="O42" s="517"/>
      <c r="P42" s="518"/>
      <c r="Q42" s="518"/>
      <c r="R42" s="388">
        <f t="shared" si="5"/>
        <v>0</v>
      </c>
      <c r="S42" s="388">
        <f t="shared" si="5"/>
        <v>0</v>
      </c>
      <c r="T42" s="37"/>
      <c r="U42" s="37"/>
      <c r="V42" s="37"/>
      <c r="W42" s="37"/>
      <c r="X42" s="37"/>
      <c r="Y42" s="37"/>
      <c r="Z42" s="37"/>
      <c r="AA42" s="37"/>
    </row>
    <row r="43" spans="1:27" ht="39" customHeight="1" thickBot="1" x14ac:dyDescent="0.25">
      <c r="A43" s="704"/>
      <c r="B43" s="441" t="s">
        <v>369</v>
      </c>
      <c r="C43" s="472" t="s">
        <v>359</v>
      </c>
      <c r="D43" s="386"/>
      <c r="E43" s="386"/>
      <c r="F43" s="386"/>
      <c r="G43" s="386"/>
      <c r="H43" s="386"/>
      <c r="I43" s="386"/>
      <c r="J43" s="386"/>
      <c r="K43" s="386"/>
      <c r="L43" s="432">
        <v>0</v>
      </c>
      <c r="M43" s="432">
        <v>0</v>
      </c>
      <c r="N43" s="386"/>
      <c r="O43" s="386"/>
      <c r="P43" s="387"/>
      <c r="Q43" s="387"/>
      <c r="R43" s="388">
        <f t="shared" si="5"/>
        <v>0</v>
      </c>
      <c r="S43" s="388">
        <f t="shared" si="5"/>
        <v>0</v>
      </c>
      <c r="T43" s="37"/>
      <c r="U43" s="37"/>
      <c r="V43" s="37"/>
      <c r="W43" s="37"/>
      <c r="X43" s="37"/>
      <c r="Y43" s="37"/>
      <c r="Z43" s="37"/>
      <c r="AA43" s="37"/>
    </row>
    <row r="44" spans="1:27" ht="16.5" thickBot="1" x14ac:dyDescent="0.25">
      <c r="A44" s="704"/>
      <c r="B44" s="705" t="s">
        <v>55</v>
      </c>
      <c r="C44" s="706"/>
      <c r="D44" s="388">
        <f>D40+D42+D43+D41</f>
        <v>1100000</v>
      </c>
      <c r="E44" s="388">
        <f t="shared" ref="E44:Q44" si="6">E40+E42+E43+E41</f>
        <v>1204913</v>
      </c>
      <c r="F44" s="388">
        <f t="shared" si="6"/>
        <v>1938774</v>
      </c>
      <c r="G44" s="388">
        <f t="shared" si="6"/>
        <v>977813</v>
      </c>
      <c r="H44" s="388">
        <f t="shared" si="6"/>
        <v>0</v>
      </c>
      <c r="I44" s="388">
        <f t="shared" si="6"/>
        <v>0</v>
      </c>
      <c r="J44" s="388">
        <f t="shared" ref="J44:K44" si="7">J40+J42+J43+J41</f>
        <v>0</v>
      </c>
      <c r="K44" s="388">
        <f t="shared" si="7"/>
        <v>0</v>
      </c>
      <c r="L44" s="388">
        <f t="shared" si="6"/>
        <v>1129708</v>
      </c>
      <c r="M44" s="388">
        <f t="shared" si="6"/>
        <v>1129708</v>
      </c>
      <c r="N44" s="388">
        <f t="shared" si="6"/>
        <v>98457518</v>
      </c>
      <c r="O44" s="388">
        <f t="shared" si="6"/>
        <v>99418479</v>
      </c>
      <c r="P44" s="388">
        <f t="shared" si="6"/>
        <v>70000</v>
      </c>
      <c r="Q44" s="388">
        <f t="shared" si="6"/>
        <v>70000</v>
      </c>
      <c r="R44" s="388">
        <f>R40++R42+R43+R41</f>
        <v>102696000</v>
      </c>
      <c r="S44" s="388">
        <f>S40++S42+S43+S41</f>
        <v>102800913</v>
      </c>
      <c r="T44" s="156"/>
      <c r="U44" s="37"/>
      <c r="V44" s="37"/>
      <c r="W44" s="37"/>
      <c r="X44" s="37"/>
      <c r="Y44" s="37"/>
      <c r="Z44" s="37"/>
      <c r="AA44" s="37"/>
    </row>
    <row r="45" spans="1:27" s="562" customFormat="1" ht="18.95" customHeight="1" thickBot="1" x14ac:dyDescent="0.25">
      <c r="A45" s="720" t="s">
        <v>41</v>
      </c>
      <c r="B45" s="391" t="s">
        <v>327</v>
      </c>
      <c r="C45" s="390" t="s">
        <v>416</v>
      </c>
      <c r="D45" s="386"/>
      <c r="E45" s="386"/>
      <c r="F45" s="386"/>
      <c r="G45" s="386"/>
      <c r="H45" s="386"/>
      <c r="I45" s="386"/>
      <c r="J45" s="386"/>
      <c r="K45" s="386"/>
      <c r="L45" s="386">
        <v>146107</v>
      </c>
      <c r="M45" s="386">
        <v>146107</v>
      </c>
      <c r="N45" s="386">
        <v>16645148</v>
      </c>
      <c r="O45" s="386">
        <v>16645148</v>
      </c>
      <c r="P45" s="387"/>
      <c r="Q45" s="387"/>
      <c r="R45" s="388">
        <f>+P45+H45+F45+D45+L45+N45</f>
        <v>16791255</v>
      </c>
      <c r="S45" s="388">
        <f>+Q45+I45+G45+E45+M45+O45</f>
        <v>16791255</v>
      </c>
    </row>
    <row r="46" spans="1:27" s="562" customFormat="1" ht="18.95" customHeight="1" thickBot="1" x14ac:dyDescent="0.25">
      <c r="A46" s="721"/>
      <c r="B46" s="391" t="s">
        <v>284</v>
      </c>
      <c r="C46" s="390" t="s">
        <v>286</v>
      </c>
      <c r="D46" s="386">
        <v>150000</v>
      </c>
      <c r="E46" s="386">
        <v>150001</v>
      </c>
      <c r="F46" s="386">
        <v>0</v>
      </c>
      <c r="G46" s="386">
        <v>2619780</v>
      </c>
      <c r="H46" s="386"/>
      <c r="I46" s="386"/>
      <c r="J46" s="386"/>
      <c r="K46" s="386"/>
      <c r="L46" s="386"/>
      <c r="M46" s="386"/>
      <c r="N46" s="386"/>
      <c r="O46" s="386"/>
      <c r="P46" s="387"/>
      <c r="Q46" s="387"/>
      <c r="R46" s="388">
        <f>+P46+H46+F46+D46+L46+N46</f>
        <v>150000</v>
      </c>
      <c r="S46" s="388">
        <f>+Q46+I46+G46+E46+M46+O46</f>
        <v>2769781</v>
      </c>
    </row>
    <row r="47" spans="1:27" s="562" customFormat="1" ht="22.5" customHeight="1" thickBot="1" x14ac:dyDescent="0.25">
      <c r="A47" s="722"/>
      <c r="B47" s="705" t="s">
        <v>285</v>
      </c>
      <c r="C47" s="706"/>
      <c r="D47" s="388">
        <f t="shared" ref="D47:Q47" si="8">SUM(D45:D46)</f>
        <v>150000</v>
      </c>
      <c r="E47" s="388">
        <f t="shared" si="8"/>
        <v>150001</v>
      </c>
      <c r="F47" s="388">
        <f t="shared" si="8"/>
        <v>0</v>
      </c>
      <c r="G47" s="388">
        <f t="shared" si="8"/>
        <v>2619780</v>
      </c>
      <c r="H47" s="388">
        <f t="shared" si="8"/>
        <v>0</v>
      </c>
      <c r="I47" s="388">
        <f t="shared" si="8"/>
        <v>0</v>
      </c>
      <c r="J47" s="388">
        <f t="shared" ref="J47:K47" si="9">SUM(J45:J46)</f>
        <v>0</v>
      </c>
      <c r="K47" s="388">
        <f t="shared" si="9"/>
        <v>0</v>
      </c>
      <c r="L47" s="388">
        <f t="shared" si="8"/>
        <v>146107</v>
      </c>
      <c r="M47" s="388">
        <f t="shared" si="8"/>
        <v>146107</v>
      </c>
      <c r="N47" s="388">
        <f t="shared" si="8"/>
        <v>16645148</v>
      </c>
      <c r="O47" s="388">
        <f t="shared" si="8"/>
        <v>16645148</v>
      </c>
      <c r="P47" s="388">
        <f t="shared" si="8"/>
        <v>0</v>
      </c>
      <c r="Q47" s="388">
        <f t="shared" si="8"/>
        <v>0</v>
      </c>
      <c r="R47" s="388">
        <f>SUM(R45:R46)</f>
        <v>16941255</v>
      </c>
      <c r="S47" s="388">
        <f>SUM(S45:S46)</f>
        <v>19561036</v>
      </c>
      <c r="T47" s="561"/>
    </row>
    <row r="48" spans="1:27" s="562" customFormat="1" ht="18.95" customHeight="1" thickBot="1" x14ac:dyDescent="0.25">
      <c r="A48" s="720" t="s">
        <v>43</v>
      </c>
      <c r="B48" s="391" t="s">
        <v>327</v>
      </c>
      <c r="C48" s="390" t="s">
        <v>416</v>
      </c>
      <c r="D48" s="386"/>
      <c r="E48" s="386"/>
      <c r="F48" s="386"/>
      <c r="G48" s="386"/>
      <c r="H48" s="386"/>
      <c r="I48" s="386"/>
      <c r="J48" s="386"/>
      <c r="K48" s="386"/>
      <c r="L48" s="386">
        <v>300944</v>
      </c>
      <c r="M48" s="386">
        <v>300944</v>
      </c>
      <c r="N48" s="386">
        <v>3562176</v>
      </c>
      <c r="O48" s="386">
        <v>4188573</v>
      </c>
      <c r="P48" s="387"/>
      <c r="Q48" s="387"/>
      <c r="R48" s="388">
        <f t="shared" ref="R48:S50" si="10">+P48+H48+F48+D48+L48+N48</f>
        <v>3863120</v>
      </c>
      <c r="S48" s="388">
        <f t="shared" si="10"/>
        <v>4489517</v>
      </c>
    </row>
    <row r="49" spans="1:27" s="562" customFormat="1" ht="15.75" customHeight="1" thickBot="1" x14ac:dyDescent="0.25">
      <c r="A49" s="721"/>
      <c r="B49" s="478" t="s">
        <v>413</v>
      </c>
      <c r="C49" s="390" t="s">
        <v>414</v>
      </c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7"/>
      <c r="Q49" s="387"/>
      <c r="R49" s="388">
        <f t="shared" si="10"/>
        <v>0</v>
      </c>
      <c r="S49" s="388">
        <f t="shared" si="10"/>
        <v>0</v>
      </c>
    </row>
    <row r="50" spans="1:27" s="562" customFormat="1" ht="15.75" customHeight="1" thickBot="1" x14ac:dyDescent="0.25">
      <c r="A50" s="721"/>
      <c r="B50" s="478" t="s">
        <v>289</v>
      </c>
      <c r="C50" s="390" t="s">
        <v>287</v>
      </c>
      <c r="D50" s="386">
        <v>110000</v>
      </c>
      <c r="E50" s="386">
        <v>110001</v>
      </c>
      <c r="F50" s="386">
        <v>2800000</v>
      </c>
      <c r="G50" s="386">
        <v>2800000</v>
      </c>
      <c r="H50" s="386"/>
      <c r="I50" s="386"/>
      <c r="J50" s="386"/>
      <c r="K50" s="386"/>
      <c r="L50" s="386"/>
      <c r="M50" s="386"/>
      <c r="N50" s="386"/>
      <c r="O50" s="386"/>
      <c r="P50" s="387"/>
      <c r="Q50" s="387"/>
      <c r="R50" s="388">
        <f t="shared" si="10"/>
        <v>2910000</v>
      </c>
      <c r="S50" s="388">
        <f t="shared" si="10"/>
        <v>2910001</v>
      </c>
    </row>
    <row r="51" spans="1:27" s="562" customFormat="1" ht="21" customHeight="1" thickBot="1" x14ac:dyDescent="0.25">
      <c r="A51" s="722"/>
      <c r="B51" s="705" t="s">
        <v>288</v>
      </c>
      <c r="C51" s="706"/>
      <c r="D51" s="388">
        <f t="shared" ref="D51:Q51" si="11">SUM(D48:D50)</f>
        <v>110000</v>
      </c>
      <c r="E51" s="388">
        <f t="shared" si="11"/>
        <v>110001</v>
      </c>
      <c r="F51" s="388">
        <f t="shared" si="11"/>
        <v>2800000</v>
      </c>
      <c r="G51" s="388">
        <f t="shared" si="11"/>
        <v>2800000</v>
      </c>
      <c r="H51" s="388">
        <f t="shared" si="11"/>
        <v>0</v>
      </c>
      <c r="I51" s="388">
        <f t="shared" si="11"/>
        <v>0</v>
      </c>
      <c r="J51" s="388">
        <f t="shared" ref="J51:K51" si="12">SUM(J48:J50)</f>
        <v>0</v>
      </c>
      <c r="K51" s="388">
        <f t="shared" si="12"/>
        <v>0</v>
      </c>
      <c r="L51" s="388">
        <f t="shared" si="11"/>
        <v>300944</v>
      </c>
      <c r="M51" s="388">
        <f t="shared" si="11"/>
        <v>300944</v>
      </c>
      <c r="N51" s="388">
        <f t="shared" si="11"/>
        <v>3562176</v>
      </c>
      <c r="O51" s="388">
        <f t="shared" si="11"/>
        <v>4188573</v>
      </c>
      <c r="P51" s="388">
        <f t="shared" si="11"/>
        <v>0</v>
      </c>
      <c r="Q51" s="388">
        <f t="shared" si="11"/>
        <v>0</v>
      </c>
      <c r="R51" s="388">
        <f>SUM(R48:R50)</f>
        <v>6773120</v>
      </c>
      <c r="S51" s="388">
        <f>SUM(S48:S50)</f>
        <v>7399518</v>
      </c>
      <c r="T51" s="561"/>
    </row>
    <row r="52" spans="1:27" s="562" customFormat="1" ht="18.95" customHeight="1" thickBot="1" x14ac:dyDescent="0.25">
      <c r="A52" s="709" t="s">
        <v>210</v>
      </c>
      <c r="B52" s="391" t="s">
        <v>327</v>
      </c>
      <c r="C52" s="390" t="s">
        <v>416</v>
      </c>
      <c r="D52" s="386"/>
      <c r="E52" s="386"/>
      <c r="F52" s="386"/>
      <c r="G52" s="386"/>
      <c r="H52" s="386"/>
      <c r="I52" s="386"/>
      <c r="J52" s="386"/>
      <c r="K52" s="386"/>
      <c r="L52" s="386">
        <v>1397501</v>
      </c>
      <c r="M52" s="386">
        <v>1397501</v>
      </c>
      <c r="N52" s="386">
        <f>1128920+99433802</f>
        <v>100562722</v>
      </c>
      <c r="O52" s="386">
        <v>100562722</v>
      </c>
      <c r="P52" s="387"/>
      <c r="Q52" s="387"/>
      <c r="R52" s="388">
        <f t="shared" ref="R52:R59" si="13">+P52+H52+F52+D52+L52+N52</f>
        <v>101960223</v>
      </c>
      <c r="S52" s="388">
        <f t="shared" ref="S52:S59" si="14">+Q52+I52+G52+E52+M52+O52</f>
        <v>101960223</v>
      </c>
    </row>
    <row r="53" spans="1:27" s="562" customFormat="1" ht="21" customHeight="1" thickBot="1" x14ac:dyDescent="0.25">
      <c r="A53" s="710"/>
      <c r="B53" s="252" t="s">
        <v>290</v>
      </c>
      <c r="C53" s="253" t="s">
        <v>280</v>
      </c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388">
        <f t="shared" si="13"/>
        <v>0</v>
      </c>
      <c r="S53" s="388">
        <f t="shared" si="14"/>
        <v>0</v>
      </c>
    </row>
    <row r="54" spans="1:27" s="562" customFormat="1" ht="21" customHeight="1" thickBot="1" x14ac:dyDescent="0.25">
      <c r="A54" s="710"/>
      <c r="B54" s="252" t="s">
        <v>291</v>
      </c>
      <c r="C54" s="253" t="s">
        <v>281</v>
      </c>
      <c r="D54" s="417">
        <v>20000</v>
      </c>
      <c r="E54" s="417">
        <v>23317</v>
      </c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388">
        <f t="shared" si="13"/>
        <v>20000</v>
      </c>
      <c r="S54" s="388">
        <f t="shared" si="14"/>
        <v>23317</v>
      </c>
    </row>
    <row r="55" spans="1:27" s="562" customFormat="1" ht="21" customHeight="1" thickBot="1" x14ac:dyDescent="0.25">
      <c r="A55" s="710"/>
      <c r="B55" s="252" t="s">
        <v>360</v>
      </c>
      <c r="C55" s="253" t="s">
        <v>423</v>
      </c>
      <c r="D55" s="417">
        <v>0</v>
      </c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  <c r="P55" s="417"/>
      <c r="Q55" s="417"/>
      <c r="R55" s="388">
        <f t="shared" si="13"/>
        <v>0</v>
      </c>
      <c r="S55" s="388">
        <f t="shared" si="14"/>
        <v>0</v>
      </c>
    </row>
    <row r="56" spans="1:27" s="562" customFormat="1" ht="21" customHeight="1" thickBot="1" x14ac:dyDescent="0.25">
      <c r="A56" s="710"/>
      <c r="B56" s="252" t="s">
        <v>292</v>
      </c>
      <c r="C56" s="253" t="s">
        <v>282</v>
      </c>
      <c r="D56" s="417">
        <f>95000+400000</f>
        <v>495000</v>
      </c>
      <c r="E56" s="417">
        <v>495001</v>
      </c>
      <c r="F56" s="417">
        <v>2024525</v>
      </c>
      <c r="G56" s="417">
        <v>8376287</v>
      </c>
      <c r="H56" s="417"/>
      <c r="I56" s="417"/>
      <c r="J56" s="417"/>
      <c r="K56" s="417"/>
      <c r="L56" s="417"/>
      <c r="M56" s="417"/>
      <c r="N56" s="417"/>
      <c r="O56" s="417"/>
      <c r="P56" s="417"/>
      <c r="Q56" s="417"/>
      <c r="R56" s="388">
        <f t="shared" si="13"/>
        <v>2519525</v>
      </c>
      <c r="S56" s="388">
        <f t="shared" si="14"/>
        <v>8871288</v>
      </c>
    </row>
    <row r="57" spans="1:27" s="562" customFormat="1" ht="21" customHeight="1" thickBot="1" x14ac:dyDescent="0.25">
      <c r="A57" s="710"/>
      <c r="B57" s="252" t="s">
        <v>293</v>
      </c>
      <c r="C57" s="253" t="s">
        <v>283</v>
      </c>
      <c r="D57" s="417">
        <f>2300000+8600000+275000</f>
        <v>11175000</v>
      </c>
      <c r="E57" s="417">
        <v>11175001</v>
      </c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388">
        <f t="shared" si="13"/>
        <v>11175000</v>
      </c>
      <c r="S57" s="388">
        <f t="shared" si="14"/>
        <v>11175001</v>
      </c>
    </row>
    <row r="58" spans="1:27" s="562" customFormat="1" ht="21" customHeight="1" thickBot="1" x14ac:dyDescent="0.25">
      <c r="A58" s="710"/>
      <c r="B58" s="252" t="s">
        <v>259</v>
      </c>
      <c r="C58" s="253" t="s">
        <v>331</v>
      </c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417"/>
      <c r="O58" s="417"/>
      <c r="P58" s="418"/>
      <c r="Q58" s="418"/>
      <c r="R58" s="388">
        <f t="shared" si="13"/>
        <v>0</v>
      </c>
      <c r="S58" s="388">
        <f t="shared" si="14"/>
        <v>0</v>
      </c>
    </row>
    <row r="59" spans="1:27" s="562" customFormat="1" ht="21" customHeight="1" thickBot="1" x14ac:dyDescent="0.25">
      <c r="A59" s="710"/>
      <c r="B59" s="252" t="s">
        <v>258</v>
      </c>
      <c r="C59" s="253" t="s">
        <v>330</v>
      </c>
      <c r="D59" s="417">
        <f>1600000+6050000</f>
        <v>7650000</v>
      </c>
      <c r="E59" s="417">
        <v>7650003</v>
      </c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8"/>
      <c r="Q59" s="418"/>
      <c r="R59" s="388">
        <f t="shared" si="13"/>
        <v>7650000</v>
      </c>
      <c r="S59" s="388">
        <f t="shared" si="14"/>
        <v>7650003</v>
      </c>
    </row>
    <row r="60" spans="1:27" s="562" customFormat="1" ht="21" customHeight="1" thickBot="1" x14ac:dyDescent="0.25">
      <c r="A60" s="710"/>
      <c r="B60" s="252" t="s">
        <v>226</v>
      </c>
      <c r="C60" s="253" t="s">
        <v>276</v>
      </c>
      <c r="D60" s="417">
        <f>680000+2500000+600000</f>
        <v>3780000</v>
      </c>
      <c r="E60" s="417">
        <v>3780000</v>
      </c>
      <c r="F60" s="417"/>
      <c r="G60" s="417"/>
      <c r="H60" s="417"/>
      <c r="I60" s="417"/>
      <c r="J60" s="417">
        <v>0</v>
      </c>
      <c r="K60" s="417">
        <v>19685</v>
      </c>
      <c r="L60" s="417"/>
      <c r="M60" s="417"/>
      <c r="N60" s="417"/>
      <c r="O60" s="417"/>
      <c r="P60" s="418"/>
      <c r="Q60" s="418"/>
      <c r="R60" s="388">
        <f>+P60+H60+F60+D60+L60+N60+J60</f>
        <v>3780000</v>
      </c>
      <c r="S60" s="388">
        <f>+Q60+I60+G60+E60+M60+O60+K60</f>
        <v>3799685</v>
      </c>
    </row>
    <row r="61" spans="1:27" ht="33" customHeight="1" thickBot="1" x14ac:dyDescent="0.25">
      <c r="A61" s="711"/>
      <c r="B61" s="707" t="s">
        <v>294</v>
      </c>
      <c r="C61" s="708"/>
      <c r="D61" s="388">
        <f>SUM(D52:D60)</f>
        <v>23120000</v>
      </c>
      <c r="E61" s="388">
        <f t="shared" ref="E61:Q61" si="15">SUM(E52:E60)</f>
        <v>23123322</v>
      </c>
      <c r="F61" s="388">
        <f t="shared" si="15"/>
        <v>2024525</v>
      </c>
      <c r="G61" s="388">
        <f t="shared" si="15"/>
        <v>8376287</v>
      </c>
      <c r="H61" s="388">
        <f t="shared" si="15"/>
        <v>0</v>
      </c>
      <c r="I61" s="388">
        <f t="shared" si="15"/>
        <v>0</v>
      </c>
      <c r="J61" s="388">
        <f t="shared" ref="J61:K61" si="16">SUM(J52:J60)</f>
        <v>0</v>
      </c>
      <c r="K61" s="388">
        <f t="shared" si="16"/>
        <v>19685</v>
      </c>
      <c r="L61" s="388">
        <f t="shared" si="15"/>
        <v>1397501</v>
      </c>
      <c r="M61" s="388">
        <f t="shared" si="15"/>
        <v>1397501</v>
      </c>
      <c r="N61" s="388">
        <f t="shared" si="15"/>
        <v>100562722</v>
      </c>
      <c r="O61" s="388">
        <f t="shared" si="15"/>
        <v>100562722</v>
      </c>
      <c r="P61" s="388">
        <f t="shared" si="15"/>
        <v>0</v>
      </c>
      <c r="Q61" s="388">
        <f t="shared" si="15"/>
        <v>0</v>
      </c>
      <c r="R61" s="388">
        <f>SUM(R52:R60)</f>
        <v>127104748</v>
      </c>
      <c r="S61" s="388">
        <f>SUM(S52:S60)</f>
        <v>133479517</v>
      </c>
      <c r="T61" s="156"/>
      <c r="U61" s="37"/>
      <c r="V61" s="37"/>
      <c r="W61" s="37"/>
      <c r="X61" s="37"/>
      <c r="Y61" s="37"/>
      <c r="Z61" s="37"/>
      <c r="AA61" s="37"/>
    </row>
    <row r="62" spans="1:27" ht="26.25" customHeight="1" thickBot="1" x14ac:dyDescent="0.25">
      <c r="A62" s="703" t="s">
        <v>56</v>
      </c>
      <c r="B62" s="703"/>
      <c r="C62" s="703"/>
      <c r="D62" s="388">
        <f t="shared" ref="D62:R62" si="17">+D61+D51+D47+D44+D39</f>
        <v>55450000</v>
      </c>
      <c r="E62" s="388">
        <f t="shared" si="17"/>
        <v>88462001</v>
      </c>
      <c r="F62" s="388">
        <f t="shared" si="17"/>
        <v>364567850</v>
      </c>
      <c r="G62" s="388">
        <f t="shared" si="17"/>
        <v>371142058</v>
      </c>
      <c r="H62" s="388">
        <f t="shared" si="17"/>
        <v>5096029</v>
      </c>
      <c r="I62" s="388">
        <f t="shared" si="17"/>
        <v>453892194</v>
      </c>
      <c r="J62" s="388">
        <f t="shared" ref="J62:K62" si="18">+J61+J51+J47+J44+J39</f>
        <v>0</v>
      </c>
      <c r="K62" s="388">
        <f t="shared" si="18"/>
        <v>1119685</v>
      </c>
      <c r="L62" s="388">
        <f t="shared" si="17"/>
        <v>225056072</v>
      </c>
      <c r="M62" s="388">
        <f t="shared" si="17"/>
        <v>240820882</v>
      </c>
      <c r="N62" s="388">
        <f t="shared" si="17"/>
        <v>219227564</v>
      </c>
      <c r="O62" s="388">
        <f t="shared" si="17"/>
        <v>220814922</v>
      </c>
      <c r="P62" s="388">
        <f t="shared" si="17"/>
        <v>79270000</v>
      </c>
      <c r="Q62" s="388">
        <f t="shared" si="17"/>
        <v>93429115</v>
      </c>
      <c r="R62" s="388">
        <f t="shared" si="17"/>
        <v>948667515</v>
      </c>
      <c r="S62" s="388">
        <f t="shared" ref="S62" si="19">+S61+S51+S47+S44+S39</f>
        <v>1469680857</v>
      </c>
      <c r="T62" s="37"/>
      <c r="U62" s="37"/>
      <c r="V62" s="37"/>
      <c r="W62" s="37"/>
      <c r="X62" s="37"/>
      <c r="Y62" s="37"/>
      <c r="Z62" s="37"/>
      <c r="AA62" s="37"/>
    </row>
    <row r="63" spans="1:27" x14ac:dyDescent="0.2">
      <c r="L63" s="44"/>
    </row>
    <row r="64" spans="1:27" x14ac:dyDescent="0.2">
      <c r="L64" s="44">
        <f>+R62-N62</f>
        <v>729439951</v>
      </c>
    </row>
    <row r="65" spans="9:19" x14ac:dyDescent="0.2">
      <c r="I65" s="44"/>
      <c r="J65" s="44"/>
      <c r="K65" s="44"/>
      <c r="L65" s="44"/>
    </row>
    <row r="66" spans="9:19" x14ac:dyDescent="0.2">
      <c r="L66" s="44">
        <f>+'5.a sz.mell.'!Z69-'5 b.sz.mell.'!L64</f>
        <v>0</v>
      </c>
    </row>
    <row r="67" spans="9:19" x14ac:dyDescent="0.2">
      <c r="I67" s="442"/>
      <c r="J67" s="442"/>
      <c r="K67" s="442"/>
      <c r="L67" s="442"/>
    </row>
    <row r="68" spans="9:19" x14ac:dyDescent="0.2">
      <c r="L68" s="44"/>
    </row>
    <row r="69" spans="9:19" x14ac:dyDescent="0.2">
      <c r="I69" s="44"/>
      <c r="J69" s="44"/>
      <c r="K69" s="44"/>
    </row>
    <row r="70" spans="9:19" x14ac:dyDescent="0.2">
      <c r="R70" s="44"/>
      <c r="S70" s="44"/>
    </row>
  </sheetData>
  <mergeCells count="16">
    <mergeCell ref="B51:C51"/>
    <mergeCell ref="B61:C61"/>
    <mergeCell ref="A62:C62"/>
    <mergeCell ref="A45:A47"/>
    <mergeCell ref="A48:A51"/>
    <mergeCell ref="A52:A61"/>
    <mergeCell ref="B47:C47"/>
    <mergeCell ref="A2:L2"/>
    <mergeCell ref="A1:L1"/>
    <mergeCell ref="A6:A39"/>
    <mergeCell ref="A40:A44"/>
    <mergeCell ref="B44:C44"/>
    <mergeCell ref="D4:Q4"/>
    <mergeCell ref="A4:A5"/>
    <mergeCell ref="B4:B5"/>
    <mergeCell ref="C4:C5"/>
  </mergeCells>
  <pageMargins left="0.25" right="0.25" top="0.75" bottom="0.75" header="0.3" footer="0.3"/>
  <pageSetup paperSize="8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FF"/>
    <pageSetUpPr fitToPage="1"/>
  </sheetPr>
  <dimension ref="A1:I59"/>
  <sheetViews>
    <sheetView view="pageBreakPreview" zoomScale="90" zoomScaleNormal="115" zoomScaleSheetLayoutView="90" workbookViewId="0">
      <selection activeCell="E44" sqref="E44:E55"/>
    </sheetView>
  </sheetViews>
  <sheetFormatPr defaultColWidth="8.85546875" defaultRowHeight="12.75" x14ac:dyDescent="0.2"/>
  <cols>
    <col min="1" max="1" width="4.42578125" style="37" customWidth="1"/>
    <col min="2" max="2" width="7.5703125" style="39" customWidth="1"/>
    <col min="3" max="3" width="93.140625" style="39" bestFit="1" customWidth="1"/>
    <col min="4" max="4" width="15.5703125" style="39" customWidth="1"/>
    <col min="5" max="5" width="18.42578125" style="39" customWidth="1"/>
    <col min="6" max="6" width="17.42578125" style="37" customWidth="1"/>
    <col min="7" max="7" width="24.5703125" style="37" customWidth="1"/>
    <col min="8" max="8" width="14.5703125" style="37" customWidth="1"/>
    <col min="9" max="16384" width="8.85546875" style="37"/>
  </cols>
  <sheetData>
    <row r="1" spans="1:9" ht="15.75" x14ac:dyDescent="0.2">
      <c r="A1" s="669" t="s">
        <v>689</v>
      </c>
      <c r="B1" s="669"/>
      <c r="C1" s="669"/>
      <c r="D1" s="669"/>
      <c r="E1" s="669"/>
    </row>
    <row r="2" spans="1:9" s="39" customFormat="1" ht="27.75" customHeight="1" x14ac:dyDescent="0.25">
      <c r="A2" s="724" t="s">
        <v>532</v>
      </c>
      <c r="B2" s="724"/>
      <c r="C2" s="724"/>
      <c r="D2" s="724"/>
      <c r="E2" s="724"/>
      <c r="F2" s="158"/>
      <c r="G2" s="158"/>
      <c r="H2" s="158"/>
      <c r="I2" s="158"/>
    </row>
    <row r="3" spans="1:9" ht="29.25" customHeight="1" x14ac:dyDescent="0.2">
      <c r="A3" s="725" t="s">
        <v>146</v>
      </c>
      <c r="B3" s="725"/>
      <c r="C3" s="725"/>
      <c r="D3" s="725"/>
      <c r="E3" s="725"/>
      <c r="F3" s="158"/>
      <c r="G3" s="158"/>
      <c r="H3" s="158"/>
      <c r="I3" s="158"/>
    </row>
    <row r="4" spans="1:9" ht="12.75" customHeight="1" x14ac:dyDescent="0.2">
      <c r="B4" s="159"/>
      <c r="C4" s="160"/>
      <c r="D4" s="161" t="s">
        <v>147</v>
      </c>
      <c r="F4" s="158"/>
      <c r="G4" s="158"/>
      <c r="H4" s="158"/>
      <c r="I4" s="158"/>
    </row>
    <row r="5" spans="1:9" ht="12.75" customHeight="1" x14ac:dyDescent="0.2">
      <c r="A5" s="723" t="s">
        <v>148</v>
      </c>
      <c r="B5" s="723"/>
      <c r="C5" s="723"/>
      <c r="D5" s="162">
        <v>1426453</v>
      </c>
      <c r="F5" s="158"/>
      <c r="G5" s="158"/>
      <c r="H5" s="158"/>
      <c r="I5" s="158"/>
    </row>
    <row r="6" spans="1:9" ht="12.75" customHeight="1" x14ac:dyDescent="0.2">
      <c r="A6" s="163"/>
      <c r="B6" s="164"/>
      <c r="C6" s="164"/>
      <c r="D6" s="165"/>
      <c r="F6" s="158"/>
      <c r="G6" s="158"/>
      <c r="H6" s="158"/>
      <c r="I6" s="158"/>
    </row>
    <row r="7" spans="1:9" ht="15.75" customHeight="1" x14ac:dyDescent="0.2">
      <c r="A7" s="723" t="s">
        <v>149</v>
      </c>
      <c r="B7" s="723"/>
      <c r="C7" s="723"/>
      <c r="D7" s="166"/>
      <c r="F7" s="158"/>
      <c r="G7" s="158"/>
      <c r="H7" s="158"/>
      <c r="I7" s="158"/>
    </row>
    <row r="8" spans="1:9" ht="12.75" customHeight="1" x14ac:dyDescent="0.2">
      <c r="B8" s="159"/>
      <c r="C8" s="167"/>
      <c r="D8" s="165" t="s">
        <v>533</v>
      </c>
      <c r="F8" s="158"/>
      <c r="G8" s="158"/>
      <c r="H8" s="158"/>
      <c r="I8" s="158"/>
    </row>
    <row r="9" spans="1:9" ht="12.75" customHeight="1" x14ac:dyDescent="0.2">
      <c r="B9" s="159"/>
      <c r="C9" s="168"/>
      <c r="D9" s="162">
        <v>2458</v>
      </c>
      <c r="F9" s="158"/>
      <c r="G9" s="158"/>
      <c r="H9" s="158"/>
      <c r="I9" s="158"/>
    </row>
    <row r="10" spans="1:9" ht="12.75" customHeight="1" x14ac:dyDescent="0.2">
      <c r="B10" s="159"/>
      <c r="C10" s="169" t="s">
        <v>332</v>
      </c>
      <c r="D10" s="170"/>
      <c r="F10" s="158"/>
      <c r="G10" s="158"/>
      <c r="H10" s="158"/>
      <c r="I10" s="158"/>
    </row>
    <row r="11" spans="1:9" ht="41.25" customHeight="1" x14ac:dyDescent="0.2">
      <c r="B11" s="171"/>
      <c r="C11" s="172" t="s">
        <v>150</v>
      </c>
      <c r="D11" s="475" t="s">
        <v>428</v>
      </c>
      <c r="E11" s="475" t="s">
        <v>606</v>
      </c>
      <c r="F11" s="158"/>
      <c r="G11" s="158"/>
      <c r="H11" s="158"/>
    </row>
    <row r="12" spans="1:9" ht="12.75" customHeight="1" x14ac:dyDescent="0.2">
      <c r="B12" s="162" t="s">
        <v>151</v>
      </c>
      <c r="C12" s="173" t="s">
        <v>65</v>
      </c>
      <c r="D12" s="471" t="s">
        <v>152</v>
      </c>
      <c r="E12" s="514" t="s">
        <v>152</v>
      </c>
      <c r="F12" s="158"/>
      <c r="G12" s="158"/>
      <c r="H12" s="158"/>
    </row>
    <row r="13" spans="1:9" ht="12.75" customHeight="1" x14ac:dyDescent="0.2">
      <c r="B13" s="174" t="s">
        <v>153</v>
      </c>
      <c r="C13" s="175" t="s">
        <v>348</v>
      </c>
      <c r="D13" s="317">
        <f>+'2.sz.mell.'!C5</f>
        <v>70119800</v>
      </c>
      <c r="E13" s="317">
        <f>+'2.sz.mell.'!D5</f>
        <v>83712000</v>
      </c>
      <c r="F13" s="158"/>
      <c r="G13" s="158"/>
      <c r="H13" s="158"/>
    </row>
    <row r="14" spans="1:9" ht="12.75" customHeight="1" x14ac:dyDescent="0.2">
      <c r="B14" s="174" t="s">
        <v>154</v>
      </c>
      <c r="C14" s="175" t="s">
        <v>155</v>
      </c>
      <c r="D14" s="317">
        <f>+D15+D16+D17+D18</f>
        <v>22007970</v>
      </c>
      <c r="E14" s="317">
        <f>+E15+E16+E17+E18</f>
        <v>22007970</v>
      </c>
      <c r="F14" s="158"/>
      <c r="G14" s="158"/>
      <c r="H14" s="158"/>
    </row>
    <row r="15" spans="1:9" ht="12.75" customHeight="1" x14ac:dyDescent="0.2">
      <c r="B15" s="174" t="s">
        <v>156</v>
      </c>
      <c r="C15" s="175" t="s">
        <v>157</v>
      </c>
      <c r="D15" s="317">
        <f>+'2.sz.mell.'!C6</f>
        <v>10198440</v>
      </c>
      <c r="E15" s="317">
        <f>+'2.sz.mell.'!D6</f>
        <v>10198440</v>
      </c>
      <c r="F15" s="158"/>
      <c r="G15" s="158"/>
      <c r="H15" s="158"/>
    </row>
    <row r="16" spans="1:9" ht="12.75" customHeight="1" x14ac:dyDescent="0.2">
      <c r="B16" s="174" t="s">
        <v>158</v>
      </c>
      <c r="C16" s="175" t="s">
        <v>159</v>
      </c>
      <c r="D16" s="317">
        <f>+'2.sz.mell.'!C7</f>
        <v>6400000</v>
      </c>
      <c r="E16" s="317">
        <f>+'2.sz.mell.'!D7</f>
        <v>6400000</v>
      </c>
      <c r="F16" s="158"/>
      <c r="G16" s="158"/>
      <c r="H16" s="158"/>
    </row>
    <row r="17" spans="2:8" ht="12.75" customHeight="1" x14ac:dyDescent="0.2">
      <c r="B17" s="174" t="s">
        <v>160</v>
      </c>
      <c r="C17" s="175" t="s">
        <v>161</v>
      </c>
      <c r="D17" s="317">
        <f>+'2.sz.mell.'!C8</f>
        <v>100000</v>
      </c>
      <c r="E17" s="317">
        <f>+'2.sz.mell.'!D8</f>
        <v>100000</v>
      </c>
      <c r="F17" s="158"/>
      <c r="G17" s="158"/>
      <c r="H17" s="158"/>
    </row>
    <row r="18" spans="2:8" ht="12.75" customHeight="1" x14ac:dyDescent="0.2">
      <c r="B18" s="174" t="s">
        <v>162</v>
      </c>
      <c r="C18" s="175" t="s">
        <v>163</v>
      </c>
      <c r="D18" s="317">
        <f>+'2.sz.mell.'!C9</f>
        <v>5309530</v>
      </c>
      <c r="E18" s="317">
        <f>+'2.sz.mell.'!D9</f>
        <v>5309530</v>
      </c>
      <c r="F18" s="158"/>
      <c r="G18" s="158"/>
      <c r="H18" s="158"/>
    </row>
    <row r="19" spans="2:8" ht="12.75" customHeight="1" x14ac:dyDescent="0.2">
      <c r="B19" s="174" t="s">
        <v>164</v>
      </c>
      <c r="C19" s="175" t="s">
        <v>165</v>
      </c>
      <c r="D19" s="317">
        <f>+'2.sz.mell.'!C10</f>
        <v>7000000</v>
      </c>
      <c r="E19" s="317">
        <f>+'2.sz.mell.'!D10</f>
        <v>7000000</v>
      </c>
      <c r="F19" s="158"/>
      <c r="G19" s="158"/>
      <c r="H19" s="158"/>
    </row>
    <row r="20" spans="2:8" ht="12.75" customHeight="1" x14ac:dyDescent="0.2">
      <c r="B20" s="174" t="s">
        <v>166</v>
      </c>
      <c r="C20" s="175" t="s">
        <v>167</v>
      </c>
      <c r="D20" s="317">
        <f>+'2.sz.mell.'!C22</f>
        <v>73950</v>
      </c>
      <c r="E20" s="317">
        <f>+'2.sz.mell.'!D22</f>
        <v>73950</v>
      </c>
      <c r="F20" s="158"/>
      <c r="G20" s="158"/>
      <c r="H20" s="158"/>
    </row>
    <row r="21" spans="2:8" ht="12.75" customHeight="1" x14ac:dyDescent="0.2">
      <c r="B21" s="174"/>
      <c r="C21" s="175" t="s">
        <v>168</v>
      </c>
      <c r="D21" s="317">
        <f>+'2.sz.mell.'!C11</f>
        <v>0</v>
      </c>
      <c r="E21" s="317">
        <f>+'2.sz.mell.'!D11</f>
        <v>3417248</v>
      </c>
      <c r="F21" s="158"/>
      <c r="G21" s="158"/>
      <c r="H21" s="158"/>
    </row>
    <row r="22" spans="2:8" ht="12.75" customHeight="1" x14ac:dyDescent="0.2">
      <c r="B22" s="174"/>
      <c r="C22" s="256" t="s">
        <v>346</v>
      </c>
      <c r="D22" s="317">
        <f>+'2.sz.mell.'!C12</f>
        <v>840800</v>
      </c>
      <c r="E22" s="317">
        <f>+'2.sz.mell.'!D12</f>
        <v>840800</v>
      </c>
      <c r="F22" s="158"/>
      <c r="G22" s="158"/>
      <c r="H22" s="158"/>
    </row>
    <row r="23" spans="2:8" ht="12.75" customHeight="1" x14ac:dyDescent="0.2">
      <c r="B23" s="174" t="s">
        <v>38</v>
      </c>
      <c r="C23" s="176" t="s">
        <v>169</v>
      </c>
      <c r="D23" s="318">
        <f>SUM(D13:D14,D19,D20,D21:D22,)</f>
        <v>100042520</v>
      </c>
      <c r="E23" s="318">
        <f>SUM(E13:E14,E19,E20,E21:E22)</f>
        <v>117051968</v>
      </c>
      <c r="F23" s="568">
        <v>100042520</v>
      </c>
      <c r="G23" s="104">
        <f>+'2.sz.mell.'!F9</f>
        <v>117051968</v>
      </c>
      <c r="H23" s="158"/>
    </row>
    <row r="24" spans="2:8" x14ac:dyDescent="0.2">
      <c r="B24" s="174"/>
      <c r="C24" s="175" t="s">
        <v>495</v>
      </c>
      <c r="D24" s="319">
        <v>45463600</v>
      </c>
      <c r="E24" s="319">
        <v>45026450</v>
      </c>
      <c r="F24" s="203"/>
      <c r="G24" s="156"/>
    </row>
    <row r="25" spans="2:8" x14ac:dyDescent="0.2">
      <c r="B25" s="174"/>
      <c r="C25" s="175" t="s">
        <v>496</v>
      </c>
      <c r="D25" s="319">
        <v>0</v>
      </c>
      <c r="E25" s="319">
        <v>0</v>
      </c>
      <c r="F25" s="203"/>
    </row>
    <row r="26" spans="2:8" x14ac:dyDescent="0.2">
      <c r="B26" s="174"/>
      <c r="C26" s="175" t="s">
        <v>347</v>
      </c>
      <c r="D26" s="319">
        <v>0</v>
      </c>
      <c r="E26" s="319">
        <v>0</v>
      </c>
    </row>
    <row r="27" spans="2:8" ht="32.25" customHeight="1" x14ac:dyDescent="0.2">
      <c r="B27" s="174"/>
      <c r="C27" s="179" t="s">
        <v>498</v>
      </c>
      <c r="D27" s="319">
        <v>1983500</v>
      </c>
      <c r="E27" s="319">
        <v>1983500</v>
      </c>
    </row>
    <row r="28" spans="2:8" x14ac:dyDescent="0.2">
      <c r="B28" s="174"/>
      <c r="C28" s="175" t="s">
        <v>690</v>
      </c>
      <c r="D28" s="319">
        <v>13920000</v>
      </c>
      <c r="E28" s="319">
        <f>14400000-631950</f>
        <v>13768050</v>
      </c>
    </row>
    <row r="29" spans="2:8" x14ac:dyDescent="0.2">
      <c r="B29" s="174"/>
      <c r="C29" s="177" t="s">
        <v>333</v>
      </c>
      <c r="D29" s="319">
        <v>0</v>
      </c>
      <c r="E29" s="319">
        <v>0</v>
      </c>
    </row>
    <row r="30" spans="2:8" x14ac:dyDescent="0.2">
      <c r="B30" s="174"/>
      <c r="C30" s="175" t="s">
        <v>691</v>
      </c>
      <c r="D30" s="319">
        <v>10129600</v>
      </c>
      <c r="E30" s="319">
        <v>10129600</v>
      </c>
    </row>
    <row r="31" spans="2:8" x14ac:dyDescent="0.2">
      <c r="B31" s="174"/>
      <c r="C31" s="175" t="s">
        <v>497</v>
      </c>
      <c r="D31" s="319">
        <v>0</v>
      </c>
      <c r="E31" s="319">
        <v>0</v>
      </c>
    </row>
    <row r="32" spans="2:8" x14ac:dyDescent="0.2">
      <c r="B32" s="514"/>
      <c r="C32" s="175" t="s">
        <v>652</v>
      </c>
      <c r="D32" s="319">
        <v>0</v>
      </c>
      <c r="E32" s="319">
        <v>5132600</v>
      </c>
    </row>
    <row r="33" spans="2:8" x14ac:dyDescent="0.2">
      <c r="B33" s="174" t="s">
        <v>39</v>
      </c>
      <c r="C33" s="178" t="s">
        <v>299</v>
      </c>
      <c r="D33" s="320">
        <f>SUM(D24:D32)</f>
        <v>71496700</v>
      </c>
      <c r="E33" s="320">
        <f>SUM(E24:E32)</f>
        <v>76040200</v>
      </c>
      <c r="F33" s="37">
        <v>71496700</v>
      </c>
      <c r="G33" s="156">
        <f>+'2.sz.mell.'!D13</f>
        <v>76040200</v>
      </c>
    </row>
    <row r="34" spans="2:8" x14ac:dyDescent="0.2">
      <c r="B34" s="174"/>
      <c r="C34" s="175" t="s">
        <v>300</v>
      </c>
      <c r="D34" s="319">
        <f>+'2.sz.mell.'!C14</f>
        <v>19727792</v>
      </c>
      <c r="E34" s="319">
        <f>+'2.sz.mell.'!D14</f>
        <v>19727792</v>
      </c>
      <c r="G34" s="156"/>
    </row>
    <row r="35" spans="2:8" x14ac:dyDescent="0.2">
      <c r="B35" s="174"/>
      <c r="C35" s="175" t="s">
        <v>536</v>
      </c>
      <c r="D35" s="319">
        <v>20394000</v>
      </c>
      <c r="E35" s="319">
        <v>17775020</v>
      </c>
    </row>
    <row r="36" spans="2:8" x14ac:dyDescent="0.2">
      <c r="B36" s="174"/>
      <c r="C36" s="175" t="s">
        <v>170</v>
      </c>
      <c r="D36" s="319">
        <v>24051380</v>
      </c>
      <c r="E36" s="319">
        <v>16246025</v>
      </c>
    </row>
    <row r="37" spans="2:8" x14ac:dyDescent="0.2">
      <c r="B37" s="174"/>
      <c r="C37" s="175" t="s">
        <v>537</v>
      </c>
      <c r="D37" s="319">
        <v>932520</v>
      </c>
      <c r="E37" s="319">
        <v>1100670</v>
      </c>
    </row>
    <row r="38" spans="2:8" x14ac:dyDescent="0.2">
      <c r="B38" s="174"/>
      <c r="C38" s="175" t="s">
        <v>301</v>
      </c>
      <c r="D38" s="319">
        <v>3400000</v>
      </c>
      <c r="E38" s="319">
        <v>3400000</v>
      </c>
    </row>
    <row r="39" spans="2:8" x14ac:dyDescent="0.2">
      <c r="B39" s="174"/>
      <c r="C39" s="175" t="s">
        <v>534</v>
      </c>
      <c r="D39" s="319">
        <v>5555600</v>
      </c>
      <c r="E39" s="319">
        <v>5555600</v>
      </c>
    </row>
    <row r="40" spans="2:8" x14ac:dyDescent="0.2">
      <c r="B40" s="174"/>
      <c r="C40" s="175" t="s">
        <v>499</v>
      </c>
      <c r="D40" s="319">
        <v>150000</v>
      </c>
      <c r="E40" s="319">
        <v>150000</v>
      </c>
    </row>
    <row r="41" spans="2:8" x14ac:dyDescent="0.2">
      <c r="B41" s="174"/>
      <c r="C41" s="175" t="s">
        <v>535</v>
      </c>
      <c r="D41" s="319">
        <v>5940000</v>
      </c>
      <c r="E41" s="319">
        <v>5940000</v>
      </c>
    </row>
    <row r="42" spans="2:8" x14ac:dyDescent="0.2">
      <c r="B42" s="174"/>
      <c r="C42" s="175" t="s">
        <v>500</v>
      </c>
      <c r="D42" s="319">
        <v>3230000</v>
      </c>
      <c r="E42" s="319">
        <v>3230000</v>
      </c>
    </row>
    <row r="43" spans="2:8" x14ac:dyDescent="0.2">
      <c r="B43" s="514"/>
      <c r="C43" s="175" t="s">
        <v>501</v>
      </c>
      <c r="D43" s="319">
        <v>7482500</v>
      </c>
      <c r="E43" s="319">
        <v>7482500</v>
      </c>
    </row>
    <row r="44" spans="2:8" x14ac:dyDescent="0.2">
      <c r="B44" s="514"/>
      <c r="C44" s="175" t="s">
        <v>502</v>
      </c>
      <c r="D44" s="319">
        <v>3298000</v>
      </c>
      <c r="E44" s="319">
        <v>3298000</v>
      </c>
    </row>
    <row r="45" spans="2:8" x14ac:dyDescent="0.2">
      <c r="B45" s="514"/>
      <c r="C45" s="175" t="s">
        <v>653</v>
      </c>
      <c r="D45" s="319">
        <v>0</v>
      </c>
      <c r="E45" s="319">
        <v>1747500</v>
      </c>
    </row>
    <row r="46" spans="2:8" x14ac:dyDescent="0.2">
      <c r="B46" s="514"/>
      <c r="C46" s="175" t="s">
        <v>654</v>
      </c>
      <c r="D46" s="319">
        <v>0</v>
      </c>
      <c r="E46" s="319">
        <f>1365760+3584442</f>
        <v>4950202</v>
      </c>
    </row>
    <row r="47" spans="2:8" x14ac:dyDescent="0.2">
      <c r="B47" s="514"/>
      <c r="C47" s="175" t="s">
        <v>646</v>
      </c>
      <c r="D47" s="319">
        <v>0</v>
      </c>
      <c r="E47" s="319">
        <v>1215000</v>
      </c>
    </row>
    <row r="48" spans="2:8" x14ac:dyDescent="0.2">
      <c r="B48" s="174" t="s">
        <v>171</v>
      </c>
      <c r="C48" s="176" t="s">
        <v>172</v>
      </c>
      <c r="D48" s="320">
        <f>SUM(D34:D47)</f>
        <v>94161792</v>
      </c>
      <c r="E48" s="320">
        <f>SUM(E34:E47)</f>
        <v>91818309</v>
      </c>
      <c r="F48" s="37">
        <v>94161792</v>
      </c>
      <c r="G48" s="156">
        <f>+'2.sz.mell.'!F14:F14</f>
        <v>91818309</v>
      </c>
      <c r="H48" s="156">
        <f>+E48-G48</f>
        <v>0</v>
      </c>
    </row>
    <row r="49" spans="2:8" x14ac:dyDescent="0.2">
      <c r="B49" s="174"/>
      <c r="C49" s="175" t="s">
        <v>173</v>
      </c>
      <c r="D49" s="319">
        <f>+'2.sz.mell.'!C21</f>
        <v>3074958</v>
      </c>
      <c r="E49" s="319">
        <f>+'2.sz.mell.'!D21</f>
        <v>5204451</v>
      </c>
    </row>
    <row r="50" spans="2:8" x14ac:dyDescent="0.2">
      <c r="B50" s="174" t="s">
        <v>43</v>
      </c>
      <c r="C50" s="176" t="s">
        <v>174</v>
      </c>
      <c r="D50" s="320">
        <f>D49</f>
        <v>3074958</v>
      </c>
      <c r="E50" s="320">
        <f>E49</f>
        <v>5204451</v>
      </c>
      <c r="F50" s="37">
        <v>3074958</v>
      </c>
      <c r="G50" s="156">
        <f>+'2.sz.mell.'!D21</f>
        <v>5204451</v>
      </c>
    </row>
    <row r="51" spans="2:8" x14ac:dyDescent="0.2">
      <c r="B51" s="174"/>
      <c r="C51" s="176" t="s">
        <v>657</v>
      </c>
      <c r="D51" s="320">
        <f>+'2.sz.mell.'!C38</f>
        <v>61262718</v>
      </c>
      <c r="E51" s="320">
        <f>+'2.sz.mell.'!D38</f>
        <v>0</v>
      </c>
      <c r="F51" s="156">
        <f>+'2.sz.mell.'!C38+'2.sz.mell.'!C30</f>
        <v>63201492</v>
      </c>
      <c r="G51" s="156">
        <f>+'2.sz.mell.'!D38+'2.sz.mell.'!D30</f>
        <v>977813</v>
      </c>
      <c r="H51" s="156">
        <f>+E51-G51</f>
        <v>-977813</v>
      </c>
    </row>
    <row r="52" spans="2:8" x14ac:dyDescent="0.2">
      <c r="B52" s="174" t="s">
        <v>210</v>
      </c>
      <c r="C52" s="176" t="s">
        <v>302</v>
      </c>
      <c r="D52" s="320">
        <f>+'2.sz.mell.'!C23</f>
        <v>0</v>
      </c>
      <c r="E52" s="320">
        <f>+'2.sz.mell.'!D23</f>
        <v>0</v>
      </c>
    </row>
    <row r="53" spans="2:8" x14ac:dyDescent="0.2">
      <c r="B53" s="514"/>
      <c r="C53" s="256" t="s">
        <v>655</v>
      </c>
      <c r="D53" s="320">
        <f>+'2.sz.mell.'!C25</f>
        <v>0</v>
      </c>
      <c r="E53" s="320">
        <f>+'2.sz.mell.'!D25</f>
        <v>4003040</v>
      </c>
    </row>
    <row r="54" spans="2:8" x14ac:dyDescent="0.2">
      <c r="B54" s="514"/>
      <c r="C54" s="176" t="s">
        <v>656</v>
      </c>
      <c r="D54" s="320">
        <f>+'2.sz.mell.'!C24</f>
        <v>0</v>
      </c>
      <c r="E54" s="320">
        <f>+'2.sz.mell.'!D24</f>
        <v>3320707</v>
      </c>
    </row>
    <row r="55" spans="2:8" ht="25.5" x14ac:dyDescent="0.2">
      <c r="B55" s="174"/>
      <c r="C55" s="179" t="s">
        <v>334</v>
      </c>
      <c r="D55" s="320">
        <f>SUM(D23,D33,D48,D50,D52)+D51+D53+D54</f>
        <v>330038688</v>
      </c>
      <c r="E55" s="320">
        <f>SUM(E23,E33,E48,E50,E52)+E51+E53+E54</f>
        <v>297438675</v>
      </c>
    </row>
    <row r="56" spans="2:8" x14ac:dyDescent="0.2">
      <c r="H56" s="156"/>
    </row>
    <row r="57" spans="2:8" x14ac:dyDescent="0.2">
      <c r="D57" s="44">
        <f>+'2.sz.mell.'!C26+'2.sz.mell.'!C38</f>
        <v>330038688</v>
      </c>
      <c r="E57" s="44">
        <f>+'2.sz.mell.'!D26+'2.sz.mell.'!D38</f>
        <v>297438675</v>
      </c>
      <c r="F57" s="156"/>
    </row>
    <row r="58" spans="2:8" x14ac:dyDescent="0.2">
      <c r="D58" s="44">
        <f>+D57-D55</f>
        <v>0</v>
      </c>
    </row>
    <row r="59" spans="2:8" x14ac:dyDescent="0.2">
      <c r="E59" s="44">
        <f>+E57-E55</f>
        <v>0</v>
      </c>
      <c r="F59" s="37" t="s">
        <v>625</v>
      </c>
    </row>
  </sheetData>
  <mergeCells count="5">
    <mergeCell ref="A7:C7"/>
    <mergeCell ref="A1:E1"/>
    <mergeCell ref="A2:E2"/>
    <mergeCell ref="A3:E3"/>
    <mergeCell ref="A5:C5"/>
  </mergeCells>
  <phoneticPr fontId="0" type="noConversion"/>
  <pageMargins left="0.25" right="0.25" top="0.75" bottom="0.75" header="0.3" footer="0.3"/>
  <pageSetup paperSize="9" scale="71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FF"/>
    <pageSetUpPr fitToPage="1"/>
  </sheetPr>
  <dimension ref="A1:E31"/>
  <sheetViews>
    <sheetView zoomScaleNormal="100" workbookViewId="0">
      <selection activeCell="C20" sqref="C20"/>
    </sheetView>
  </sheetViews>
  <sheetFormatPr defaultRowHeight="12.75" x14ac:dyDescent="0.2"/>
  <cols>
    <col min="1" max="1" width="58.140625" style="46" customWidth="1"/>
    <col min="2" max="2" width="23.28515625" style="46" customWidth="1"/>
    <col min="3" max="4" width="19.7109375" style="46" customWidth="1"/>
    <col min="5" max="5" width="19.42578125" style="46" customWidth="1"/>
    <col min="6" max="16384" width="9.140625" style="46"/>
  </cols>
  <sheetData>
    <row r="1" spans="1:5" ht="39" customHeight="1" x14ac:dyDescent="0.2">
      <c r="A1" s="727" t="s">
        <v>692</v>
      </c>
      <c r="B1" s="727"/>
      <c r="C1" s="727"/>
      <c r="D1" s="258"/>
      <c r="E1" s="258"/>
    </row>
    <row r="2" spans="1:5" ht="22.5" customHeight="1" x14ac:dyDescent="0.2">
      <c r="A2" s="255"/>
      <c r="B2" s="255"/>
      <c r="C2" s="255"/>
      <c r="D2" s="258"/>
      <c r="E2" s="258"/>
    </row>
    <row r="3" spans="1:5" ht="39" customHeight="1" x14ac:dyDescent="0.2">
      <c r="A3" s="726" t="s">
        <v>539</v>
      </c>
      <c r="B3" s="726"/>
      <c r="C3" s="726"/>
      <c r="D3" s="257"/>
      <c r="E3" s="257"/>
    </row>
    <row r="4" spans="1:5" x14ac:dyDescent="0.2">
      <c r="A4" s="47"/>
      <c r="B4" s="47"/>
    </row>
    <row r="5" spans="1:5" x14ac:dyDescent="0.2">
      <c r="A5" s="48"/>
      <c r="B5" s="48"/>
    </row>
    <row r="6" spans="1:5" x14ac:dyDescent="0.2">
      <c r="A6" s="48"/>
    </row>
    <row r="7" spans="1:5" ht="13.5" thickBot="1" x14ac:dyDescent="0.25">
      <c r="A7" s="48"/>
      <c r="C7" s="239" t="s">
        <v>316</v>
      </c>
    </row>
    <row r="8" spans="1:5" ht="26.25" customHeight="1" thickBot="1" x14ac:dyDescent="0.35">
      <c r="A8" s="525" t="s">
        <v>65</v>
      </c>
      <c r="B8" s="525" t="s">
        <v>538</v>
      </c>
      <c r="C8" s="525" t="s">
        <v>607</v>
      </c>
      <c r="D8" s="526"/>
      <c r="E8" s="526"/>
    </row>
    <row r="9" spans="1:5" ht="18.75" x14ac:dyDescent="0.3">
      <c r="A9" s="527" t="str">
        <f>+'2.sz.mell.'!B62</f>
        <v>Traktor beszerzés támogatás (ÁHT-n belül) (B25)</v>
      </c>
      <c r="B9" s="528">
        <f>+'2.sz.mell.'!C62</f>
        <v>0</v>
      </c>
      <c r="C9" s="528">
        <f>+'2.sz.mell.'!D62</f>
        <v>0</v>
      </c>
      <c r="D9" s="526"/>
      <c r="E9" s="526"/>
    </row>
    <row r="10" spans="1:5" ht="18.75" x14ac:dyDescent="0.3">
      <c r="A10" s="527" t="str">
        <f>+'2.sz.mell.'!B63</f>
        <v>EFOP program támogatása (B25)</v>
      </c>
      <c r="B10" s="529">
        <f>+'2.sz.mell.'!C63</f>
        <v>5096029</v>
      </c>
      <c r="C10" s="529">
        <f>+'2.sz.mell.'!D63</f>
        <v>5096029</v>
      </c>
      <c r="D10" s="526"/>
      <c r="E10" s="526"/>
    </row>
    <row r="11" spans="1:5" ht="18.75" x14ac:dyDescent="0.3">
      <c r="A11" s="527" t="s">
        <v>503</v>
      </c>
      <c r="B11" s="529">
        <v>3275011</v>
      </c>
      <c r="C11" s="529">
        <v>3275011</v>
      </c>
      <c r="D11" s="526"/>
      <c r="E11" s="526"/>
    </row>
    <row r="12" spans="1:5" ht="18.75" x14ac:dyDescent="0.3">
      <c r="A12" s="527" t="s">
        <v>504</v>
      </c>
      <c r="B12" s="529">
        <v>1821018</v>
      </c>
      <c r="C12" s="529">
        <v>1821018</v>
      </c>
      <c r="D12" s="526"/>
      <c r="E12" s="526"/>
    </row>
    <row r="13" spans="1:5" ht="18.75" x14ac:dyDescent="0.3">
      <c r="A13" s="527" t="str">
        <f>+'2.sz.mell.'!B64</f>
        <v>Orvosi rendelő építés pályázati támogatás (B25)</v>
      </c>
      <c r="B13" s="529">
        <f>+'2.sz.mell.'!C64</f>
        <v>0</v>
      </c>
      <c r="C13" s="529">
        <f>+'2.sz.mell.'!D64</f>
        <v>284433287</v>
      </c>
      <c r="D13" s="526"/>
      <c r="E13" s="526"/>
    </row>
    <row r="14" spans="1:5" ht="18.75" x14ac:dyDescent="0.3">
      <c r="A14" s="527" t="str">
        <f>+'2.sz.mell.'!B65</f>
        <v>Kamerarendszer kiépítésének támogatása (B25)</v>
      </c>
      <c r="B14" s="529">
        <f>+'2.sz.mell.'!C65</f>
        <v>0</v>
      </c>
      <c r="C14" s="529">
        <f>+'2.sz.mell.'!D65</f>
        <v>8798088</v>
      </c>
      <c r="D14" s="526"/>
      <c r="E14" s="526"/>
    </row>
    <row r="15" spans="1:5" ht="18.75" x14ac:dyDescent="0.3">
      <c r="A15" s="527" t="str">
        <f>+'2.sz.mell.'!B66</f>
        <v>Rákóczi utca vízelvezetés támogatása (B25)</v>
      </c>
      <c r="B15" s="529">
        <f>+'2.sz.mell.'!C66</f>
        <v>0</v>
      </c>
      <c r="C15" s="529">
        <f>+'2.sz.mell.'!D66</f>
        <v>154655790</v>
      </c>
      <c r="D15" s="526"/>
      <c r="E15" s="526"/>
    </row>
    <row r="16" spans="1:5" ht="18.75" x14ac:dyDescent="0.3">
      <c r="A16" s="527" t="str">
        <f>+'2.sz.mell.'!B68</f>
        <v>Ingatlanok értékesítése (B52)</v>
      </c>
      <c r="B16" s="529">
        <f>+'2.sz.mell.'!C68</f>
        <v>0</v>
      </c>
      <c r="C16" s="529">
        <f>+'2.sz.mell.'!D68</f>
        <v>1100000</v>
      </c>
      <c r="D16" s="526"/>
      <c r="E16" s="526"/>
    </row>
    <row r="17" spans="1:5" ht="18.75" x14ac:dyDescent="0.3">
      <c r="A17" s="527" t="str">
        <f>+'2.sz.mell.'!B69</f>
        <v>Egyéb tárgyi eszköz értékesítése (B53)</v>
      </c>
      <c r="B17" s="529">
        <f>+'2.sz.mell.'!C69</f>
        <v>0</v>
      </c>
      <c r="C17" s="529">
        <f>+'2.sz.mell.'!D69</f>
        <v>19685</v>
      </c>
      <c r="D17" s="526"/>
      <c r="E17" s="526"/>
    </row>
    <row r="18" spans="1:5" ht="18.75" x14ac:dyDescent="0.3">
      <c r="A18" s="527" t="str">
        <f>+'2.sz.mell.'!B67</f>
        <v>2020. évi közművelődési érdekeltségnövelő támogatás</v>
      </c>
      <c r="B18" s="529">
        <f>+'2.sz.mell.'!C67</f>
        <v>0</v>
      </c>
      <c r="C18" s="529">
        <f>+'2.sz.mell.'!D67</f>
        <v>909000</v>
      </c>
      <c r="D18" s="526"/>
      <c r="E18" s="526"/>
    </row>
    <row r="19" spans="1:5" s="49" customFormat="1" ht="33" customHeight="1" x14ac:dyDescent="0.3">
      <c r="A19" s="530" t="s">
        <v>58</v>
      </c>
      <c r="B19" s="531">
        <f>+B9+B10+B13+B14</f>
        <v>5096029</v>
      </c>
      <c r="C19" s="531">
        <f>+C9+C10+C13+C14+C15+C16+C17+C18</f>
        <v>455011879</v>
      </c>
      <c r="D19" s="532">
        <f>+'5 b.sz.mell.'!H62</f>
        <v>5096029</v>
      </c>
      <c r="E19" s="532">
        <f>+'5 b.sz.mell.'!I62+'5 b.sz.mell.'!K62</f>
        <v>455011879</v>
      </c>
    </row>
    <row r="20" spans="1:5" s="535" customFormat="1" ht="39" customHeight="1" x14ac:dyDescent="0.25">
      <c r="A20" s="536" t="s">
        <v>323</v>
      </c>
      <c r="B20" s="537">
        <f>+'3.sz.mell.'!E23</f>
        <v>116182762</v>
      </c>
      <c r="C20" s="537">
        <f>+'3.sz.mell.'!F23</f>
        <v>116182762</v>
      </c>
      <c r="D20" s="539"/>
      <c r="E20" s="538"/>
    </row>
    <row r="21" spans="1:5" ht="27.75" customHeight="1" x14ac:dyDescent="0.3">
      <c r="A21" s="530" t="s">
        <v>58</v>
      </c>
      <c r="B21" s="531">
        <f>SUM(B20)</f>
        <v>116182762</v>
      </c>
      <c r="C21" s="531">
        <f>SUM(C20)</f>
        <v>116182762</v>
      </c>
      <c r="D21" s="526"/>
      <c r="E21" s="526"/>
    </row>
    <row r="22" spans="1:5" ht="26.25" customHeight="1" x14ac:dyDescent="0.3">
      <c r="A22" s="533" t="s">
        <v>59</v>
      </c>
      <c r="B22" s="531">
        <f>SUM(B19,B21)</f>
        <v>121278791</v>
      </c>
      <c r="C22" s="531">
        <f>SUM(C19,C21)</f>
        <v>571194641</v>
      </c>
      <c r="D22" s="534"/>
      <c r="E22" s="526"/>
    </row>
    <row r="23" spans="1:5" ht="18.75" x14ac:dyDescent="0.3">
      <c r="A23" s="526"/>
      <c r="B23" s="526"/>
      <c r="C23" s="526"/>
      <c r="D23" s="526"/>
      <c r="E23" s="526"/>
    </row>
    <row r="24" spans="1:5" ht="18.75" x14ac:dyDescent="0.3">
      <c r="A24" s="526"/>
      <c r="B24" s="534">
        <f>+'3.sz.mell.'!E24</f>
        <v>121278791</v>
      </c>
      <c r="C24" s="534">
        <f>+'3.sz.mell.'!F24</f>
        <v>571194641</v>
      </c>
      <c r="D24" s="526"/>
      <c r="E24" s="526"/>
    </row>
    <row r="25" spans="1:5" ht="18.75" x14ac:dyDescent="0.3">
      <c r="A25" s="526"/>
      <c r="B25" s="534"/>
      <c r="C25" s="526"/>
      <c r="D25" s="526"/>
      <c r="E25" s="526"/>
    </row>
    <row r="26" spans="1:5" ht="18.75" x14ac:dyDescent="0.3">
      <c r="A26" s="526"/>
      <c r="B26" s="526"/>
      <c r="C26" s="534"/>
      <c r="D26" s="526"/>
      <c r="E26" s="526"/>
    </row>
    <row r="27" spans="1:5" ht="18.75" x14ac:dyDescent="0.3">
      <c r="A27" s="526"/>
      <c r="B27" s="526"/>
      <c r="C27" s="526"/>
      <c r="D27" s="526"/>
      <c r="E27" s="526"/>
    </row>
    <row r="28" spans="1:5" ht="18.75" x14ac:dyDescent="0.3">
      <c r="A28" s="526"/>
      <c r="B28" s="526"/>
      <c r="C28" s="526"/>
      <c r="D28" s="526"/>
      <c r="E28" s="526"/>
    </row>
    <row r="29" spans="1:5" ht="18.75" x14ac:dyDescent="0.3">
      <c r="A29" s="526"/>
      <c r="B29" s="526"/>
      <c r="C29" s="526"/>
      <c r="D29" s="526"/>
      <c r="E29" s="526"/>
    </row>
    <row r="30" spans="1:5" ht="18.75" x14ac:dyDescent="0.3">
      <c r="A30" s="526"/>
      <c r="B30" s="526"/>
      <c r="C30" s="526"/>
      <c r="D30" s="526"/>
      <c r="E30" s="526"/>
    </row>
    <row r="31" spans="1:5" ht="18.75" x14ac:dyDescent="0.3">
      <c r="A31" s="526"/>
      <c r="B31" s="526"/>
      <c r="C31" s="526"/>
      <c r="D31" s="526"/>
      <c r="E31" s="526"/>
    </row>
  </sheetData>
  <mergeCells count="2">
    <mergeCell ref="A3:C3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FF"/>
    <pageSetUpPr fitToPage="1"/>
  </sheetPr>
  <dimension ref="A1:L147"/>
  <sheetViews>
    <sheetView zoomScaleNormal="100" workbookViewId="0">
      <selection activeCell="E57" sqref="E57"/>
    </sheetView>
  </sheetViews>
  <sheetFormatPr defaultRowHeight="15.75" x14ac:dyDescent="0.25"/>
  <cols>
    <col min="1" max="1" width="5.85546875" style="46" customWidth="1"/>
    <col min="2" max="2" width="57.140625" style="59" customWidth="1"/>
    <col min="3" max="3" width="30.85546875" style="59" customWidth="1"/>
    <col min="4" max="4" width="18.5703125" style="65" customWidth="1"/>
    <col min="5" max="5" width="18.85546875" style="46" customWidth="1"/>
    <col min="6" max="16384" width="9.140625" style="46"/>
  </cols>
  <sheetData>
    <row r="1" spans="1:6" ht="30" customHeight="1" x14ac:dyDescent="0.2">
      <c r="A1" s="656" t="s">
        <v>693</v>
      </c>
      <c r="B1" s="656"/>
      <c r="C1" s="656"/>
      <c r="D1" s="656"/>
      <c r="E1" s="656"/>
    </row>
    <row r="2" spans="1:6" ht="30" customHeight="1" x14ac:dyDescent="0.2">
      <c r="A2" s="254"/>
      <c r="B2" s="254"/>
      <c r="C2" s="254"/>
      <c r="D2" s="254"/>
      <c r="E2" s="254"/>
    </row>
    <row r="3" spans="1:6" ht="49.5" customHeight="1" x14ac:dyDescent="0.2">
      <c r="A3" s="728" t="s">
        <v>540</v>
      </c>
      <c r="B3" s="728"/>
      <c r="C3" s="728"/>
      <c r="D3" s="728"/>
      <c r="E3" s="728"/>
    </row>
    <row r="4" spans="1:6" x14ac:dyDescent="0.25">
      <c r="B4" s="53"/>
      <c r="C4" s="53"/>
      <c r="D4" s="54"/>
    </row>
    <row r="5" spans="1:6" ht="19.5" customHeight="1" thickBot="1" x14ac:dyDescent="0.3">
      <c r="B5" s="53"/>
      <c r="C5" s="53"/>
      <c r="D5" s="54" t="s">
        <v>316</v>
      </c>
    </row>
    <row r="6" spans="1:6" s="49" customFormat="1" ht="56.25" customHeight="1" thickBot="1" x14ac:dyDescent="0.25">
      <c r="B6" s="259" t="s">
        <v>313</v>
      </c>
      <c r="C6" s="260" t="s">
        <v>303</v>
      </c>
      <c r="D6" s="448" t="s">
        <v>505</v>
      </c>
      <c r="E6" s="448" t="s">
        <v>608</v>
      </c>
    </row>
    <row r="7" spans="1:6" x14ac:dyDescent="0.25">
      <c r="B7" s="55" t="s">
        <v>61</v>
      </c>
      <c r="C7" s="55"/>
      <c r="D7" s="262">
        <f>SUM(D8:D10)</f>
        <v>0</v>
      </c>
      <c r="E7" s="262">
        <f>SUM(E8:E10)</f>
        <v>0</v>
      </c>
    </row>
    <row r="8" spans="1:6" x14ac:dyDescent="0.25">
      <c r="B8" s="393"/>
      <c r="C8" s="540" t="s">
        <v>304</v>
      </c>
      <c r="D8" s="392">
        <v>0</v>
      </c>
      <c r="E8" s="392">
        <v>0</v>
      </c>
    </row>
    <row r="9" spans="1:6" hidden="1" x14ac:dyDescent="0.25">
      <c r="B9" s="393" t="s">
        <v>507</v>
      </c>
      <c r="C9" s="540" t="s">
        <v>304</v>
      </c>
      <c r="D9" s="392">
        <v>0</v>
      </c>
      <c r="E9" s="392">
        <v>0</v>
      </c>
    </row>
    <row r="10" spans="1:6" hidden="1" x14ac:dyDescent="0.2">
      <c r="B10" s="340" t="s">
        <v>506</v>
      </c>
      <c r="C10" s="338" t="s">
        <v>304</v>
      </c>
      <c r="D10" s="339">
        <v>0</v>
      </c>
      <c r="E10" s="339">
        <v>0</v>
      </c>
    </row>
    <row r="11" spans="1:6" x14ac:dyDescent="0.25">
      <c r="B11" s="56" t="s">
        <v>62</v>
      </c>
      <c r="C11" s="55"/>
      <c r="D11" s="414">
        <f>+SUM(D12:D51)</f>
        <v>59816102</v>
      </c>
      <c r="E11" s="414">
        <f>+SUM(E12:E56)</f>
        <v>440513289</v>
      </c>
    </row>
    <row r="12" spans="1:6" x14ac:dyDescent="0.25">
      <c r="B12" s="340" t="s">
        <v>541</v>
      </c>
      <c r="C12" s="338" t="s">
        <v>304</v>
      </c>
      <c r="D12" s="394">
        <f>300000+1100000</f>
        <v>1400000</v>
      </c>
      <c r="E12" s="394">
        <f>300000+1100000</f>
        <v>1400000</v>
      </c>
    </row>
    <row r="13" spans="1:6" x14ac:dyDescent="0.25">
      <c r="B13" s="337" t="s">
        <v>542</v>
      </c>
      <c r="C13" s="261" t="s">
        <v>304</v>
      </c>
      <c r="D13" s="394">
        <f>2362204+637795</f>
        <v>2999999</v>
      </c>
      <c r="E13" s="394">
        <f>2362204+637795</f>
        <v>2999999</v>
      </c>
      <c r="F13" s="614"/>
    </row>
    <row r="14" spans="1:6" x14ac:dyDescent="0.25">
      <c r="B14" s="337" t="s">
        <v>543</v>
      </c>
      <c r="C14" s="261" t="s">
        <v>304</v>
      </c>
      <c r="D14" s="394">
        <v>436880</v>
      </c>
      <c r="E14" s="394">
        <v>436880</v>
      </c>
    </row>
    <row r="15" spans="1:6" x14ac:dyDescent="0.25">
      <c r="B15" s="337" t="s">
        <v>700</v>
      </c>
      <c r="C15" s="261" t="s">
        <v>304</v>
      </c>
      <c r="D15" s="394">
        <v>0</v>
      </c>
      <c r="E15" s="394">
        <v>159639</v>
      </c>
    </row>
    <row r="16" spans="1:6" ht="47.25" x14ac:dyDescent="0.25">
      <c r="B16" s="541" t="s">
        <v>544</v>
      </c>
      <c r="C16" s="261" t="s">
        <v>304</v>
      </c>
      <c r="D16" s="394">
        <f>1835000+1100000</f>
        <v>2935000</v>
      </c>
      <c r="E16" s="394">
        <f>3907972-E24-E21-E20-E19-E18-E17</f>
        <v>1489779</v>
      </c>
      <c r="F16" s="647"/>
    </row>
    <row r="17" spans="2:11" ht="31.5" x14ac:dyDescent="0.25">
      <c r="B17" s="541" t="s">
        <v>695</v>
      </c>
      <c r="C17" s="261" t="s">
        <v>304</v>
      </c>
      <c r="D17" s="394">
        <v>0</v>
      </c>
      <c r="E17" s="394">
        <v>434213</v>
      </c>
      <c r="F17" s="647"/>
    </row>
    <row r="18" spans="2:11" x14ac:dyDescent="0.25">
      <c r="B18" s="648" t="s">
        <v>696</v>
      </c>
      <c r="C18" s="261" t="s">
        <v>304</v>
      </c>
      <c r="D18" s="394">
        <v>0</v>
      </c>
      <c r="E18" s="394">
        <v>227330</v>
      </c>
      <c r="F18" s="647"/>
    </row>
    <row r="19" spans="2:11" x14ac:dyDescent="0.25">
      <c r="B19" s="648" t="s">
        <v>697</v>
      </c>
      <c r="C19" s="261" t="s">
        <v>304</v>
      </c>
      <c r="D19" s="394">
        <v>0</v>
      </c>
      <c r="E19" s="394">
        <v>476250</v>
      </c>
      <c r="F19" s="647"/>
    </row>
    <row r="20" spans="2:11" x14ac:dyDescent="0.25">
      <c r="B20" s="648" t="s">
        <v>698</v>
      </c>
      <c r="C20" s="261" t="s">
        <v>304</v>
      </c>
      <c r="D20" s="394">
        <v>0</v>
      </c>
      <c r="E20" s="394">
        <v>168910</v>
      </c>
      <c r="F20" s="647"/>
    </row>
    <row r="21" spans="2:11" x14ac:dyDescent="0.25">
      <c r="B21" s="648" t="s">
        <v>699</v>
      </c>
      <c r="C21" s="261" t="s">
        <v>304</v>
      </c>
      <c r="D21" s="394">
        <v>0</v>
      </c>
      <c r="E21" s="394">
        <v>411490</v>
      </c>
      <c r="F21" s="647"/>
    </row>
    <row r="22" spans="2:11" x14ac:dyDescent="0.25">
      <c r="B22" s="648" t="s">
        <v>706</v>
      </c>
      <c r="C22" s="261" t="s">
        <v>305</v>
      </c>
      <c r="D22" s="394">
        <v>0</v>
      </c>
      <c r="E22" s="394">
        <v>1609329</v>
      </c>
      <c r="F22" s="651"/>
    </row>
    <row r="23" spans="2:11" x14ac:dyDescent="0.25">
      <c r="B23" s="648" t="s">
        <v>707</v>
      </c>
      <c r="C23" s="261" t="s">
        <v>304</v>
      </c>
      <c r="D23" s="394">
        <v>0</v>
      </c>
      <c r="E23" s="394">
        <v>26862</v>
      </c>
      <c r="F23" s="651"/>
    </row>
    <row r="24" spans="2:11" x14ac:dyDescent="0.25">
      <c r="B24" s="337" t="s">
        <v>545</v>
      </c>
      <c r="C24" s="261" t="s">
        <v>304</v>
      </c>
      <c r="D24" s="394">
        <v>700000</v>
      </c>
      <c r="E24" s="394">
        <v>700000</v>
      </c>
      <c r="F24" s="647"/>
    </row>
    <row r="25" spans="2:11" x14ac:dyDescent="0.25">
      <c r="B25" s="337" t="s">
        <v>546</v>
      </c>
      <c r="C25" s="261" t="s">
        <v>304</v>
      </c>
      <c r="D25" s="394">
        <v>2400000</v>
      </c>
      <c r="E25" s="394">
        <v>0</v>
      </c>
      <c r="F25" s="646"/>
    </row>
    <row r="26" spans="2:11" x14ac:dyDescent="0.25">
      <c r="B26" s="337" t="s">
        <v>547</v>
      </c>
      <c r="C26" s="261" t="s">
        <v>304</v>
      </c>
      <c r="D26" s="394">
        <v>1000000</v>
      </c>
      <c r="E26" s="394">
        <v>725580</v>
      </c>
      <c r="F26" s="646"/>
    </row>
    <row r="27" spans="2:11" ht="31.5" x14ac:dyDescent="0.25">
      <c r="B27" s="541" t="s">
        <v>701</v>
      </c>
      <c r="C27" s="261" t="s">
        <v>304</v>
      </c>
      <c r="D27" s="394">
        <v>0</v>
      </c>
      <c r="E27" s="394">
        <v>184150</v>
      </c>
      <c r="F27" s="650"/>
    </row>
    <row r="28" spans="2:11" x14ac:dyDescent="0.25">
      <c r="B28" s="649" t="s">
        <v>702</v>
      </c>
      <c r="C28" s="261" t="s">
        <v>304</v>
      </c>
      <c r="D28" s="394">
        <v>0</v>
      </c>
      <c r="E28" s="394">
        <v>431800</v>
      </c>
      <c r="F28" s="650"/>
    </row>
    <row r="29" spans="2:11" x14ac:dyDescent="0.25">
      <c r="B29" s="649" t="s">
        <v>703</v>
      </c>
      <c r="C29" s="261" t="s">
        <v>304</v>
      </c>
      <c r="D29" s="394">
        <v>0</v>
      </c>
      <c r="E29" s="394">
        <v>289000</v>
      </c>
      <c r="F29" s="650"/>
    </row>
    <row r="30" spans="2:11" x14ac:dyDescent="0.25">
      <c r="B30" s="649" t="s">
        <v>704</v>
      </c>
      <c r="C30" s="261" t="s">
        <v>304</v>
      </c>
      <c r="D30" s="394">
        <v>0</v>
      </c>
      <c r="E30" s="394">
        <v>118110</v>
      </c>
      <c r="F30" s="650"/>
    </row>
    <row r="31" spans="2:11" ht="17.25" customHeight="1" x14ac:dyDescent="0.25">
      <c r="B31" s="649" t="s">
        <v>705</v>
      </c>
      <c r="C31" s="261" t="s">
        <v>304</v>
      </c>
      <c r="D31" s="394">
        <v>0</v>
      </c>
      <c r="E31" s="394">
        <v>4697844</v>
      </c>
    </row>
    <row r="32" spans="2:11" ht="63" x14ac:dyDescent="0.25">
      <c r="B32" s="541" t="s">
        <v>633</v>
      </c>
      <c r="C32" s="261" t="s">
        <v>305</v>
      </c>
      <c r="D32" s="394">
        <f>4999736+1350000+1215000+4500000-5715000</f>
        <v>6349736</v>
      </c>
      <c r="E32" s="612">
        <f>4999736+1350000</f>
        <v>6349736</v>
      </c>
      <c r="F32" s="613"/>
      <c r="H32" s="46">
        <f>4500000+1215000</f>
        <v>5715000</v>
      </c>
      <c r="I32" s="46">
        <f>4999736+1350000</f>
        <v>6349736</v>
      </c>
      <c r="J32" s="46">
        <v>21434658</v>
      </c>
      <c r="K32" s="46">
        <f>4999736+1350000+11811022+3188976+66869+18055</f>
        <v>21434658</v>
      </c>
    </row>
    <row r="33" spans="2:12" ht="31.5" x14ac:dyDescent="0.25">
      <c r="B33" s="541" t="s">
        <v>630</v>
      </c>
      <c r="C33" s="261" t="s">
        <v>305</v>
      </c>
      <c r="D33" s="394">
        <v>5715000</v>
      </c>
      <c r="E33" s="612">
        <f>4500000+1215000</f>
        <v>5715000</v>
      </c>
      <c r="F33" s="611"/>
    </row>
    <row r="34" spans="2:12" x14ac:dyDescent="0.25">
      <c r="B34" s="337" t="s">
        <v>549</v>
      </c>
      <c r="C34" s="261" t="s">
        <v>305</v>
      </c>
      <c r="D34" s="394">
        <f>1520000+410400</f>
        <v>1930400</v>
      </c>
      <c r="E34" s="612">
        <f>1520000+410400</f>
        <v>1930400</v>
      </c>
      <c r="F34" s="611"/>
    </row>
    <row r="35" spans="2:12" x14ac:dyDescent="0.25">
      <c r="B35" s="541" t="s">
        <v>626</v>
      </c>
      <c r="C35" s="261" t="s">
        <v>305</v>
      </c>
      <c r="D35" s="394">
        <v>0</v>
      </c>
      <c r="E35" s="394">
        <v>273050</v>
      </c>
      <c r="J35" s="46" t="s">
        <v>627</v>
      </c>
    </row>
    <row r="36" spans="2:12" x14ac:dyDescent="0.25">
      <c r="B36" s="337" t="s">
        <v>631</v>
      </c>
      <c r="C36" s="261" t="s">
        <v>305</v>
      </c>
      <c r="D36" s="394">
        <f>11811022+3188976</f>
        <v>14999998</v>
      </c>
      <c r="E36" s="612">
        <f>20961560-E32-E38</f>
        <v>14526900</v>
      </c>
      <c r="F36" s="613"/>
      <c r="J36" s="46" t="s">
        <v>628</v>
      </c>
    </row>
    <row r="37" spans="2:12" x14ac:dyDescent="0.25">
      <c r="B37" s="337" t="s">
        <v>632</v>
      </c>
      <c r="C37" s="261" t="s">
        <v>304</v>
      </c>
      <c r="D37" s="394">
        <v>0</v>
      </c>
      <c r="E37" s="612">
        <v>3933036</v>
      </c>
      <c r="F37" s="614"/>
    </row>
    <row r="38" spans="2:12" x14ac:dyDescent="0.25">
      <c r="B38" s="337" t="s">
        <v>548</v>
      </c>
      <c r="C38" s="261" t="s">
        <v>305</v>
      </c>
      <c r="D38" s="394">
        <f>66869+18055</f>
        <v>84924</v>
      </c>
      <c r="E38" s="612">
        <f>66869+18055</f>
        <v>84924</v>
      </c>
      <c r="F38" s="613"/>
      <c r="L38" s="46">
        <f>11811022+3188976</f>
        <v>14999998</v>
      </c>
    </row>
    <row r="39" spans="2:12" x14ac:dyDescent="0.25">
      <c r="B39" s="337" t="s">
        <v>708</v>
      </c>
      <c r="C39" s="261" t="s">
        <v>305</v>
      </c>
      <c r="D39" s="394">
        <f>1200000+350000</f>
        <v>1550000</v>
      </c>
      <c r="E39" s="394">
        <f>3832304+466907+298129</f>
        <v>4597340</v>
      </c>
      <c r="J39" s="46" t="s">
        <v>629</v>
      </c>
    </row>
    <row r="40" spans="2:12" x14ac:dyDescent="0.25">
      <c r="B40" s="337" t="s">
        <v>550</v>
      </c>
      <c r="C40" s="261" t="s">
        <v>305</v>
      </c>
      <c r="D40" s="394">
        <f>12000000+3240000</f>
        <v>15240000</v>
      </c>
      <c r="E40" s="394">
        <v>0</v>
      </c>
      <c r="K40" s="46">
        <f>66869+18055</f>
        <v>84924</v>
      </c>
    </row>
    <row r="41" spans="2:12" x14ac:dyDescent="0.25">
      <c r="B41" s="337" t="s">
        <v>555</v>
      </c>
      <c r="C41" s="261" t="s">
        <v>304</v>
      </c>
      <c r="D41" s="569">
        <v>682365</v>
      </c>
      <c r="E41" s="569">
        <v>682365</v>
      </c>
    </row>
    <row r="42" spans="2:12" x14ac:dyDescent="0.25">
      <c r="B42" s="337" t="s">
        <v>551</v>
      </c>
      <c r="C42" s="261" t="s">
        <v>304</v>
      </c>
      <c r="D42" s="394">
        <v>381000</v>
      </c>
      <c r="E42" s="394">
        <v>300000</v>
      </c>
      <c r="F42" s="643"/>
    </row>
    <row r="43" spans="2:12" x14ac:dyDescent="0.25">
      <c r="B43" s="337" t="s">
        <v>659</v>
      </c>
      <c r="C43" s="261" t="s">
        <v>304</v>
      </c>
      <c r="D43" s="394">
        <v>0</v>
      </c>
      <c r="E43" s="394">
        <v>127118</v>
      </c>
      <c r="F43" s="643"/>
    </row>
    <row r="44" spans="2:12" x14ac:dyDescent="0.25">
      <c r="B44" s="337" t="s">
        <v>660</v>
      </c>
      <c r="C44" s="261" t="s">
        <v>304</v>
      </c>
      <c r="D44" s="394">
        <v>0</v>
      </c>
      <c r="E44" s="394">
        <v>79800</v>
      </c>
      <c r="F44" s="643"/>
    </row>
    <row r="45" spans="2:12" x14ac:dyDescent="0.25">
      <c r="B45" s="337" t="s">
        <v>552</v>
      </c>
      <c r="C45" s="261" t="s">
        <v>304</v>
      </c>
      <c r="D45" s="394">
        <v>50800</v>
      </c>
      <c r="E45" s="394">
        <v>50800</v>
      </c>
    </row>
    <row r="46" spans="2:12" x14ac:dyDescent="0.25">
      <c r="B46" s="337" t="s">
        <v>553</v>
      </c>
      <c r="C46" s="261" t="s">
        <v>304</v>
      </c>
      <c r="D46" s="394">
        <v>205000</v>
      </c>
      <c r="E46" s="394">
        <v>61490</v>
      </c>
    </row>
    <row r="47" spans="2:12" x14ac:dyDescent="0.25">
      <c r="B47" s="337" t="s">
        <v>554</v>
      </c>
      <c r="C47" s="261" t="s">
        <v>304</v>
      </c>
      <c r="D47" s="394">
        <v>205000</v>
      </c>
      <c r="E47" s="394">
        <v>181614</v>
      </c>
      <c r="F47" s="644"/>
    </row>
    <row r="48" spans="2:12" x14ac:dyDescent="0.25">
      <c r="B48" s="337" t="s">
        <v>658</v>
      </c>
      <c r="C48" s="261" t="s">
        <v>304</v>
      </c>
      <c r="D48" s="394">
        <v>0</v>
      </c>
      <c r="E48" s="394">
        <v>110000</v>
      </c>
      <c r="F48" s="644"/>
    </row>
    <row r="49" spans="2:6" x14ac:dyDescent="0.25">
      <c r="B49" s="337" t="s">
        <v>694</v>
      </c>
      <c r="C49" s="261" t="s">
        <v>304</v>
      </c>
      <c r="D49" s="394">
        <v>0</v>
      </c>
      <c r="E49" s="394">
        <v>52155</v>
      </c>
      <c r="F49" s="644"/>
    </row>
    <row r="50" spans="2:6" x14ac:dyDescent="0.25">
      <c r="B50" s="337" t="s">
        <v>556</v>
      </c>
      <c r="C50" s="261" t="s">
        <v>305</v>
      </c>
      <c r="D50" s="394">
        <v>150000</v>
      </c>
      <c r="E50" s="394">
        <v>150000</v>
      </c>
    </row>
    <row r="51" spans="2:6" x14ac:dyDescent="0.25">
      <c r="B51" s="541" t="s">
        <v>557</v>
      </c>
      <c r="C51" s="542" t="s">
        <v>305</v>
      </c>
      <c r="D51" s="394">
        <v>400000</v>
      </c>
      <c r="E51" s="394">
        <v>400000</v>
      </c>
    </row>
    <row r="52" spans="2:6" x14ac:dyDescent="0.25">
      <c r="B52" s="541" t="s">
        <v>661</v>
      </c>
      <c r="C52" s="542" t="s">
        <v>305</v>
      </c>
      <c r="D52" s="394">
        <v>0</v>
      </c>
      <c r="E52" s="394">
        <v>143510</v>
      </c>
    </row>
    <row r="53" spans="2:6" x14ac:dyDescent="0.25">
      <c r="B53" s="541" t="str">
        <f>+'7.sz.mell.'!A13</f>
        <v>Orvosi rendelő építés pályázati támogatás (B25)</v>
      </c>
      <c r="C53" s="542" t="s">
        <v>304</v>
      </c>
      <c r="D53" s="394">
        <f>+'7.sz.mell.'!B13</f>
        <v>0</v>
      </c>
      <c r="E53" s="394">
        <v>218881981</v>
      </c>
      <c r="F53" s="645"/>
    </row>
    <row r="54" spans="2:6" x14ac:dyDescent="0.25">
      <c r="B54" s="541" t="s">
        <v>666</v>
      </c>
      <c r="C54" s="542" t="s">
        <v>304</v>
      </c>
      <c r="D54" s="394">
        <v>0</v>
      </c>
      <c r="E54" s="394">
        <v>191232</v>
      </c>
      <c r="F54" s="645"/>
    </row>
    <row r="55" spans="2:6" x14ac:dyDescent="0.25">
      <c r="B55" s="541" t="str">
        <f>+'7.sz.mell.'!A14</f>
        <v>Kamerarendszer kiépítésének támogatása (B25)</v>
      </c>
      <c r="C55" s="542" t="s">
        <v>304</v>
      </c>
      <c r="D55" s="394">
        <f>+'7.sz.mell.'!B14</f>
        <v>0</v>
      </c>
      <c r="E55" s="394">
        <f>+'5.a sz.mell.'!W21</f>
        <v>10047883</v>
      </c>
    </row>
    <row r="56" spans="2:6" x14ac:dyDescent="0.25">
      <c r="B56" s="541" t="str">
        <f>+'7.sz.mell.'!A15</f>
        <v>Rákóczi utca vízelvezetés támogatása (B25)</v>
      </c>
      <c r="C56" s="542" t="s">
        <v>305</v>
      </c>
      <c r="D56" s="394">
        <f>+'7.sz.mell.'!B15</f>
        <v>0</v>
      </c>
      <c r="E56" s="394">
        <f>+'5.a sz.mell.'!Y14</f>
        <v>154655790</v>
      </c>
    </row>
    <row r="57" spans="2:6" ht="15" customHeight="1" x14ac:dyDescent="0.25">
      <c r="B57" s="52" t="s">
        <v>58</v>
      </c>
      <c r="C57" s="52"/>
      <c r="D57" s="336">
        <f>+D11+D7</f>
        <v>59816102</v>
      </c>
      <c r="E57" s="336">
        <f>+E11+E7</f>
        <v>440513289</v>
      </c>
    </row>
    <row r="58" spans="2:6" s="49" customFormat="1" x14ac:dyDescent="0.25">
      <c r="B58" s="57"/>
      <c r="C58" s="57"/>
      <c r="D58" s="451"/>
    </row>
    <row r="59" spans="2:6" ht="24.75" customHeight="1" x14ac:dyDescent="0.25">
      <c r="B59" s="57"/>
      <c r="C59" s="57"/>
      <c r="D59" s="58">
        <f>+'5.a sz.mell.'!V69+'5.a sz.mell.'!X69</f>
        <v>59816102</v>
      </c>
      <c r="E59" s="58">
        <f>+'5.a sz.mell.'!W69+'5.a sz.mell.'!Y69</f>
        <v>440513289</v>
      </c>
      <c r="F59" s="423"/>
    </row>
    <row r="60" spans="2:6" ht="11.25" customHeight="1" x14ac:dyDescent="0.25">
      <c r="B60" s="57"/>
      <c r="C60" s="57"/>
      <c r="D60" s="58"/>
    </row>
    <row r="61" spans="2:6" s="49" customFormat="1" x14ac:dyDescent="0.25">
      <c r="B61" s="57"/>
      <c r="C61" s="57"/>
      <c r="D61" s="58">
        <f>+D57-D59</f>
        <v>0</v>
      </c>
      <c r="E61" s="451">
        <f>+E59-D57</f>
        <v>380697187</v>
      </c>
    </row>
    <row r="62" spans="2:6" s="49" customFormat="1" x14ac:dyDescent="0.25">
      <c r="B62" s="59"/>
      <c r="C62" s="59"/>
      <c r="D62" s="59"/>
    </row>
    <row r="63" spans="2:6" x14ac:dyDescent="0.25">
      <c r="D63" s="59"/>
      <c r="E63" s="423">
        <f>+E57-E59</f>
        <v>0</v>
      </c>
    </row>
    <row r="64" spans="2:6" s="49" customFormat="1" x14ac:dyDescent="0.25">
      <c r="B64" s="59"/>
      <c r="C64" s="59"/>
      <c r="D64" s="59"/>
      <c r="E64" s="49">
        <v>1905000</v>
      </c>
    </row>
    <row r="65" spans="2:4" x14ac:dyDescent="0.25">
      <c r="D65" s="59"/>
    </row>
    <row r="66" spans="2:4" x14ac:dyDescent="0.25">
      <c r="D66" s="59"/>
    </row>
    <row r="67" spans="2:4" x14ac:dyDescent="0.25">
      <c r="D67" s="59"/>
    </row>
    <row r="68" spans="2:4" x14ac:dyDescent="0.25">
      <c r="D68" s="59"/>
    </row>
    <row r="69" spans="2:4" x14ac:dyDescent="0.25">
      <c r="D69" s="59"/>
    </row>
    <row r="70" spans="2:4" x14ac:dyDescent="0.25">
      <c r="D70" s="59"/>
    </row>
    <row r="71" spans="2:4" x14ac:dyDescent="0.25">
      <c r="D71" s="59"/>
    </row>
    <row r="72" spans="2:4" x14ac:dyDescent="0.25">
      <c r="D72" s="59"/>
    </row>
    <row r="73" spans="2:4" x14ac:dyDescent="0.25">
      <c r="D73" s="59"/>
    </row>
    <row r="74" spans="2:4" x14ac:dyDescent="0.25">
      <c r="D74" s="59"/>
    </row>
    <row r="75" spans="2:4" x14ac:dyDescent="0.25">
      <c r="B75" s="60"/>
      <c r="C75" s="60"/>
      <c r="D75" s="61"/>
    </row>
    <row r="76" spans="2:4" x14ac:dyDescent="0.25">
      <c r="B76" s="60"/>
      <c r="C76" s="60"/>
      <c r="D76" s="61"/>
    </row>
    <row r="77" spans="2:4" x14ac:dyDescent="0.25">
      <c r="B77" s="60"/>
      <c r="C77" s="60"/>
      <c r="D77" s="61"/>
    </row>
    <row r="78" spans="2:4" x14ac:dyDescent="0.25">
      <c r="B78" s="60"/>
      <c r="C78" s="60"/>
      <c r="D78" s="61"/>
    </row>
    <row r="79" spans="2:4" s="51" customFormat="1" x14ac:dyDescent="0.25">
      <c r="B79" s="60"/>
      <c r="C79" s="60"/>
      <c r="D79" s="61"/>
    </row>
    <row r="80" spans="2:4" s="49" customFormat="1" x14ac:dyDescent="0.25">
      <c r="B80" s="60"/>
      <c r="C80" s="60"/>
      <c r="D80" s="61"/>
    </row>
    <row r="81" spans="2:4" s="62" customFormat="1" x14ac:dyDescent="0.25">
      <c r="B81" s="60"/>
      <c r="C81" s="60"/>
      <c r="D81" s="61"/>
    </row>
    <row r="82" spans="2:4" x14ac:dyDescent="0.25">
      <c r="B82" s="60"/>
      <c r="C82" s="60"/>
      <c r="D82" s="61"/>
    </row>
    <row r="83" spans="2:4" x14ac:dyDescent="0.25">
      <c r="B83" s="60"/>
      <c r="C83" s="60"/>
      <c r="D83" s="61"/>
    </row>
    <row r="84" spans="2:4" x14ac:dyDescent="0.25">
      <c r="B84" s="60"/>
      <c r="C84" s="60"/>
      <c r="D84" s="61"/>
    </row>
    <row r="85" spans="2:4" x14ac:dyDescent="0.25">
      <c r="B85" s="60"/>
      <c r="C85" s="60"/>
      <c r="D85" s="61"/>
    </row>
    <row r="86" spans="2:4" x14ac:dyDescent="0.25">
      <c r="B86" s="60"/>
      <c r="C86" s="60"/>
      <c r="D86" s="61"/>
    </row>
    <row r="87" spans="2:4" x14ac:dyDescent="0.25">
      <c r="B87" s="60"/>
      <c r="C87" s="60"/>
      <c r="D87" s="61"/>
    </row>
    <row r="88" spans="2:4" x14ac:dyDescent="0.25">
      <c r="B88" s="60"/>
      <c r="C88" s="60"/>
      <c r="D88" s="61"/>
    </row>
    <row r="89" spans="2:4" x14ac:dyDescent="0.25">
      <c r="B89" s="60"/>
      <c r="C89" s="60"/>
      <c r="D89" s="61"/>
    </row>
    <row r="90" spans="2:4" x14ac:dyDescent="0.25">
      <c r="B90" s="60"/>
      <c r="C90" s="60"/>
      <c r="D90" s="61"/>
    </row>
    <row r="91" spans="2:4" x14ac:dyDescent="0.25">
      <c r="B91" s="60"/>
      <c r="C91" s="60"/>
      <c r="D91" s="61"/>
    </row>
    <row r="92" spans="2:4" x14ac:dyDescent="0.25">
      <c r="B92" s="60"/>
      <c r="C92" s="60"/>
      <c r="D92" s="61"/>
    </row>
    <row r="93" spans="2:4" x14ac:dyDescent="0.25">
      <c r="B93" s="57"/>
      <c r="C93" s="57"/>
      <c r="D93" s="63"/>
    </row>
    <row r="94" spans="2:4" x14ac:dyDescent="0.25">
      <c r="D94" s="59"/>
    </row>
    <row r="95" spans="2:4" x14ac:dyDescent="0.25">
      <c r="D95" s="59"/>
    </row>
    <row r="96" spans="2:4" s="49" customFormat="1" x14ac:dyDescent="0.25">
      <c r="B96" s="57"/>
      <c r="C96" s="57"/>
      <c r="D96" s="57"/>
    </row>
    <row r="97" spans="2:4" x14ac:dyDescent="0.25">
      <c r="D97" s="59"/>
    </row>
    <row r="98" spans="2:4" x14ac:dyDescent="0.25">
      <c r="D98" s="59"/>
    </row>
    <row r="99" spans="2:4" s="49" customFormat="1" x14ac:dyDescent="0.25">
      <c r="B99" s="57"/>
      <c r="C99" s="57"/>
      <c r="D99" s="59"/>
    </row>
    <row r="100" spans="2:4" x14ac:dyDescent="0.25">
      <c r="B100" s="60"/>
      <c r="C100" s="60"/>
      <c r="D100" s="64"/>
    </row>
    <row r="101" spans="2:4" x14ac:dyDescent="0.25">
      <c r="B101" s="60"/>
      <c r="C101" s="60"/>
      <c r="D101" s="64"/>
    </row>
    <row r="102" spans="2:4" x14ac:dyDescent="0.25">
      <c r="B102" s="60"/>
      <c r="C102" s="60"/>
      <c r="D102" s="64"/>
    </row>
    <row r="103" spans="2:4" x14ac:dyDescent="0.25">
      <c r="B103" s="60"/>
      <c r="C103" s="60"/>
      <c r="D103" s="64"/>
    </row>
    <row r="104" spans="2:4" x14ac:dyDescent="0.25">
      <c r="B104" s="60"/>
      <c r="C104" s="60"/>
      <c r="D104" s="64"/>
    </row>
    <row r="105" spans="2:4" x14ac:dyDescent="0.25">
      <c r="B105" s="60"/>
      <c r="C105" s="60"/>
      <c r="D105" s="64"/>
    </row>
    <row r="106" spans="2:4" x14ac:dyDescent="0.25">
      <c r="B106" s="60"/>
      <c r="C106" s="60"/>
      <c r="D106" s="64"/>
    </row>
    <row r="107" spans="2:4" x14ac:dyDescent="0.25">
      <c r="B107" s="60"/>
      <c r="C107" s="60"/>
      <c r="D107" s="64"/>
    </row>
    <row r="108" spans="2:4" x14ac:dyDescent="0.25">
      <c r="B108" s="57"/>
      <c r="C108" s="57"/>
      <c r="D108" s="58"/>
    </row>
    <row r="109" spans="2:4" x14ac:dyDescent="0.25">
      <c r="B109" s="57"/>
      <c r="C109" s="57"/>
    </row>
    <row r="110" spans="2:4" x14ac:dyDescent="0.25">
      <c r="D110" s="58"/>
    </row>
    <row r="111" spans="2:4" x14ac:dyDescent="0.25">
      <c r="B111" s="57"/>
      <c r="C111" s="57"/>
    </row>
    <row r="113" spans="2:4" x14ac:dyDescent="0.25">
      <c r="D113" s="58"/>
    </row>
    <row r="114" spans="2:4" x14ac:dyDescent="0.25">
      <c r="B114" s="57"/>
      <c r="C114" s="57"/>
      <c r="D114" s="58"/>
    </row>
    <row r="115" spans="2:4" x14ac:dyDescent="0.25">
      <c r="B115" s="57"/>
      <c r="C115" s="57"/>
    </row>
    <row r="116" spans="2:4" x14ac:dyDescent="0.25">
      <c r="D116" s="58"/>
    </row>
    <row r="117" spans="2:4" x14ac:dyDescent="0.25">
      <c r="B117" s="57"/>
      <c r="C117" s="57"/>
      <c r="D117" s="64"/>
    </row>
    <row r="118" spans="2:4" x14ac:dyDescent="0.25">
      <c r="B118" s="66"/>
      <c r="C118" s="66"/>
      <c r="D118" s="64"/>
    </row>
    <row r="119" spans="2:4" x14ac:dyDescent="0.25">
      <c r="B119" s="66"/>
      <c r="C119" s="66"/>
      <c r="D119" s="64"/>
    </row>
    <row r="120" spans="2:4" x14ac:dyDescent="0.25">
      <c r="B120" s="66"/>
      <c r="C120" s="66"/>
      <c r="D120" s="64"/>
    </row>
    <row r="121" spans="2:4" x14ac:dyDescent="0.25">
      <c r="B121" s="66"/>
      <c r="C121" s="66"/>
      <c r="D121" s="64"/>
    </row>
    <row r="122" spans="2:4" x14ac:dyDescent="0.25">
      <c r="B122" s="66"/>
      <c r="C122" s="66"/>
      <c r="D122" s="64"/>
    </row>
    <row r="123" spans="2:4" x14ac:dyDescent="0.25">
      <c r="B123" s="66"/>
      <c r="C123" s="66"/>
      <c r="D123" s="64"/>
    </row>
    <row r="124" spans="2:4" x14ac:dyDescent="0.25">
      <c r="B124" s="66"/>
      <c r="C124" s="66"/>
      <c r="D124" s="64"/>
    </row>
    <row r="125" spans="2:4" x14ac:dyDescent="0.25">
      <c r="B125" s="66"/>
      <c r="C125" s="66"/>
      <c r="D125" s="64"/>
    </row>
    <row r="126" spans="2:4" x14ac:dyDescent="0.25">
      <c r="B126" s="66"/>
      <c r="C126" s="66"/>
    </row>
    <row r="133" spans="2:4" x14ac:dyDescent="0.25">
      <c r="D133" s="58"/>
    </row>
    <row r="134" spans="2:4" x14ac:dyDescent="0.25">
      <c r="B134" s="57"/>
      <c r="C134" s="57"/>
    </row>
    <row r="135" spans="2:4" x14ac:dyDescent="0.25">
      <c r="D135" s="58"/>
    </row>
    <row r="136" spans="2:4" x14ac:dyDescent="0.25">
      <c r="B136" s="57"/>
      <c r="C136" s="57"/>
    </row>
    <row r="139" spans="2:4" x14ac:dyDescent="0.25">
      <c r="D139" s="58"/>
    </row>
    <row r="140" spans="2:4" x14ac:dyDescent="0.25">
      <c r="D140" s="59"/>
    </row>
    <row r="141" spans="2:4" x14ac:dyDescent="0.25">
      <c r="D141" s="58"/>
    </row>
    <row r="142" spans="2:4" x14ac:dyDescent="0.25">
      <c r="B142" s="57"/>
      <c r="C142" s="57"/>
      <c r="D142" s="64"/>
    </row>
    <row r="143" spans="2:4" x14ac:dyDescent="0.25">
      <c r="B143" s="66"/>
      <c r="C143" s="66"/>
    </row>
    <row r="144" spans="2:4" x14ac:dyDescent="0.25">
      <c r="D144" s="58"/>
    </row>
    <row r="145" spans="2:4" x14ac:dyDescent="0.25">
      <c r="B145" s="57"/>
      <c r="C145" s="57"/>
    </row>
    <row r="146" spans="2:4" x14ac:dyDescent="0.25">
      <c r="D146" s="58"/>
    </row>
    <row r="147" spans="2:4" x14ac:dyDescent="0.25">
      <c r="B147" s="57"/>
      <c r="C147" s="57"/>
    </row>
  </sheetData>
  <mergeCells count="2">
    <mergeCell ref="A3:E3"/>
    <mergeCell ref="A1:E1"/>
  </mergeCells>
  <phoneticPr fontId="0" type="noConversion"/>
  <pageMargins left="0.25" right="0.25" top="0.75" bottom="0.75" header="0.3" footer="0.3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20</vt:i4>
      </vt:variant>
    </vt:vector>
  </HeadingPairs>
  <TitlesOfParts>
    <vt:vector size="41" baseType="lpstr">
      <vt:lpstr>Címrend</vt:lpstr>
      <vt:lpstr>2.sz.mell.</vt:lpstr>
      <vt:lpstr>3.sz.mell.</vt:lpstr>
      <vt:lpstr>4.sz.mell.</vt:lpstr>
      <vt:lpstr>5.a sz.mell.</vt:lpstr>
      <vt:lpstr>5 b.sz.mell.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'2.sz.mell.'!Nyomtatási_cím</vt:lpstr>
      <vt:lpstr>'3.sz.mell.'!Nyomtatási_cím</vt:lpstr>
      <vt:lpstr>'11.sz.mell.'!Nyomtatási_terület</vt:lpstr>
      <vt:lpstr>'12.sz.mell.'!Nyomtatási_terület</vt:lpstr>
      <vt:lpstr>'14.sz.mell.'!Nyomtatási_terület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'19.sz.m.'!Nyomtatási_terület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 b.sz.mell.'!Nyomtatási_terület</vt:lpstr>
      <vt:lpstr>'5.a sz.mell.'!Nyomtatási_terület</vt:lpstr>
      <vt:lpstr>'6.sz.mell.'!Nyomtatási_terület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Pénzügy01</cp:lastModifiedBy>
  <cp:lastPrinted>2021-05-26T11:15:42Z</cp:lastPrinted>
  <dcterms:created xsi:type="dcterms:W3CDTF">2015-02-02T07:42:02Z</dcterms:created>
  <dcterms:modified xsi:type="dcterms:W3CDTF">2021-05-26T11:15:46Z</dcterms:modified>
</cp:coreProperties>
</file>