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75" yWindow="90" windowWidth="19425" windowHeight="6210" activeTab="8"/>
  </bookViews>
  <sheets>
    <sheet name="1.tábla " sheetId="42" r:id="rId1"/>
    <sheet name="2.tábla" sheetId="41" r:id="rId2"/>
    <sheet name="2a. tábla" sheetId="82" r:id="rId3"/>
    <sheet name="3.tábla " sheetId="40" r:id="rId4"/>
    <sheet name="4.tábla" sheetId="83" r:id="rId5"/>
    <sheet name="5.tábla" sheetId="50" r:id="rId6"/>
    <sheet name="6.tábla " sheetId="51" r:id="rId7"/>
    <sheet name="7.tábla" sheetId="62" r:id="rId8"/>
    <sheet name="8.tábla" sheetId="67" r:id="rId9"/>
  </sheets>
  <externalReferences>
    <externalReference r:id="rId10"/>
  </externalReferences>
  <definedNames>
    <definedName name="_xlnm.Print_Titles" localSheetId="1">'2.tábla'!$4:$4</definedName>
    <definedName name="_xlnm.Print_Area" localSheetId="0">'1.tábla '!$A$4:$E$35</definedName>
    <definedName name="_xlnm.Print_Area" localSheetId="1">'2.tábla'!$A$4:$E$80</definedName>
    <definedName name="_xlnm.Print_Area" localSheetId="3">'3.tábla '!$A$4:$E$37</definedName>
    <definedName name="_xlnm.Print_Area" localSheetId="5">'5.tábla'!$A$1:$E$38</definedName>
    <definedName name="_xlnm.Print_Area" localSheetId="6">'6.tábla '!$A$1:$J$59</definedName>
    <definedName name="_xlnm.Print_Area" localSheetId="7">'7.tábla'!$A$1:$J$83</definedName>
    <definedName name="_xlnm.Print_Area" localSheetId="8">'8.tábla'!$A$3:$N$36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D8" i="40" l="1"/>
  <c r="E23" i="40"/>
  <c r="E16" i="41"/>
  <c r="D16" i="41"/>
  <c r="E17" i="41"/>
  <c r="E18" i="41"/>
  <c r="D10" i="40" l="1"/>
  <c r="D27" i="42"/>
  <c r="D37" i="50"/>
  <c r="D75" i="41"/>
  <c r="D7" i="40"/>
  <c r="D6" i="40"/>
  <c r="D17" i="41"/>
  <c r="E7" i="40" l="1"/>
  <c r="E9" i="40"/>
  <c r="E10" i="40"/>
  <c r="E6" i="40"/>
  <c r="D19" i="40" l="1"/>
  <c r="D42" i="41" l="1"/>
  <c r="E67" i="41"/>
  <c r="D67" i="41"/>
  <c r="E45" i="41"/>
  <c r="D18" i="40" l="1"/>
  <c r="E79" i="41"/>
  <c r="E80" i="41"/>
  <c r="D11" i="40" l="1"/>
  <c r="E11" i="40" s="1"/>
  <c r="D16" i="40" l="1"/>
  <c r="D15" i="40"/>
  <c r="I11" i="62" l="1"/>
  <c r="H11" i="62"/>
  <c r="J11" i="62" l="1"/>
  <c r="J41" i="62"/>
  <c r="J42" i="62"/>
  <c r="J43" i="62"/>
  <c r="J44" i="62"/>
  <c r="J40" i="62"/>
  <c r="J27" i="62"/>
  <c r="J9" i="62"/>
  <c r="J10" i="62"/>
  <c r="J17" i="62"/>
  <c r="J18" i="62"/>
  <c r="J19" i="62"/>
  <c r="J20" i="62"/>
  <c r="J21" i="62"/>
  <c r="J22" i="62"/>
  <c r="J23" i="62"/>
  <c r="J24" i="62"/>
  <c r="J25" i="62"/>
  <c r="J26" i="62"/>
  <c r="I44" i="62"/>
  <c r="I42" i="62"/>
  <c r="I27" i="62"/>
  <c r="I25" i="62"/>
  <c r="I21" i="62"/>
  <c r="I20" i="62"/>
  <c r="I18" i="62"/>
  <c r="I10" i="62"/>
  <c r="E13" i="62"/>
  <c r="E17" i="62"/>
  <c r="E19" i="62"/>
  <c r="E21" i="62"/>
  <c r="E22" i="62"/>
  <c r="E23" i="62"/>
  <c r="E24" i="62"/>
  <c r="E7" i="62"/>
  <c r="E8" i="62"/>
  <c r="E9" i="62"/>
  <c r="E10" i="62"/>
  <c r="E11" i="62"/>
  <c r="E12" i="62"/>
  <c r="D7" i="62"/>
  <c r="I13" i="51"/>
  <c r="I12" i="62" s="1"/>
  <c r="I8" i="62" s="1"/>
  <c r="H13" i="51"/>
  <c r="H12" i="62" s="1"/>
  <c r="E52" i="51"/>
  <c r="E58" i="51"/>
  <c r="E31" i="51"/>
  <c r="E32" i="51"/>
  <c r="E33" i="51"/>
  <c r="E34" i="51"/>
  <c r="E35" i="51"/>
  <c r="E37" i="51"/>
  <c r="E40" i="51"/>
  <c r="E41" i="51"/>
  <c r="E42" i="51"/>
  <c r="E16" i="51"/>
  <c r="E21" i="51"/>
  <c r="E14" i="51"/>
  <c r="E8" i="51"/>
  <c r="E9" i="51"/>
  <c r="E10" i="51"/>
  <c r="E11" i="51"/>
  <c r="E12" i="51"/>
  <c r="E13" i="51"/>
  <c r="J50" i="51"/>
  <c r="J55" i="51"/>
  <c r="J56" i="51"/>
  <c r="J57" i="51"/>
  <c r="J58" i="51"/>
  <c r="J43" i="51"/>
  <c r="J37" i="51"/>
  <c r="J36" i="51"/>
  <c r="J29" i="51"/>
  <c r="J30" i="51"/>
  <c r="J31" i="51"/>
  <c r="J32" i="51"/>
  <c r="J33" i="51"/>
  <c r="J34" i="51"/>
  <c r="J35" i="51"/>
  <c r="J28" i="51"/>
  <c r="J21" i="51"/>
  <c r="J22" i="51"/>
  <c r="J19" i="51"/>
  <c r="J20" i="51"/>
  <c r="J10" i="51"/>
  <c r="J11" i="51"/>
  <c r="J12" i="51"/>
  <c r="J13" i="51"/>
  <c r="I12" i="51"/>
  <c r="J12" i="62" l="1"/>
  <c r="E36" i="40"/>
  <c r="I55" i="51"/>
  <c r="I50" i="51"/>
  <c r="D58" i="51"/>
  <c r="D55" i="51"/>
  <c r="I43" i="51"/>
  <c r="I38" i="51"/>
  <c r="I36" i="51"/>
  <c r="I33" i="51"/>
  <c r="I31" i="51" s="1"/>
  <c r="I30" i="51"/>
  <c r="I28" i="51"/>
  <c r="I18" i="51"/>
  <c r="I11" i="51"/>
  <c r="I9" i="51" s="1"/>
  <c r="I6" i="51"/>
  <c r="I5" i="51"/>
  <c r="D22" i="51"/>
  <c r="D20" i="51"/>
  <c r="D18" i="51"/>
  <c r="I17" i="51" l="1"/>
  <c r="J18" i="51"/>
  <c r="I5" i="62"/>
  <c r="I4" i="62"/>
  <c r="D19" i="51"/>
  <c r="D17" i="51"/>
  <c r="I15" i="62" l="1"/>
  <c r="J17" i="51"/>
  <c r="I54" i="51"/>
  <c r="I53" i="51" s="1"/>
  <c r="D26" i="62"/>
  <c r="D57" i="51"/>
  <c r="D54" i="51"/>
  <c r="J15" i="62" l="1"/>
  <c r="J54" i="51"/>
  <c r="J53" i="51" s="1"/>
  <c r="D53" i="51"/>
  <c r="D56" i="51"/>
  <c r="D6" i="50"/>
  <c r="D3" i="50" s="1"/>
  <c r="E23" i="50"/>
  <c r="D23" i="50"/>
  <c r="C6" i="50"/>
  <c r="E9" i="50"/>
  <c r="D32" i="40"/>
  <c r="E32" i="40"/>
  <c r="C32" i="40"/>
  <c r="D64" i="41"/>
  <c r="D30" i="51" l="1"/>
  <c r="D20" i="62" s="1"/>
  <c r="E20" i="62" s="1"/>
  <c r="D12" i="42"/>
  <c r="D15" i="62"/>
  <c r="E6" i="50"/>
  <c r="E3" i="50" s="1"/>
  <c r="E30" i="50" l="1"/>
  <c r="E29" i="50"/>
  <c r="C35" i="40" l="1"/>
  <c r="D35" i="40"/>
  <c r="B35" i="40"/>
  <c r="D9" i="83"/>
  <c r="E19" i="41" l="1"/>
  <c r="D73" i="41" l="1"/>
  <c r="D15" i="42" s="1"/>
  <c r="D33" i="42"/>
  <c r="D34" i="42" s="1"/>
  <c r="D26" i="42"/>
  <c r="I14" i="51" s="1"/>
  <c r="E18" i="42"/>
  <c r="E25" i="42"/>
  <c r="E29" i="42"/>
  <c r="D70" i="41"/>
  <c r="D77" i="41" s="1"/>
  <c r="D51" i="41"/>
  <c r="D55" i="41"/>
  <c r="D29" i="51" s="1"/>
  <c r="D47" i="41"/>
  <c r="D9" i="42"/>
  <c r="D7" i="51" s="1"/>
  <c r="D37" i="41"/>
  <c r="D34" i="41"/>
  <c r="D33" i="41" s="1"/>
  <c r="D30" i="41"/>
  <c r="E31" i="41"/>
  <c r="E32" i="41"/>
  <c r="E35" i="41"/>
  <c r="E36" i="41"/>
  <c r="E38" i="41"/>
  <c r="E39" i="41"/>
  <c r="E40" i="41"/>
  <c r="E41" i="41"/>
  <c r="E43" i="41"/>
  <c r="E44" i="41"/>
  <c r="E46" i="41"/>
  <c r="E48" i="41"/>
  <c r="E49" i="41"/>
  <c r="E50" i="41"/>
  <c r="E52" i="41"/>
  <c r="E53" i="41"/>
  <c r="E54" i="41"/>
  <c r="E56" i="41"/>
  <c r="E57" i="41"/>
  <c r="E58" i="41"/>
  <c r="E59" i="41"/>
  <c r="E61" i="41"/>
  <c r="E62" i="41"/>
  <c r="E63" i="41"/>
  <c r="E64" i="41"/>
  <c r="E65" i="41"/>
  <c r="E66" i="41"/>
  <c r="E71" i="41"/>
  <c r="E72" i="41"/>
  <c r="E74" i="41"/>
  <c r="E75" i="41"/>
  <c r="E76" i="41"/>
  <c r="E22" i="41"/>
  <c r="E23" i="41"/>
  <c r="E24" i="41"/>
  <c r="E25" i="41"/>
  <c r="E26" i="41"/>
  <c r="E27" i="41"/>
  <c r="E28" i="41"/>
  <c r="D21" i="41"/>
  <c r="D20" i="41" s="1"/>
  <c r="D28" i="51" s="1"/>
  <c r="D36" i="51" s="1"/>
  <c r="D9" i="41"/>
  <c r="D8" i="41"/>
  <c r="E10" i="41"/>
  <c r="E11" i="41"/>
  <c r="E12" i="41"/>
  <c r="E13" i="41"/>
  <c r="E14" i="41"/>
  <c r="E15" i="41"/>
  <c r="G43" i="82"/>
  <c r="G41" i="82"/>
  <c r="G37" i="82"/>
  <c r="G34" i="82"/>
  <c r="G22" i="82"/>
  <c r="G19" i="82"/>
  <c r="G10" i="82"/>
  <c r="G6" i="82" s="1"/>
  <c r="G5" i="82" s="1"/>
  <c r="G8" i="82"/>
  <c r="G7" i="82" s="1"/>
  <c r="H8" i="82"/>
  <c r="H9" i="82"/>
  <c r="H10" i="82"/>
  <c r="H11" i="82"/>
  <c r="H12" i="82"/>
  <c r="H13" i="82"/>
  <c r="H14" i="82"/>
  <c r="H15" i="82"/>
  <c r="H16" i="82"/>
  <c r="H17" i="82"/>
  <c r="H18" i="82"/>
  <c r="H19" i="82"/>
  <c r="H20" i="82"/>
  <c r="H21" i="82"/>
  <c r="H22" i="82"/>
  <c r="H23" i="82"/>
  <c r="H24" i="82"/>
  <c r="H25" i="82"/>
  <c r="H26" i="82"/>
  <c r="H27" i="82"/>
  <c r="H28" i="82"/>
  <c r="H29" i="82"/>
  <c r="H30" i="82"/>
  <c r="H31" i="82"/>
  <c r="H32" i="82"/>
  <c r="H34" i="82"/>
  <c r="H35" i="82"/>
  <c r="H36" i="82"/>
  <c r="H37" i="82"/>
  <c r="H38" i="82"/>
  <c r="H39" i="82"/>
  <c r="H40" i="82"/>
  <c r="H41" i="82"/>
  <c r="H42" i="82"/>
  <c r="H43" i="82"/>
  <c r="H44" i="82"/>
  <c r="H45" i="82"/>
  <c r="D17" i="40"/>
  <c r="D27" i="40"/>
  <c r="D25" i="40"/>
  <c r="I8" i="51" s="1"/>
  <c r="I7" i="62" s="1"/>
  <c r="D22" i="40"/>
  <c r="E12" i="40"/>
  <c r="E13" i="40"/>
  <c r="E14" i="40"/>
  <c r="E15" i="40"/>
  <c r="E16" i="40"/>
  <c r="E18" i="40"/>
  <c r="E19" i="40"/>
  <c r="E20" i="40"/>
  <c r="E21" i="40"/>
  <c r="E26" i="40"/>
  <c r="E28" i="40"/>
  <c r="E29" i="40"/>
  <c r="E30" i="40"/>
  <c r="E31" i="40"/>
  <c r="E33" i="40"/>
  <c r="E34" i="40"/>
  <c r="E27" i="40" s="1"/>
  <c r="E35" i="40"/>
  <c r="E9" i="83"/>
  <c r="D3" i="83"/>
  <c r="E4" i="83"/>
  <c r="E5" i="83"/>
  <c r="E6" i="83"/>
  <c r="E7" i="83"/>
  <c r="E8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3" i="83"/>
  <c r="D34" i="50"/>
  <c r="D32" i="50"/>
  <c r="D24" i="42" s="1"/>
  <c r="D31" i="50"/>
  <c r="D15" i="50"/>
  <c r="D4" i="50"/>
  <c r="E5" i="50"/>
  <c r="E7" i="50"/>
  <c r="E8" i="50"/>
  <c r="E10" i="50"/>
  <c r="E11" i="50"/>
  <c r="E12" i="50"/>
  <c r="E13" i="50"/>
  <c r="E14" i="50"/>
  <c r="E16" i="50"/>
  <c r="E17" i="50"/>
  <c r="E18" i="50"/>
  <c r="E19" i="50"/>
  <c r="E20" i="50"/>
  <c r="E21" i="50"/>
  <c r="E24" i="50"/>
  <c r="E25" i="50"/>
  <c r="E26" i="50"/>
  <c r="E27" i="50"/>
  <c r="E28" i="50"/>
  <c r="E33" i="50"/>
  <c r="E35" i="50"/>
  <c r="E36" i="50"/>
  <c r="E37" i="50"/>
  <c r="I7" i="51" l="1"/>
  <c r="I15" i="51" s="1"/>
  <c r="D50" i="51"/>
  <c r="D43" i="51"/>
  <c r="I37" i="51"/>
  <c r="D6" i="62"/>
  <c r="I13" i="62"/>
  <c r="I6" i="62"/>
  <c r="D14" i="42"/>
  <c r="D16" i="42" s="1"/>
  <c r="D7" i="42"/>
  <c r="D18" i="62" s="1"/>
  <c r="D22" i="50"/>
  <c r="D37" i="40"/>
  <c r="D20" i="42" s="1"/>
  <c r="D19" i="42" s="1"/>
  <c r="D24" i="83"/>
  <c r="E24" i="83" s="1"/>
  <c r="D7" i="41"/>
  <c r="D6" i="41" s="1"/>
  <c r="D5" i="41" s="1"/>
  <c r="G46" i="82"/>
  <c r="D29" i="41"/>
  <c r="G33" i="82"/>
  <c r="H33" i="82" s="1"/>
  <c r="H7" i="82"/>
  <c r="H22" i="67"/>
  <c r="C27" i="42"/>
  <c r="E27" i="42" s="1"/>
  <c r="E26" i="42" s="1"/>
  <c r="C22" i="40"/>
  <c r="E22" i="40" s="1"/>
  <c r="C51" i="41"/>
  <c r="E51" i="41" s="1"/>
  <c r="C47" i="41"/>
  <c r="E47" i="41" s="1"/>
  <c r="D25" i="62" l="1"/>
  <c r="I23" i="51"/>
  <c r="I49" i="51"/>
  <c r="I51" i="51" s="1"/>
  <c r="I14" i="62"/>
  <c r="I16" i="62" s="1"/>
  <c r="D8" i="42"/>
  <c r="D6" i="51" s="1"/>
  <c r="D23" i="42"/>
  <c r="D22" i="42"/>
  <c r="D21" i="42" s="1"/>
  <c r="D30" i="42" s="1"/>
  <c r="D35" i="42" s="1"/>
  <c r="D38" i="50"/>
  <c r="D69" i="41"/>
  <c r="D6" i="42"/>
  <c r="M22" i="67"/>
  <c r="L22" i="67"/>
  <c r="K22" i="67"/>
  <c r="J22" i="67"/>
  <c r="I22" i="67"/>
  <c r="G22" i="67"/>
  <c r="F22" i="67"/>
  <c r="E22" i="67"/>
  <c r="D22" i="67"/>
  <c r="C22" i="67"/>
  <c r="B22" i="67"/>
  <c r="M21" i="67"/>
  <c r="L21" i="67"/>
  <c r="K21" i="67"/>
  <c r="J21" i="67"/>
  <c r="I21" i="67"/>
  <c r="H21" i="67"/>
  <c r="G21" i="67"/>
  <c r="F21" i="67"/>
  <c r="E21" i="67"/>
  <c r="D21" i="67"/>
  <c r="C21" i="67"/>
  <c r="B21" i="67"/>
  <c r="M20" i="67"/>
  <c r="L20" i="67"/>
  <c r="K20" i="67"/>
  <c r="J20" i="67"/>
  <c r="I20" i="67"/>
  <c r="H20" i="67"/>
  <c r="G20" i="67"/>
  <c r="F20" i="67"/>
  <c r="E20" i="67"/>
  <c r="D20" i="67"/>
  <c r="C20" i="67"/>
  <c r="B20" i="67"/>
  <c r="D5" i="62" l="1"/>
  <c r="D27" i="62"/>
  <c r="D13" i="42"/>
  <c r="D17" i="42" s="1"/>
  <c r="D5" i="51"/>
  <c r="I59" i="51"/>
  <c r="I83" i="62"/>
  <c r="I28" i="62"/>
  <c r="D78" i="41"/>
  <c r="M17" i="67"/>
  <c r="L17" i="67"/>
  <c r="K17" i="67"/>
  <c r="J17" i="67"/>
  <c r="I17" i="67"/>
  <c r="H17" i="67"/>
  <c r="G17" i="67"/>
  <c r="F17" i="67"/>
  <c r="E17" i="67"/>
  <c r="D17" i="67"/>
  <c r="C17" i="67"/>
  <c r="G8" i="67"/>
  <c r="M7" i="67"/>
  <c r="L7" i="67"/>
  <c r="K7" i="67"/>
  <c r="J7" i="67"/>
  <c r="I7" i="67"/>
  <c r="H7" i="67"/>
  <c r="G7" i="67"/>
  <c r="F7" i="67"/>
  <c r="E7" i="67"/>
  <c r="D7" i="67"/>
  <c r="C7" i="67"/>
  <c r="B7" i="67"/>
  <c r="B8" i="67"/>
  <c r="C8" i="67"/>
  <c r="D8" i="67"/>
  <c r="E8" i="67"/>
  <c r="F8" i="67"/>
  <c r="H8" i="67"/>
  <c r="D4" i="62" l="1"/>
  <c r="D15" i="51"/>
  <c r="F41" i="82"/>
  <c r="D49" i="51" l="1"/>
  <c r="D23" i="51"/>
  <c r="I16" i="51"/>
  <c r="D14" i="62"/>
  <c r="C17" i="40"/>
  <c r="E17" i="40" s="1"/>
  <c r="D51" i="51" l="1"/>
  <c r="D16" i="62"/>
  <c r="B4" i="50"/>
  <c r="C4" i="50"/>
  <c r="E4" i="50" s="1"/>
  <c r="C27" i="40"/>
  <c r="D59" i="51" l="1"/>
  <c r="I52" i="51"/>
  <c r="D28" i="62"/>
  <c r="D83" i="62"/>
  <c r="I30" i="42"/>
  <c r="C31" i="50" l="1"/>
  <c r="E31" i="50" s="1"/>
  <c r="C28" i="42" l="1"/>
  <c r="E28" i="42" s="1"/>
  <c r="D33" i="67" l="1"/>
  <c r="C33" i="67"/>
  <c r="B33" i="67"/>
  <c r="M31" i="67"/>
  <c r="L31" i="67"/>
  <c r="K31" i="67"/>
  <c r="J31" i="67"/>
  <c r="I31" i="67"/>
  <c r="H31" i="67"/>
  <c r="G31" i="67"/>
  <c r="F31" i="67"/>
  <c r="E31" i="67"/>
  <c r="D31" i="67"/>
  <c r="C31" i="67"/>
  <c r="B31" i="67"/>
  <c r="M25" i="67"/>
  <c r="L25" i="67"/>
  <c r="K25" i="67"/>
  <c r="J25" i="67"/>
  <c r="I25" i="67"/>
  <c r="H25" i="67"/>
  <c r="G25" i="67"/>
  <c r="F25" i="67"/>
  <c r="E25" i="67"/>
  <c r="D25" i="67"/>
  <c r="C25" i="67"/>
  <c r="B25" i="67"/>
  <c r="M23" i="67"/>
  <c r="L23" i="67"/>
  <c r="K23" i="67"/>
  <c r="J23" i="67"/>
  <c r="I23" i="67"/>
  <c r="H23" i="67"/>
  <c r="G23" i="67"/>
  <c r="F23" i="67"/>
  <c r="E23" i="67"/>
  <c r="D23" i="67"/>
  <c r="C23" i="67"/>
  <c r="B23" i="67"/>
  <c r="M27" i="67"/>
  <c r="L27" i="67"/>
  <c r="K27" i="67"/>
  <c r="J27" i="67"/>
  <c r="I27" i="67"/>
  <c r="H27" i="67"/>
  <c r="G27" i="67"/>
  <c r="F27" i="67"/>
  <c r="E27" i="67"/>
  <c r="D27" i="67"/>
  <c r="C27" i="67"/>
  <c r="B27" i="67"/>
  <c r="B17" i="67"/>
  <c r="M15" i="67"/>
  <c r="L15" i="67"/>
  <c r="K15" i="67"/>
  <c r="J15" i="67"/>
  <c r="I15" i="67"/>
  <c r="H15" i="67"/>
  <c r="G15" i="67"/>
  <c r="F15" i="67"/>
  <c r="E15" i="67"/>
  <c r="D15" i="67"/>
  <c r="C15" i="67"/>
  <c r="B15" i="67"/>
  <c r="M9" i="67"/>
  <c r="L9" i="67"/>
  <c r="K9" i="67"/>
  <c r="I9" i="67"/>
  <c r="H9" i="67"/>
  <c r="G9" i="67"/>
  <c r="E9" i="67"/>
  <c r="D9" i="67"/>
  <c r="C9" i="67"/>
  <c r="B9" i="67"/>
  <c r="M8" i="67"/>
  <c r="L8" i="67"/>
  <c r="K8" i="67"/>
  <c r="J8" i="67"/>
  <c r="I8" i="67"/>
  <c r="M11" i="67"/>
  <c r="L11" i="67"/>
  <c r="K11" i="67"/>
  <c r="J11" i="67"/>
  <c r="I11" i="67"/>
  <c r="H11" i="67"/>
  <c r="G11" i="67"/>
  <c r="F11" i="67"/>
  <c r="E11" i="67"/>
  <c r="D11" i="67"/>
  <c r="C11" i="67"/>
  <c r="B11" i="67"/>
  <c r="B9" i="83"/>
  <c r="B23" i="50"/>
  <c r="B15" i="50"/>
  <c r="B6" i="40"/>
  <c r="B21" i="41"/>
  <c r="B20" i="41" s="1"/>
  <c r="F6" i="82" l="1"/>
  <c r="H6" i="82" s="1"/>
  <c r="E5" i="82"/>
  <c r="E6" i="82"/>
  <c r="F5" i="82" l="1"/>
  <c r="H5" i="82" s="1"/>
  <c r="C21" i="41"/>
  <c r="C23" i="50"/>
  <c r="E21" i="41" l="1"/>
  <c r="C20" i="41"/>
  <c r="E20" i="41" s="1"/>
  <c r="O21" i="67"/>
  <c r="O20" i="67"/>
  <c r="J45" i="62"/>
  <c r="J46" i="62"/>
  <c r="J47" i="62"/>
  <c r="J48" i="62"/>
  <c r="J49" i="62"/>
  <c r="J50" i="62"/>
  <c r="J51" i="62"/>
  <c r="J52" i="62"/>
  <c r="J53" i="62"/>
  <c r="J55" i="62"/>
  <c r="H54" i="62"/>
  <c r="H42" i="62"/>
  <c r="H9" i="62"/>
  <c r="C7" i="62"/>
  <c r="H38" i="51"/>
  <c r="H26" i="62" s="1"/>
  <c r="H33" i="51"/>
  <c r="G33" i="51"/>
  <c r="H31" i="51"/>
  <c r="H21" i="62" s="1"/>
  <c r="G31" i="51"/>
  <c r="J39" i="51"/>
  <c r="J40" i="51"/>
  <c r="J41" i="51"/>
  <c r="J42" i="51"/>
  <c r="H18" i="51"/>
  <c r="H17" i="51" s="1"/>
  <c r="H15" i="62" s="1"/>
  <c r="H6" i="51"/>
  <c r="H5" i="51"/>
  <c r="C40" i="51"/>
  <c r="C58" i="51" s="1"/>
  <c r="C39" i="51"/>
  <c r="C30" i="51"/>
  <c r="E30" i="51" s="1"/>
  <c r="C28" i="51"/>
  <c r="E28" i="51" s="1"/>
  <c r="C22" i="51"/>
  <c r="E22" i="51" s="1"/>
  <c r="C20" i="51"/>
  <c r="E20" i="51" s="1"/>
  <c r="C18" i="51"/>
  <c r="H4" i="62" l="1"/>
  <c r="J4" i="62" s="1"/>
  <c r="J5" i="51"/>
  <c r="H5" i="62"/>
  <c r="J5" i="62" s="1"/>
  <c r="J6" i="51"/>
  <c r="C38" i="51"/>
  <c r="E39" i="51"/>
  <c r="C17" i="51"/>
  <c r="E18" i="51"/>
  <c r="H44" i="62"/>
  <c r="H56" i="62"/>
  <c r="H55" i="51"/>
  <c r="H54" i="51"/>
  <c r="C19" i="51"/>
  <c r="E19" i="51" s="1"/>
  <c r="C54" i="51" l="1"/>
  <c r="E17" i="51"/>
  <c r="C55" i="51"/>
  <c r="E55" i="51" s="1"/>
  <c r="E38" i="51"/>
  <c r="C57" i="51"/>
  <c r="C26" i="62"/>
  <c r="E26" i="62" s="1"/>
  <c r="H53" i="51"/>
  <c r="C56" i="51" l="1"/>
  <c r="E56" i="51" s="1"/>
  <c r="E57" i="51"/>
  <c r="E54" i="51"/>
  <c r="C53" i="51"/>
  <c r="C8" i="40"/>
  <c r="E8" i="40" s="1"/>
  <c r="C9" i="83"/>
  <c r="C3" i="83"/>
  <c r="C15" i="50"/>
  <c r="C15" i="62" l="1"/>
  <c r="E15" i="62" s="1"/>
  <c r="E53" i="51"/>
  <c r="C3" i="50"/>
  <c r="E15" i="50"/>
  <c r="O28" i="67"/>
  <c r="H28" i="51"/>
  <c r="H18" i="62" s="1"/>
  <c r="H12" i="51"/>
  <c r="O24" i="67"/>
  <c r="H11" i="51"/>
  <c r="O25" i="67"/>
  <c r="O22" i="67"/>
  <c r="H7" i="51"/>
  <c r="H6" i="62" l="1"/>
  <c r="J6" i="62" s="1"/>
  <c r="J7" i="51"/>
  <c r="H10" i="62"/>
  <c r="H8" i="62" s="1"/>
  <c r="J8" i="62" s="1"/>
  <c r="H9" i="51"/>
  <c r="J9" i="51" s="1"/>
  <c r="C32" i="42"/>
  <c r="E32" i="42" s="1"/>
  <c r="C31" i="42"/>
  <c r="E31" i="42" s="1"/>
  <c r="C26" i="42"/>
  <c r="C12" i="42"/>
  <c r="C73" i="41"/>
  <c r="E73" i="41" s="1"/>
  <c r="C70" i="41"/>
  <c r="E70" i="41" s="1"/>
  <c r="C60" i="41"/>
  <c r="C55" i="41"/>
  <c r="C42" i="41"/>
  <c r="C37" i="41"/>
  <c r="E37" i="41" s="1"/>
  <c r="C34" i="41"/>
  <c r="E34" i="41" s="1"/>
  <c r="C30" i="41"/>
  <c r="E30" i="41" s="1"/>
  <c r="C7" i="42"/>
  <c r="E7" i="42" s="1"/>
  <c r="C16" i="41"/>
  <c r="F43" i="82"/>
  <c r="C9" i="41" s="1"/>
  <c r="E9" i="41" s="1"/>
  <c r="F37" i="82"/>
  <c r="F34" i="82"/>
  <c r="F25" i="82"/>
  <c r="F22" i="82"/>
  <c r="F19" i="82"/>
  <c r="F10" i="82"/>
  <c r="C25" i="40"/>
  <c r="E25" i="40" s="1"/>
  <c r="C22" i="50"/>
  <c r="E22" i="50" s="1"/>
  <c r="C10" i="42" l="1"/>
  <c r="E10" i="42" s="1"/>
  <c r="E55" i="41"/>
  <c r="C29" i="51"/>
  <c r="C9" i="42"/>
  <c r="E9" i="42" s="1"/>
  <c r="E42" i="41"/>
  <c r="C11" i="42"/>
  <c r="E11" i="42" s="1"/>
  <c r="E60" i="41"/>
  <c r="O13" i="67"/>
  <c r="E12" i="42"/>
  <c r="O10" i="67"/>
  <c r="O23" i="67"/>
  <c r="H8" i="51"/>
  <c r="O26" i="67"/>
  <c r="H14" i="51"/>
  <c r="J14" i="51" s="1"/>
  <c r="O12" i="67"/>
  <c r="C18" i="62"/>
  <c r="C23" i="42"/>
  <c r="E23" i="42" s="1"/>
  <c r="O29" i="67"/>
  <c r="H30" i="51"/>
  <c r="C15" i="42"/>
  <c r="C77" i="41"/>
  <c r="E77" i="41" s="1"/>
  <c r="C14" i="42"/>
  <c r="C37" i="40"/>
  <c r="C24" i="83"/>
  <c r="C32" i="50"/>
  <c r="E32" i="50" s="1"/>
  <c r="C33" i="41"/>
  <c r="E33" i="41" s="1"/>
  <c r="F33" i="82"/>
  <c r="H7" i="62" l="1"/>
  <c r="J7" i="62" s="1"/>
  <c r="J8" i="51"/>
  <c r="O8" i="67"/>
  <c r="C36" i="51"/>
  <c r="E36" i="51" s="1"/>
  <c r="E29" i="51"/>
  <c r="C25" i="62"/>
  <c r="E18" i="62"/>
  <c r="C7" i="51"/>
  <c r="E37" i="40"/>
  <c r="C20" i="42"/>
  <c r="E20" i="42" s="1"/>
  <c r="O17" i="67"/>
  <c r="E15" i="42"/>
  <c r="O18" i="67"/>
  <c r="E14" i="42"/>
  <c r="C8" i="41"/>
  <c r="E8" i="41" s="1"/>
  <c r="C24" i="42"/>
  <c r="E24" i="42" s="1"/>
  <c r="O30" i="67"/>
  <c r="H13" i="62"/>
  <c r="H15" i="51"/>
  <c r="H49" i="51" s="1"/>
  <c r="J49" i="51" s="1"/>
  <c r="C16" i="42"/>
  <c r="E16" i="42" s="1"/>
  <c r="H20" i="62"/>
  <c r="H25" i="62" s="1"/>
  <c r="H27" i="62" s="1"/>
  <c r="H36" i="51"/>
  <c r="C22" i="42"/>
  <c r="C29" i="41"/>
  <c r="E29" i="41" s="1"/>
  <c r="C43" i="51" l="1"/>
  <c r="E43" i="51" s="1"/>
  <c r="C50" i="51"/>
  <c r="E50" i="51" s="1"/>
  <c r="H14" i="62"/>
  <c r="J13" i="62"/>
  <c r="C6" i="62"/>
  <c r="E6" i="62" s="1"/>
  <c r="E7" i="51"/>
  <c r="C27" i="62"/>
  <c r="E27" i="62" s="1"/>
  <c r="E25" i="62"/>
  <c r="H16" i="62"/>
  <c r="J16" i="62" s="1"/>
  <c r="J14" i="62"/>
  <c r="C19" i="42"/>
  <c r="E19" i="42" s="1"/>
  <c r="C21" i="42"/>
  <c r="E21" i="42" s="1"/>
  <c r="E22" i="42"/>
  <c r="C30" i="42"/>
  <c r="H23" i="51"/>
  <c r="J23" i="51" s="1"/>
  <c r="H43" i="51"/>
  <c r="H50" i="51"/>
  <c r="H37" i="51"/>
  <c r="H28" i="62"/>
  <c r="J28" i="62" s="1"/>
  <c r="H83" i="62"/>
  <c r="C8" i="42"/>
  <c r="E8" i="42" s="1"/>
  <c r="E30" i="42" l="1"/>
  <c r="H51" i="51"/>
  <c r="O9" i="67"/>
  <c r="C6" i="51"/>
  <c r="B6" i="50"/>
  <c r="B3" i="50" s="1"/>
  <c r="C5" i="62" l="1"/>
  <c r="E5" i="62" s="1"/>
  <c r="E6" i="51"/>
  <c r="H59" i="51"/>
  <c r="J59" i="51" s="1"/>
  <c r="J51" i="51"/>
  <c r="B26" i="42"/>
  <c r="B25" i="40"/>
  <c r="C33" i="42" l="1"/>
  <c r="C34" i="50"/>
  <c r="B32" i="50"/>
  <c r="O33" i="67" l="1"/>
  <c r="E34" i="50"/>
  <c r="C34" i="42"/>
  <c r="E33" i="42"/>
  <c r="C38" i="50"/>
  <c r="E38" i="50" s="1"/>
  <c r="B24" i="42"/>
  <c r="C35" i="42" l="1"/>
  <c r="E34" i="42"/>
  <c r="B16" i="41"/>
  <c r="E35" i="42" l="1"/>
  <c r="C40" i="42"/>
  <c r="B32" i="67"/>
  <c r="B34" i="67" l="1"/>
  <c r="B55" i="62" l="1"/>
  <c r="B48" i="62"/>
  <c r="B47" i="62"/>
  <c r="B34" i="62"/>
  <c r="B7" i="62"/>
  <c r="G38" i="51"/>
  <c r="J38" i="51" s="1"/>
  <c r="G21" i="51"/>
  <c r="G18" i="51" l="1"/>
  <c r="G6" i="51"/>
  <c r="G5" i="51"/>
  <c r="B18" i="51"/>
  <c r="B39" i="51"/>
  <c r="B22" i="51"/>
  <c r="B20" i="51"/>
  <c r="B37" i="41"/>
  <c r="B22" i="50"/>
  <c r="B8" i="40"/>
  <c r="B33" i="42"/>
  <c r="B32" i="42"/>
  <c r="B31" i="42"/>
  <c r="B34" i="50"/>
  <c r="B73" i="41"/>
  <c r="B70" i="41"/>
  <c r="B64" i="41"/>
  <c r="B55" i="41"/>
  <c r="B48" i="41"/>
  <c r="B34" i="41"/>
  <c r="B30" i="41"/>
  <c r="E25" i="82"/>
  <c r="G17" i="51" l="1"/>
  <c r="B38" i="51"/>
  <c r="B77" i="41"/>
  <c r="B33" i="41"/>
  <c r="B29" i="41" s="1"/>
  <c r="B42" i="41"/>
  <c r="B30" i="51"/>
  <c r="B15" i="42"/>
  <c r="B14" i="42"/>
  <c r="F38" i="50"/>
  <c r="B34" i="42"/>
  <c r="G30" i="51"/>
  <c r="G28" i="51"/>
  <c r="O31" i="67"/>
  <c r="B38" i="50"/>
  <c r="B23" i="42"/>
  <c r="B22" i="42"/>
  <c r="G8" i="51"/>
  <c r="G7" i="51"/>
  <c r="B12" i="42"/>
  <c r="B10" i="42"/>
  <c r="B29" i="51"/>
  <c r="B7" i="42"/>
  <c r="B28" i="51"/>
  <c r="G14" i="51"/>
  <c r="B9" i="42" l="1"/>
  <c r="G6" i="62"/>
  <c r="G18" i="62"/>
  <c r="G15" i="62"/>
  <c r="B19" i="62"/>
  <c r="B20" i="62"/>
  <c r="B55" i="51"/>
  <c r="B16" i="42"/>
  <c r="B18" i="62"/>
  <c r="O15" i="67"/>
  <c r="B7" i="51"/>
  <c r="B8" i="42"/>
  <c r="B6" i="62" l="1"/>
  <c r="B6" i="51"/>
  <c r="B5" i="62" l="1"/>
  <c r="N33" i="67" l="1"/>
  <c r="P33" i="67" s="1"/>
  <c r="E16" i="67"/>
  <c r="E19" i="67" s="1"/>
  <c r="K16" i="67"/>
  <c r="K19" i="67" s="1"/>
  <c r="N35" i="67"/>
  <c r="N30" i="67"/>
  <c r="P30" i="67" s="1"/>
  <c r="N29" i="67"/>
  <c r="P29" i="67" s="1"/>
  <c r="N28" i="67"/>
  <c r="P28" i="67" s="1"/>
  <c r="N26" i="67"/>
  <c r="P26" i="67" s="1"/>
  <c r="N25" i="67"/>
  <c r="N24" i="67"/>
  <c r="N23" i="67"/>
  <c r="P23" i="67" s="1"/>
  <c r="N22" i="67"/>
  <c r="P22" i="67" s="1"/>
  <c r="N21" i="67"/>
  <c r="P21" i="67" s="1"/>
  <c r="N20" i="67"/>
  <c r="P20" i="67" s="1"/>
  <c r="N18" i="67"/>
  <c r="P18" i="67" s="1"/>
  <c r="N17" i="67"/>
  <c r="P17" i="67" s="1"/>
  <c r="N14" i="67"/>
  <c r="P14" i="67" s="1"/>
  <c r="N13" i="67"/>
  <c r="P13" i="67" s="1"/>
  <c r="N12" i="67"/>
  <c r="P12" i="67" s="1"/>
  <c r="N10" i="67"/>
  <c r="N9" i="67"/>
  <c r="P9" i="67" s="1"/>
  <c r="N8" i="67"/>
  <c r="P8" i="67" s="1"/>
  <c r="N7" i="67"/>
  <c r="G20" i="62"/>
  <c r="G13" i="62"/>
  <c r="G12" i="62"/>
  <c r="G9" i="62"/>
  <c r="G7" i="62"/>
  <c r="G5" i="62"/>
  <c r="G4" i="62"/>
  <c r="G26" i="62"/>
  <c r="P24" i="67" l="1"/>
  <c r="N31" i="67"/>
  <c r="P31" i="67" s="1"/>
  <c r="N27" i="67"/>
  <c r="G40" i="62"/>
  <c r="G12" i="51"/>
  <c r="C32" i="67"/>
  <c r="E32" i="67"/>
  <c r="E34" i="67" s="1"/>
  <c r="G32" i="67"/>
  <c r="G34" i="67" s="1"/>
  <c r="I32" i="67"/>
  <c r="I34" i="67" s="1"/>
  <c r="K32" i="67"/>
  <c r="K34" i="67" s="1"/>
  <c r="M32" i="67"/>
  <c r="M34" i="67" s="1"/>
  <c r="D32" i="67"/>
  <c r="D34" i="67" s="1"/>
  <c r="F32" i="67"/>
  <c r="F34" i="67" s="1"/>
  <c r="H32" i="67"/>
  <c r="H34" i="67" s="1"/>
  <c r="J32" i="67"/>
  <c r="J34" i="67" s="1"/>
  <c r="L32" i="67"/>
  <c r="L34" i="67" s="1"/>
  <c r="L16" i="67"/>
  <c r="L19" i="67" s="1"/>
  <c r="J16" i="67"/>
  <c r="J19" i="67" s="1"/>
  <c r="H16" i="67"/>
  <c r="H19" i="67" s="1"/>
  <c r="F16" i="67"/>
  <c r="F19" i="67" s="1"/>
  <c r="D16" i="67"/>
  <c r="D19" i="67" s="1"/>
  <c r="M16" i="67"/>
  <c r="M19" i="67" s="1"/>
  <c r="I16" i="67"/>
  <c r="I19" i="67" s="1"/>
  <c r="G16" i="67"/>
  <c r="G19" i="67" s="1"/>
  <c r="C16" i="67"/>
  <c r="C19" i="67" s="1"/>
  <c r="N15" i="67"/>
  <c r="P15" i="67" s="1"/>
  <c r="N11" i="67"/>
  <c r="B16" i="67"/>
  <c r="B36" i="67" s="1"/>
  <c r="G11" i="62" l="1"/>
  <c r="N32" i="67"/>
  <c r="C34" i="67"/>
  <c r="N34" i="67" s="1"/>
  <c r="C6" i="67"/>
  <c r="B19" i="67"/>
  <c r="N16" i="67"/>
  <c r="C36" i="67" l="1"/>
  <c r="D6" i="67" s="1"/>
  <c r="D36" i="67" s="1"/>
  <c r="N19" i="67"/>
  <c r="N36" i="67" l="1"/>
  <c r="E6" i="67"/>
  <c r="E36" i="67" s="1"/>
  <c r="G21" i="62"/>
  <c r="B3" i="83"/>
  <c r="G11" i="51" l="1"/>
  <c r="B24" i="83"/>
  <c r="F6" i="67"/>
  <c r="F36" i="67" s="1"/>
  <c r="G9" i="51" l="1"/>
  <c r="B27" i="40"/>
  <c r="B37" i="40" s="1"/>
  <c r="G10" i="62"/>
  <c r="O27" i="67"/>
  <c r="P25" i="67"/>
  <c r="G6" i="67"/>
  <c r="G36" i="67" s="1"/>
  <c r="E37" i="82"/>
  <c r="G8" i="62" l="1"/>
  <c r="G14" i="62"/>
  <c r="G15" i="51"/>
  <c r="J15" i="51" s="1"/>
  <c r="B20" i="42"/>
  <c r="O32" i="67"/>
  <c r="P27" i="67"/>
  <c r="H6" i="67"/>
  <c r="H36" i="67" s="1"/>
  <c r="E8" i="82"/>
  <c r="B19" i="42" l="1"/>
  <c r="E7" i="82"/>
  <c r="F8" i="82"/>
  <c r="F7" i="82" s="1"/>
  <c r="O34" i="67"/>
  <c r="P34" i="67" s="1"/>
  <c r="P32" i="67"/>
  <c r="I6" i="67"/>
  <c r="I36" i="67" s="1"/>
  <c r="E43" i="82"/>
  <c r="B9" i="41" s="1"/>
  <c r="E34" i="82"/>
  <c r="E22" i="82"/>
  <c r="E19" i="82"/>
  <c r="E10" i="82"/>
  <c r="C7" i="41" l="1"/>
  <c r="E7" i="41" s="1"/>
  <c r="F46" i="82"/>
  <c r="H46" i="82" s="1"/>
  <c r="E33" i="82"/>
  <c r="B8" i="41" s="1"/>
  <c r="B7" i="41"/>
  <c r="J6" i="67"/>
  <c r="J36" i="67" s="1"/>
  <c r="B6" i="41" l="1"/>
  <c r="B5" i="41" s="1"/>
  <c r="B6" i="42" s="1"/>
  <c r="C6" i="41"/>
  <c r="E6" i="41" s="1"/>
  <c r="E46" i="82"/>
  <c r="K6" i="67"/>
  <c r="K36" i="67" s="1"/>
  <c r="G55" i="51"/>
  <c r="B36" i="51"/>
  <c r="B40" i="51"/>
  <c r="G36" i="51"/>
  <c r="B19" i="51"/>
  <c r="B17" i="51"/>
  <c r="B54" i="51" l="1"/>
  <c r="C5" i="41"/>
  <c r="E5" i="41" s="1"/>
  <c r="B5" i="51"/>
  <c r="G50" i="51"/>
  <c r="G37" i="51"/>
  <c r="B26" i="62"/>
  <c r="B57" i="51"/>
  <c r="B43" i="51"/>
  <c r="B50" i="51"/>
  <c r="G49" i="51"/>
  <c r="G23" i="51"/>
  <c r="L6" i="67"/>
  <c r="L36" i="67" s="1"/>
  <c r="G54" i="51"/>
  <c r="G43" i="51"/>
  <c r="G53" i="51"/>
  <c r="G51" i="51" l="1"/>
  <c r="B53" i="51"/>
  <c r="C69" i="41"/>
  <c r="E69" i="41" s="1"/>
  <c r="C6" i="42"/>
  <c r="E6" i="42" s="1"/>
  <c r="B4" i="62"/>
  <c r="B15" i="51"/>
  <c r="M6" i="67"/>
  <c r="M36" i="67" s="1"/>
  <c r="B60" i="41"/>
  <c r="B21" i="42"/>
  <c r="O7" i="67" l="1"/>
  <c r="P7" i="67" s="1"/>
  <c r="C5" i="51"/>
  <c r="E5" i="51" s="1"/>
  <c r="G59" i="51"/>
  <c r="B14" i="62"/>
  <c r="B15" i="62"/>
  <c r="C78" i="41"/>
  <c r="E78" i="41" s="1"/>
  <c r="C13" i="42"/>
  <c r="B49" i="51"/>
  <c r="G16" i="51"/>
  <c r="B23" i="51"/>
  <c r="B30" i="42"/>
  <c r="B11" i="42"/>
  <c r="B69" i="41"/>
  <c r="B78" i="41" s="1"/>
  <c r="C17" i="42" l="1"/>
  <c r="E17" i="42" s="1"/>
  <c r="E13" i="42"/>
  <c r="C15" i="51"/>
  <c r="E15" i="51" s="1"/>
  <c r="C4" i="62"/>
  <c r="E4" i="62" s="1"/>
  <c r="B51" i="51"/>
  <c r="B35" i="42"/>
  <c r="B13" i="42"/>
  <c r="C14" i="62" l="1"/>
  <c r="E14" i="62" s="1"/>
  <c r="C49" i="51"/>
  <c r="E49" i="51" s="1"/>
  <c r="C23" i="51"/>
  <c r="E23" i="51" s="1"/>
  <c r="H16" i="51"/>
  <c r="J16" i="51" s="1"/>
  <c r="G52" i="51"/>
  <c r="B17" i="42"/>
  <c r="P10" i="67"/>
  <c r="O11" i="67"/>
  <c r="G54" i="62"/>
  <c r="J54" i="62" s="1"/>
  <c r="C51" i="51" l="1"/>
  <c r="E51" i="51" s="1"/>
  <c r="C16" i="62"/>
  <c r="E16" i="62" s="1"/>
  <c r="O16" i="67"/>
  <c r="P11" i="67"/>
  <c r="C28" i="62" l="1"/>
  <c r="E28" i="62" s="1"/>
  <c r="C83" i="62"/>
  <c r="C59" i="51"/>
  <c r="E59" i="51" s="1"/>
  <c r="H52" i="51"/>
  <c r="J52" i="51" s="1"/>
  <c r="O19" i="67"/>
  <c r="P19" i="67" s="1"/>
  <c r="P16" i="67"/>
  <c r="G56" i="62" l="1"/>
  <c r="J56" i="62" s="1"/>
  <c r="G42" i="62"/>
  <c r="G25" i="62"/>
  <c r="G82" i="62"/>
  <c r="G71" i="62"/>
  <c r="G73" i="62" s="1"/>
  <c r="B54" i="62"/>
  <c r="B56" i="62" s="1"/>
  <c r="B42" i="62"/>
  <c r="B44" i="62" s="1"/>
  <c r="B25" i="62"/>
  <c r="G16" i="62"/>
  <c r="B16" i="62"/>
  <c r="G44" i="62" l="1"/>
  <c r="G27" i="62"/>
  <c r="J83" i="62" s="1"/>
  <c r="B27" i="62"/>
  <c r="B58" i="51"/>
  <c r="B83" i="62"/>
  <c r="G83" i="62"/>
  <c r="G28" i="62" l="1"/>
  <c r="E83" i="62"/>
  <c r="B28" i="62"/>
  <c r="B56" i="51"/>
  <c r="B84" i="62"/>
  <c r="B59" i="51" l="1"/>
</calcChain>
</file>

<file path=xl/sharedStrings.xml><?xml version="1.0" encoding="utf-8"?>
<sst xmlns="http://schemas.openxmlformats.org/spreadsheetml/2006/main" count="576" uniqueCount="382">
  <si>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</si>
  <si>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</si>
  <si>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</si>
  <si>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</si>
  <si>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</si>
  <si>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</si>
  <si>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</si>
  <si>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</si>
  <si>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</si>
  <si>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</si>
  <si>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</si>
  <si>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</si>
  <si>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</si>
  <si>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</si>
  <si>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</si>
  <si>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</si>
  <si>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</si>
  <si>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</si>
  <si>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</si>
  <si>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</si>
  <si>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</si>
  <si>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</si>
  <si>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</si>
  <si>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</si>
  <si>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</si>
  <si>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</si>
  <si>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</si>
  <si>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</si>
  <si>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</si>
  <si>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</si>
  <si>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</si>
  <si>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</si>
  <si>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</si>
  <si>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</si>
  <si>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</si>
  <si>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</si>
  <si>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</si>
  <si>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</si>
  <si>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</si>
  <si>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</si>
  <si>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</si>
  <si>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</si>
  <si>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</si>
  <si>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</si>
  <si>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</si>
  <si>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</si>
  <si>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</si>
  <si>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</si>
  <si>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</si>
  <si>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</si>
  <si>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</si>
  <si>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</si>
  <si>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</si>
  <si>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</si>
  <si>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</si>
  <si>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</si>
  <si>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</si>
  <si>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</si>
  <si>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</si>
  <si>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</si>
  <si>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</si>
  <si>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</si>
  <si>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</si>
  <si>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</si>
  <si>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</si>
  <si>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</si>
  <si>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</si>
  <si>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</si>
  <si>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</si>
  <si>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</si>
  <si>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</si>
  <si>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</si>
  <si>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</si>
  <si>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</si>
  <si>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</si>
  <si>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</si>
  <si>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</si>
  <si>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</si>
  <si>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</si>
  <si>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>Gyermekétkeztetés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</si>
  <si>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</si>
  <si>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</si>
  <si>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</si>
  <si>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</si>
  <si>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Megnevezés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</si>
  <si>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</si>
  <si>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</si>
  <si>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</si>
  <si>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</si>
  <si>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</si>
  <si>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</si>
  <si>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</si>
  <si>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3. Működési célú visszatérítendő támogatások, kölcsönök nyújtása áh-n belülre</t>
  </si>
  <si>
    <t>4. Működési célú visszatérítendő támogatások, kölcsönök törlesztése áh-n belülre</t>
  </si>
  <si>
    <t>6. Működési célú garancia- és kezességvállalásból származó kifizetés államháztartáson kívülre</t>
  </si>
  <si>
    <t>Önkormányzati működési kiadások  összesen:</t>
  </si>
  <si>
    <t>Forgatási célú értékpapír vásárlás</t>
  </si>
  <si>
    <t>IV. Finanszírozási kiadások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</si>
  <si>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</si>
  <si>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</si>
  <si>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</si>
  <si>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</si>
  <si>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</si>
  <si>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</si>
  <si>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</si>
  <si>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</si>
  <si>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</si>
  <si>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</si>
  <si>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</si>
  <si>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</si>
  <si>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</si>
  <si>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</si>
  <si>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</si>
  <si>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</si>
  <si>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</si>
  <si>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</si>
  <si>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</si>
  <si>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</si>
  <si>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</si>
  <si>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</si>
  <si>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</si>
  <si>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</si>
  <si>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</si>
  <si>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</si>
  <si>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</si>
  <si>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</si>
  <si>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</si>
  <si>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</si>
  <si>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</si>
  <si>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</si>
  <si>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</si>
  <si>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</si>
  <si>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</si>
  <si>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</si>
  <si>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</si>
  <si>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</si>
  <si>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</si>
  <si>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</si>
  <si>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</si>
  <si>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</si>
  <si>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</si>
  <si>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</si>
  <si>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</si>
  <si>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</si>
  <si>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</si>
  <si>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</si>
  <si>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</si>
  <si>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</si>
  <si>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</si>
  <si>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</si>
  <si>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</si>
  <si>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</si>
  <si>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</si>
  <si>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</si>
  <si>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</si>
  <si>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</si>
  <si>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</si>
  <si>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</si>
  <si>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</si>
  <si>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</si>
  <si>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</si>
  <si>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</si>
  <si>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</si>
  <si>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</si>
  <si>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</si>
  <si>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</si>
  <si>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</si>
  <si>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</si>
  <si>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</si>
  <si>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</si>
  <si>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</si>
  <si>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</si>
  <si>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</si>
  <si>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</si>
  <si>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</si>
  <si>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</si>
  <si>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</si>
  <si>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</si>
  <si>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</si>
  <si>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</si>
  <si>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</si>
  <si>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</si>
  <si>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</si>
  <si>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</si>
  <si>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</si>
  <si>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</si>
  <si>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</si>
  <si>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</si>
  <si>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</si>
  <si>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</si>
  <si>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</si>
  <si>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</si>
  <si>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</si>
  <si>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</si>
  <si>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</si>
  <si>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</si>
  <si>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</si>
  <si>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</si>
  <si>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</si>
  <si>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</si>
  <si>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</si>
  <si>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</si>
  <si>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</si>
  <si>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</si>
  <si>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</si>
  <si>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</si>
  <si>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</si>
  <si>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</si>
  <si>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</si>
  <si>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</si>
  <si>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</si>
  <si>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</si>
  <si>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</si>
  <si>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</si>
  <si>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</si>
  <si>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</si>
  <si>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</si>
  <si>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</si>
  <si>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</si>
  <si>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</si>
  <si>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</si>
  <si>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</si>
  <si>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</si>
  <si>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</si>
  <si>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</si>
  <si>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</si>
  <si>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</si>
  <si>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</si>
  <si>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</si>
  <si>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</si>
  <si>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</si>
  <si>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</si>
  <si>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</si>
  <si>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</si>
  <si>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</si>
  <si>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</si>
  <si>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</si>
  <si>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</si>
  <si>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</si>
  <si>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</si>
  <si>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</si>
  <si>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</si>
  <si>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</si>
  <si>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</si>
  <si>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</si>
  <si>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</si>
  <si>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</si>
  <si>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</si>
  <si>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</si>
  <si>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</si>
  <si>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</si>
  <si>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</si>
  <si>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</si>
  <si>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</si>
  <si>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</si>
  <si>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</si>
  <si>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Balatonfüredi közös Önkorm Hivatal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</si>
  <si>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</si>
  <si>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</si>
  <si>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</si>
  <si>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</si>
  <si>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</si>
  <si>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I. BERUHÁZÁSOK</t>
  </si>
  <si>
    <t>II. FELÚJÍTÁSOK</t>
  </si>
  <si>
    <t>III. EGYÉB FELHALMOZÁSI KIADÁSOK</t>
  </si>
  <si>
    <t>Részesedések beszerzése</t>
  </si>
  <si>
    <t>Egyéb felhalmozási kiadások</t>
  </si>
  <si>
    <t>Közfoglalkoztatottak támogatás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</si>
  <si>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</si>
  <si>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</si>
  <si>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</si>
  <si>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</si>
  <si>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</si>
  <si>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</si>
  <si>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</si>
  <si>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</si>
  <si>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</si>
  <si>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</si>
  <si>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</si>
  <si>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</si>
  <si>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</si>
  <si>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</si>
  <si>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</si>
  <si>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</si>
  <si>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</si>
  <si>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</si>
  <si>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</si>
  <si>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Települési támogatás</t>
  </si>
  <si>
    <t>Falugondnoki vagy tanyagondnoki</t>
  </si>
  <si>
    <t>2.1. Forgatási célú értékpapír beváltása</t>
  </si>
  <si>
    <t>10. Forgatási célú értékpapír vás.</t>
  </si>
  <si>
    <t>2.4. Államháztartáson belüli megelőlegezések</t>
  </si>
  <si>
    <t>2016. évről áthúzódó bérkompenzáció támogatása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</si>
  <si>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</si>
  <si>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</si>
  <si>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</si>
  <si>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</si>
  <si>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Egyéb</t>
  </si>
  <si>
    <t>6. Értékpapír beváltása</t>
  </si>
  <si>
    <t>Református egyház</t>
  </si>
  <si>
    <t>Mosoly Alapítány</t>
  </si>
  <si>
    <t xml:space="preserve"> Bfüredi Önk Tűzoltóságnak</t>
  </si>
  <si>
    <t xml:space="preserve"> Balatonszőlős Sport egyesület</t>
  </si>
  <si>
    <t xml:space="preserve"> Balatonszőlős Darts egyesület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</si>
  <si>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</si>
  <si>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</si>
  <si>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</si>
  <si>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</si>
  <si>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 Elvonások, befizetések</t>
  </si>
  <si>
    <t>Bakonykarszt-Víz és csatorna támogatás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</si>
  <si>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</si>
  <si>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</si>
  <si>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</si>
  <si>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</si>
  <si>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t xml:space="preserve">       Közösségi Ház féltető</t>
  </si>
  <si>
    <t xml:space="preserve">      Közösségi Ház nyitott szintere</t>
  </si>
  <si>
    <t xml:space="preserve">      Mosó pályázat önrésze</t>
  </si>
  <si>
    <t xml:space="preserve">      Led lámpatest</t>
  </si>
  <si>
    <t xml:space="preserve">      Közösségi Ház Gázkazán</t>
  </si>
  <si>
    <t xml:space="preserve">      Műtrágya szóró</t>
  </si>
  <si>
    <t xml:space="preserve">      Pécselyi iskola tető felújítása tulajdonarányosan</t>
  </si>
  <si>
    <t xml:space="preserve">     Sportöltöző és sportpálya felújítása pályázat önrész</t>
  </si>
  <si>
    <t>I.MÓDOSÍTÁS</t>
  </si>
  <si>
    <t>ELTÉRÉS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</si>
  <si>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</si>
  <si>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2017. ÉVI EREDETI</t>
  </si>
  <si>
    <t>"Önkormányzati feladatellátást szolgáló fejlesztések támogatása" pályázat, utak felújítása önrész</t>
  </si>
  <si>
    <t xml:space="preserve">Falugondnokok egyesülete támogatás </t>
  </si>
  <si>
    <t xml:space="preserve">     Fűnyíró</t>
  </si>
  <si>
    <t xml:space="preserve">    Kisértékű tárgyi eszközök</t>
  </si>
  <si>
    <t>5. Egyéb működési célú támogatások áhb</t>
  </si>
  <si>
    <t>8. Egyéb működési célú támogatások áhk</t>
  </si>
  <si>
    <t>1. Működési célú garancia- és kezességvállalásból származó kifizetés áhb</t>
  </si>
  <si>
    <t>1. Működési célú garancia- és kezességvállalásból származó megtérülések áhk</t>
  </si>
  <si>
    <t xml:space="preserve">    Közfoglalkoztatott támogatás előleg 2018.01-02 hó</t>
  </si>
  <si>
    <t xml:space="preserve">2. Munkaadót terhelő járulékok </t>
  </si>
  <si>
    <t>5.2. Egyéb működési célú támogatások áhb</t>
  </si>
  <si>
    <t>5.4. Egyéb működési célú támogatások áhk</t>
  </si>
  <si>
    <t>5.5. Működési célú visszatérítendő tám.-k, kölcsönök nyújtása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</si>
  <si>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</si>
  <si>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</si>
  <si>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</si>
  <si>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</si>
  <si>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 xml:space="preserve">      Mosó pályázat munkálatok</t>
  </si>
  <si>
    <t xml:space="preserve">     Sportöltöző és sportpálya felújítása pályázat munkálatok</t>
  </si>
  <si>
    <t xml:space="preserve">     Sportöltöző és sportpálya felújítása pályázat támogatása</t>
  </si>
  <si>
    <t xml:space="preserve">      Mosó pályázat támogatás</t>
  </si>
  <si>
    <t>AZ ÖNKORMÁNYZAT FŐÖSSZESÍTŐJE</t>
  </si>
  <si>
    <t>BEVÉTELEK ELŐIRÁNYZATA</t>
  </si>
  <si>
    <t xml:space="preserve"> Az Önkormányzat felhalmozási bevételei és kiadásai  2017. év </t>
  </si>
  <si>
    <t xml:space="preserve">Bevétele és kiadások mérlege 2017. év </t>
  </si>
  <si>
    <t xml:space="preserve"> Az Önkormányzat önként vállalt feladatok bevételei és kiadásai  2017. év </t>
  </si>
  <si>
    <t xml:space="preserve"> Az Önkormányzat állami (államigazgatási) feladatok bevételei és kiadásai  2017. év </t>
  </si>
  <si>
    <t>2018. EREDETI</t>
  </si>
  <si>
    <t>2018. ÉVI EREDETI</t>
  </si>
  <si>
    <t>Polgármesteri illetmény támogatása</t>
  </si>
  <si>
    <t>Kiegészítés összege</t>
  </si>
  <si>
    <t>Szociális ágazati pótlék 2018</t>
  </si>
  <si>
    <t xml:space="preserve">FELHALMOZÁSI KIADÁSOK 2018. ÉV </t>
  </si>
  <si>
    <t xml:space="preserve">      MLSZ futballpály körbekerítés</t>
  </si>
  <si>
    <t>Immateriális javak beszerzése</t>
  </si>
  <si>
    <t xml:space="preserve">       Rendezési terv felülvizsgálat önrész</t>
  </si>
  <si>
    <t xml:space="preserve">MŰKÖDÉSI KIADÁSOK 2018. ÉV </t>
  </si>
  <si>
    <t xml:space="preserve"> Az Önkormányzat  működési bevételei és kiadásai  2018. év </t>
  </si>
  <si>
    <t xml:space="preserve"> Az Önkormányzat  kötelező feladatok bevételei és kiadásai  2018. év </t>
  </si>
  <si>
    <t xml:space="preserve">     Önkormányzati fejlesztések 2018 önrész</t>
  </si>
  <si>
    <t xml:space="preserve">     Önkormányzati fejlesztések 2018 munkálatok</t>
  </si>
  <si>
    <t xml:space="preserve">     Önkormányzati fejlesztések 2018 támogatása</t>
  </si>
  <si>
    <t>9. Állami támogatás visszafizetési kötelezettség</t>
  </si>
  <si>
    <t>Eltérés</t>
  </si>
  <si>
    <r>
      <t>BEVÉTELEK ÉS KIADÁSOK ELŐIRÁNYZATÁNAK HAVI ÜTEMEZÉSE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2018.</t>
    </r>
  </si>
  <si>
    <t xml:space="preserve">ÁLLAMI TÁMOGATÁSOK 2018. ÉV </t>
  </si>
  <si>
    <t>II.MÓDOSÍTÁS</t>
  </si>
  <si>
    <t>Bakonykarszt</t>
  </si>
  <si>
    <t xml:space="preserve">      LEADER pályázat Közösségi tér önrész 75/2018.(VIII.28.)</t>
  </si>
  <si>
    <t xml:space="preserve">      LEADER pályázat Közösségi tér munkálatok 75/2018.(VIII.28.)</t>
  </si>
  <si>
    <t xml:space="preserve">   Öreg Gella Útfelújítás önrész</t>
  </si>
  <si>
    <t xml:space="preserve">   Öreg Gella Útfelújítás munkálatok</t>
  </si>
  <si>
    <t xml:space="preserve">  2.1 Öreg Gella útfelújítás</t>
  </si>
  <si>
    <t xml:space="preserve"> 2.2 bérleti díjak</t>
  </si>
  <si>
    <t xml:space="preserve">  3.1 LEADER Közösségi tér </t>
  </si>
  <si>
    <t>EFOP-5.1.2-16-2017 Humán szolgáltatások fejlesztése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</si>
</sst>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mmm\ d/"/>
    <numFmt numFmtId="165" formatCode="#,##0.0"/>
  </numFmts>
  <fonts count="32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1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3" fillId="0" borderId="0" applyFill="0" applyBorder="0" applyAlignment="0" applyProtection="0"/>
    <xf numFmtId="0" fontId="21" fillId="0" borderId="0"/>
    <xf numFmtId="0" fontId="24" fillId="0" borderId="0"/>
    <xf numFmtId="43" fontId="21" fillId="0" borderId="0" applyFill="0" applyBorder="0" applyAlignment="0" applyProtection="0"/>
  </cellStyleXfs>
  <cellXfs count="349">
    <xf numFmtId="0" fontId="0" fillId="0" borderId="0" xfId="0"/>
    <xf numFmtId="0" fontId="0" fillId="0" borderId="0" xfId="0" applyFont="1"/>
    <xf numFmtId="0" fontId="19" fillId="0" borderId="0" xfId="0" applyFont="1"/>
    <xf numFmtId="3" fontId="19" fillId="0" borderId="0" xfId="0" applyNumberFormat="1" applyFont="1"/>
    <xf numFmtId="0" fontId="25" fillId="0" borderId="0" xfId="50" applyFont="1" applyAlignment="1">
      <alignment horizontal="center" wrapText="1"/>
    </xf>
    <xf numFmtId="0" fontId="26" fillId="0" borderId="0" xfId="50" applyFont="1"/>
    <xf numFmtId="0" fontId="26" fillId="0" borderId="12" xfId="50" applyFont="1" applyBorder="1"/>
    <xf numFmtId="3" fontId="25" fillId="0" borderId="12" xfId="50" applyNumberFormat="1" applyFont="1" applyBorder="1" applyAlignment="1">
      <alignment horizontal="right" wrapText="1"/>
    </xf>
    <xf numFmtId="3" fontId="25" fillId="29" borderId="12" xfId="50" applyNumberFormat="1" applyFont="1" applyFill="1" applyBorder="1" applyAlignment="1">
      <alignment horizontal="right" wrapText="1"/>
    </xf>
    <xf numFmtId="0" fontId="26" fillId="29" borderId="12" xfId="50" applyFont="1" applyFill="1" applyBorder="1"/>
    <xf numFmtId="3" fontId="0" fillId="0" borderId="0" xfId="0" applyNumberFormat="1" applyFont="1"/>
    <xf numFmtId="0" fontId="0" fillId="0" borderId="0" xfId="0" applyFont="1" applyFill="1"/>
    <xf numFmtId="0" fontId="19" fillId="0" borderId="0" xfId="0" applyFont="1" applyFill="1"/>
    <xf numFmtId="3" fontId="19" fillId="0" borderId="12" xfId="0" applyNumberFormat="1" applyFont="1" applyFill="1" applyBorder="1" applyAlignment="1">
      <alignment horizontal="right" wrapText="1"/>
    </xf>
    <xf numFmtId="3" fontId="19" fillId="0" borderId="12" xfId="0" applyNumberFormat="1" applyFont="1" applyFill="1" applyBorder="1"/>
    <xf numFmtId="3" fontId="19" fillId="0" borderId="12" xfId="0" applyNumberFormat="1" applyFont="1" applyFill="1" applyBorder="1" applyAlignment="1">
      <alignment horizontal="right"/>
    </xf>
    <xf numFmtId="3" fontId="19" fillId="0" borderId="16" xfId="0" applyNumberFormat="1" applyFont="1" applyFill="1" applyBorder="1" applyAlignment="1">
      <alignment horizontal="right"/>
    </xf>
    <xf numFmtId="3" fontId="19" fillId="0" borderId="16" xfId="0" applyNumberFormat="1" applyFont="1" applyFill="1" applyBorder="1"/>
    <xf numFmtId="3" fontId="19" fillId="0" borderId="18" xfId="0" applyNumberFormat="1" applyFont="1" applyFill="1" applyBorder="1"/>
    <xf numFmtId="3" fontId="0" fillId="0" borderId="23" xfId="0" applyNumberFormat="1" applyFont="1" applyFill="1" applyBorder="1"/>
    <xf numFmtId="3" fontId="27" fillId="0" borderId="23" xfId="0" applyNumberFormat="1" applyFont="1" applyFill="1" applyBorder="1"/>
    <xf numFmtId="3" fontId="0" fillId="0" borderId="0" xfId="0" applyNumberFormat="1" applyFont="1" applyFill="1" applyBorder="1"/>
    <xf numFmtId="0" fontId="0" fillId="0" borderId="12" xfId="0" applyFont="1" applyFill="1" applyBorder="1"/>
    <xf numFmtId="0" fontId="19" fillId="0" borderId="12" xfId="0" applyFont="1" applyFill="1" applyBorder="1" applyAlignment="1">
      <alignment horizontal="center" wrapText="1"/>
    </xf>
    <xf numFmtId="0" fontId="19" fillId="0" borderId="16" xfId="0" applyFont="1" applyFill="1" applyBorder="1" applyAlignment="1">
      <alignment horizontal="right"/>
    </xf>
    <xf numFmtId="0" fontId="19" fillId="0" borderId="16" xfId="0" applyFont="1" applyFill="1" applyBorder="1" applyAlignment="1">
      <alignment horizontal="center" wrapText="1"/>
    </xf>
    <xf numFmtId="3" fontId="19" fillId="0" borderId="16" xfId="0" applyNumberFormat="1" applyFont="1" applyFill="1" applyBorder="1" applyAlignment="1">
      <alignment horizontal="right" wrapText="1"/>
    </xf>
    <xf numFmtId="3" fontId="19" fillId="0" borderId="19" xfId="0" applyNumberFormat="1" applyFont="1" applyFill="1" applyBorder="1"/>
    <xf numFmtId="49" fontId="0" fillId="0" borderId="0" xfId="0" applyNumberFormat="1" applyFont="1" applyFill="1" applyAlignment="1">
      <alignment horizontal="left" wrapText="1"/>
    </xf>
    <xf numFmtId="49" fontId="0" fillId="0" borderId="14" xfId="0" applyNumberFormat="1" applyFont="1" applyFill="1" applyBorder="1" applyAlignment="1">
      <alignment horizontal="left" wrapText="1"/>
    </xf>
    <xf numFmtId="49" fontId="19" fillId="0" borderId="14" xfId="0" applyNumberFormat="1" applyFont="1" applyFill="1" applyBorder="1" applyAlignment="1">
      <alignment horizontal="left" wrapText="1"/>
    </xf>
    <xf numFmtId="49" fontId="22" fillId="0" borderId="14" xfId="0" applyNumberFormat="1" applyFont="1" applyFill="1" applyBorder="1" applyAlignment="1">
      <alignment horizontal="left" wrapText="1"/>
    </xf>
    <xf numFmtId="49" fontId="19" fillId="0" borderId="17" xfId="0" applyNumberFormat="1" applyFont="1" applyFill="1" applyBorder="1" applyAlignment="1">
      <alignment horizontal="left" wrapText="1"/>
    </xf>
    <xf numFmtId="49" fontId="0" fillId="0" borderId="0" xfId="0" applyNumberFormat="1" applyFont="1" applyAlignment="1">
      <alignment horizontal="left" wrapText="1"/>
    </xf>
    <xf numFmtId="3" fontId="25" fillId="0" borderId="12" xfId="50" applyNumberFormat="1" applyFont="1" applyBorder="1"/>
    <xf numFmtId="0" fontId="25" fillId="0" borderId="21" xfId="50" applyFont="1" applyBorder="1" applyAlignment="1">
      <alignment horizontal="center" vertical="center" wrapText="1"/>
    </xf>
    <xf numFmtId="3" fontId="25" fillId="29" borderId="18" xfId="50" applyNumberFormat="1" applyFont="1" applyFill="1" applyBorder="1" applyAlignment="1">
      <alignment horizontal="right" wrapText="1"/>
    </xf>
    <xf numFmtId="3" fontId="0" fillId="0" borderId="16" xfId="0" applyNumberFormat="1" applyFont="1" applyFill="1" applyBorder="1" applyAlignment="1">
      <alignment horizontal="right" wrapText="1"/>
    </xf>
    <xf numFmtId="0" fontId="26" fillId="0" borderId="0" xfId="50" applyFont="1" applyAlignment="1">
      <alignment horizontal="center" vertical="center"/>
    </xf>
    <xf numFmtId="0" fontId="25" fillId="0" borderId="0" xfId="50" applyFont="1"/>
    <xf numFmtId="0" fontId="25" fillId="29" borderId="0" xfId="50" applyFont="1" applyFill="1" applyBorder="1"/>
    <xf numFmtId="0" fontId="25" fillId="29" borderId="0" xfId="50" applyFont="1" applyFill="1"/>
    <xf numFmtId="0" fontId="26" fillId="0" borderId="0" xfId="50" applyFont="1" applyAlignment="1">
      <alignment wrapText="1"/>
    </xf>
    <xf numFmtId="0" fontId="25" fillId="29" borderId="12" xfId="50" applyFont="1" applyFill="1" applyBorder="1"/>
    <xf numFmtId="0" fontId="25" fillId="0" borderId="21" xfId="50" applyFont="1" applyBorder="1" applyAlignment="1">
      <alignment horizontal="center" vertical="center"/>
    </xf>
    <xf numFmtId="0" fontId="25" fillId="0" borderId="22" xfId="50" applyFont="1" applyBorder="1" applyAlignment="1">
      <alignment horizontal="center" vertical="center"/>
    </xf>
    <xf numFmtId="0" fontId="26" fillId="29" borderId="14" xfId="49" applyFont="1" applyFill="1" applyBorder="1" applyAlignment="1">
      <alignment wrapText="1"/>
    </xf>
    <xf numFmtId="3" fontId="26" fillId="0" borderId="14" xfId="43" applyNumberFormat="1" applyFont="1" applyFill="1" applyBorder="1" applyAlignment="1">
      <alignment wrapText="1"/>
    </xf>
    <xf numFmtId="0" fontId="26" fillId="0" borderId="11" xfId="50" applyFont="1" applyBorder="1"/>
    <xf numFmtId="0" fontId="26" fillId="0" borderId="13" xfId="50" applyFont="1" applyBorder="1"/>
    <xf numFmtId="0" fontId="26" fillId="0" borderId="0" xfId="50" applyFont="1" applyBorder="1"/>
    <xf numFmtId="0" fontId="26" fillId="0" borderId="10" xfId="50" applyFont="1" applyBorder="1"/>
    <xf numFmtId="0" fontId="25" fillId="29" borderId="20" xfId="50" applyFont="1" applyFill="1" applyBorder="1" applyAlignment="1">
      <alignment horizontal="center" vertical="center" wrapText="1"/>
    </xf>
    <xf numFmtId="0" fontId="25" fillId="29" borderId="14" xfId="50" applyFont="1" applyFill="1" applyBorder="1" applyAlignment="1">
      <alignment wrapText="1"/>
    </xf>
    <xf numFmtId="0" fontId="26" fillId="29" borderId="14" xfId="50" applyFont="1" applyFill="1" applyBorder="1" applyAlignment="1">
      <alignment wrapText="1"/>
    </xf>
    <xf numFmtId="0" fontId="28" fillId="29" borderId="0" xfId="50" applyFont="1" applyFill="1" applyBorder="1"/>
    <xf numFmtId="164" fontId="26" fillId="29" borderId="14" xfId="49" applyNumberFormat="1" applyFont="1" applyFill="1" applyBorder="1" applyAlignment="1">
      <alignment wrapText="1"/>
    </xf>
    <xf numFmtId="3" fontId="26" fillId="29" borderId="12" xfId="50" applyNumberFormat="1" applyFont="1" applyFill="1" applyBorder="1" applyAlignment="1">
      <alignment horizontal="right" wrapText="1"/>
    </xf>
    <xf numFmtId="0" fontId="29" fillId="29" borderId="12" xfId="50" applyFont="1" applyFill="1" applyBorder="1"/>
    <xf numFmtId="0" fontId="29" fillId="29" borderId="0" xfId="50" applyFont="1" applyFill="1" applyBorder="1"/>
    <xf numFmtId="3" fontId="26" fillId="0" borderId="12" xfId="50" applyNumberFormat="1" applyFont="1" applyFill="1" applyBorder="1" applyAlignment="1">
      <alignment horizontal="right" wrapText="1"/>
    </xf>
    <xf numFmtId="3" fontId="25" fillId="29" borderId="12" xfId="50" applyNumberFormat="1" applyFont="1" applyFill="1" applyBorder="1" applyAlignment="1">
      <alignment vertical="center"/>
    </xf>
    <xf numFmtId="0" fontId="25" fillId="29" borderId="0" xfId="50" applyFont="1" applyFill="1" applyBorder="1" applyAlignment="1">
      <alignment vertical="center"/>
    </xf>
    <xf numFmtId="0" fontId="26" fillId="29" borderId="12" xfId="50" applyFont="1" applyFill="1" applyBorder="1" applyAlignment="1">
      <alignment vertical="center" wrapText="1"/>
    </xf>
    <xf numFmtId="0" fontId="26" fillId="29" borderId="0" xfId="50" applyFont="1" applyFill="1" applyBorder="1" applyAlignment="1">
      <alignment vertical="center" wrapText="1"/>
    </xf>
    <xf numFmtId="0" fontId="26" fillId="29" borderId="12" xfId="50" applyFont="1" applyFill="1" applyBorder="1" applyAlignment="1">
      <alignment vertical="center"/>
    </xf>
    <xf numFmtId="0" fontId="26" fillId="29" borderId="0" xfId="50" applyFont="1" applyFill="1" applyBorder="1" applyAlignment="1">
      <alignment vertical="center"/>
    </xf>
    <xf numFmtId="164" fontId="26" fillId="29" borderId="14" xfId="50" applyNumberFormat="1" applyFont="1" applyFill="1" applyBorder="1" applyAlignment="1">
      <alignment wrapText="1"/>
    </xf>
    <xf numFmtId="0" fontId="26" fillId="29" borderId="14" xfId="49" applyFont="1" applyFill="1" applyBorder="1" applyAlignment="1">
      <alignment horizontal="left" wrapText="1"/>
    </xf>
    <xf numFmtId="0" fontId="25" fillId="29" borderId="14" xfId="49" applyFont="1" applyFill="1" applyBorder="1" applyAlignment="1">
      <alignment wrapText="1"/>
    </xf>
    <xf numFmtId="3" fontId="26" fillId="29" borderId="12" xfId="50" applyNumberFormat="1" applyFont="1" applyFill="1" applyBorder="1" applyAlignment="1">
      <alignment vertical="center"/>
    </xf>
    <xf numFmtId="0" fontId="25" fillId="29" borderId="12" xfId="50" applyFont="1" applyFill="1" applyBorder="1" applyAlignment="1">
      <alignment vertical="center"/>
    </xf>
    <xf numFmtId="3" fontId="25" fillId="29" borderId="0" xfId="50" applyNumberFormat="1" applyFont="1" applyFill="1" applyBorder="1" applyAlignment="1">
      <alignment vertical="center"/>
    </xf>
    <xf numFmtId="0" fontId="26" fillId="0" borderId="14" xfId="50" applyFont="1" applyBorder="1"/>
    <xf numFmtId="0" fontId="26" fillId="0" borderId="17" xfId="50" applyFont="1" applyBorder="1"/>
    <xf numFmtId="3" fontId="26" fillId="0" borderId="0" xfId="50" applyNumberFormat="1" applyFont="1" applyBorder="1"/>
    <xf numFmtId="3" fontId="26" fillId="0" borderId="12" xfId="50" applyNumberFormat="1" applyFont="1" applyFill="1" applyBorder="1"/>
    <xf numFmtId="3" fontId="25" fillId="0" borderId="12" xfId="50" applyNumberFormat="1" applyFont="1" applyFill="1" applyBorder="1" applyAlignment="1">
      <alignment horizontal="right" wrapText="1"/>
    </xf>
    <xf numFmtId="3" fontId="25" fillId="0" borderId="18" xfId="50" applyNumberFormat="1" applyFont="1" applyFill="1" applyBorder="1" applyAlignment="1">
      <alignment horizontal="right" wrapText="1"/>
    </xf>
    <xf numFmtId="0" fontId="25" fillId="0" borderId="20" xfId="50" applyFont="1" applyFill="1" applyBorder="1" applyAlignment="1">
      <alignment horizontal="center" vertical="center" wrapText="1"/>
    </xf>
    <xf numFmtId="0" fontId="25" fillId="0" borderId="14" xfId="50" applyFont="1" applyFill="1" applyBorder="1" applyAlignment="1">
      <alignment horizontal="left" vertical="center" wrapText="1" indent="1"/>
    </xf>
    <xf numFmtId="0" fontId="26" fillId="0" borderId="12" xfId="44" applyFont="1" applyBorder="1"/>
    <xf numFmtId="0" fontId="26" fillId="0" borderId="16" xfId="44" applyFont="1" applyBorder="1"/>
    <xf numFmtId="0" fontId="25" fillId="0" borderId="14" xfId="50" applyFont="1" applyFill="1" applyBorder="1" applyAlignment="1">
      <alignment horizontal="left" vertical="center" wrapText="1" indent="2"/>
    </xf>
    <xf numFmtId="3" fontId="26" fillId="0" borderId="12" xfId="0" applyNumberFormat="1" applyFont="1" applyBorder="1"/>
    <xf numFmtId="0" fontId="26" fillId="0" borderId="14" xfId="50" applyFont="1" applyFill="1" applyBorder="1"/>
    <xf numFmtId="0" fontId="26" fillId="0" borderId="14" xfId="50" applyFont="1" applyFill="1" applyBorder="1" applyAlignment="1">
      <alignment horizontal="left" vertical="center" wrapText="1" indent="2"/>
    </xf>
    <xf numFmtId="0" fontId="26" fillId="0" borderId="14" xfId="50" applyFont="1" applyFill="1" applyBorder="1" applyAlignment="1">
      <alignment horizontal="left" vertical="center" wrapText="1" indent="1"/>
    </xf>
    <xf numFmtId="3" fontId="26" fillId="0" borderId="14" xfId="50" applyNumberFormat="1" applyFont="1" applyFill="1" applyBorder="1" applyAlignment="1">
      <alignment horizontal="left" vertical="center" wrapText="1" indent="1"/>
    </xf>
    <xf numFmtId="3" fontId="26" fillId="0" borderId="12" xfId="44" applyNumberFormat="1" applyFont="1" applyBorder="1"/>
    <xf numFmtId="0" fontId="25" fillId="0" borderId="17" xfId="50" applyFont="1" applyFill="1" applyBorder="1" applyAlignment="1">
      <alignment horizontal="left" vertical="center" wrapText="1" indent="1"/>
    </xf>
    <xf numFmtId="3" fontId="25" fillId="0" borderId="18" xfId="44" applyNumberFormat="1" applyFont="1" applyBorder="1"/>
    <xf numFmtId="3" fontId="25" fillId="0" borderId="20" xfId="43" applyNumberFormat="1" applyFont="1" applyBorder="1" applyAlignment="1">
      <alignment horizontal="center" wrapText="1"/>
    </xf>
    <xf numFmtId="3" fontId="25" fillId="30" borderId="12" xfId="49" applyNumberFormat="1" applyFont="1" applyFill="1" applyBorder="1" applyAlignment="1">
      <alignment horizontal="right" vertical="center" wrapText="1"/>
    </xf>
    <xf numFmtId="3" fontId="26" fillId="0" borderId="12" xfId="86" applyNumberFormat="1" applyFont="1" applyBorder="1"/>
    <xf numFmtId="3" fontId="26" fillId="0" borderId="14" xfId="86" applyNumberFormat="1" applyFont="1" applyBorder="1" applyAlignment="1">
      <alignment horizontal="left" wrapText="1"/>
    </xf>
    <xf numFmtId="3" fontId="26" fillId="30" borderId="12" xfId="49" applyNumberFormat="1" applyFont="1" applyFill="1" applyBorder="1" applyAlignment="1">
      <alignment horizontal="right" vertical="center" wrapText="1"/>
    </xf>
    <xf numFmtId="3" fontId="28" fillId="0" borderId="14" xfId="86" applyNumberFormat="1" applyFont="1" applyBorder="1" applyAlignment="1">
      <alignment horizontal="left" wrapText="1"/>
    </xf>
    <xf numFmtId="3" fontId="28" fillId="30" borderId="12" xfId="49" applyNumberFormat="1" applyFont="1" applyFill="1" applyBorder="1" applyAlignment="1">
      <alignment horizontal="right" vertical="center" wrapText="1"/>
    </xf>
    <xf numFmtId="3" fontId="25" fillId="0" borderId="14" xfId="0" applyNumberFormat="1" applyFont="1" applyFill="1" applyBorder="1" applyAlignment="1">
      <alignment horizontal="left" wrapText="1"/>
    </xf>
    <xf numFmtId="3" fontId="25" fillId="0" borderId="12" xfId="86" applyNumberFormat="1" applyFont="1" applyFill="1" applyBorder="1" applyAlignment="1">
      <alignment horizontal="right"/>
    </xf>
    <xf numFmtId="3" fontId="26" fillId="0" borderId="14" xfId="0" applyNumberFormat="1" applyFont="1" applyFill="1" applyBorder="1" applyAlignment="1">
      <alignment horizontal="left" wrapText="1"/>
    </xf>
    <xf numFmtId="3" fontId="26" fillId="0" borderId="12" xfId="86" applyNumberFormat="1" applyFont="1" applyFill="1" applyBorder="1" applyAlignment="1">
      <alignment horizontal="right"/>
    </xf>
    <xf numFmtId="3" fontId="28" fillId="0" borderId="14" xfId="0" applyNumberFormat="1" applyFont="1" applyFill="1" applyBorder="1" applyAlignment="1">
      <alignment horizontal="left" wrapText="1"/>
    </xf>
    <xf numFmtId="3" fontId="28" fillId="0" borderId="12" xfId="86" applyNumberFormat="1" applyFont="1" applyFill="1" applyBorder="1" applyAlignment="1">
      <alignment horizontal="right"/>
    </xf>
    <xf numFmtId="3" fontId="25" fillId="0" borderId="12" xfId="86" applyNumberFormat="1" applyFont="1" applyFill="1" applyBorder="1" applyAlignment="1"/>
    <xf numFmtId="3" fontId="26" fillId="0" borderId="12" xfId="86" applyNumberFormat="1" applyFont="1" applyFill="1" applyBorder="1"/>
    <xf numFmtId="3" fontId="26" fillId="0" borderId="12" xfId="86" applyNumberFormat="1" applyFont="1" applyFill="1" applyBorder="1" applyAlignment="1"/>
    <xf numFmtId="3" fontId="25" fillId="0" borderId="14" xfId="43" applyNumberFormat="1" applyFont="1" applyBorder="1" applyAlignment="1">
      <alignment wrapText="1"/>
    </xf>
    <xf numFmtId="3" fontId="25" fillId="0" borderId="12" xfId="43" applyNumberFormat="1" applyFont="1" applyFill="1" applyBorder="1" applyAlignment="1"/>
    <xf numFmtId="3" fontId="26" fillId="0" borderId="12" xfId="43" applyNumberFormat="1" applyFont="1" applyFill="1" applyBorder="1" applyAlignment="1"/>
    <xf numFmtId="3" fontId="26" fillId="0" borderId="0" xfId="44" applyNumberFormat="1" applyFont="1"/>
    <xf numFmtId="3" fontId="26" fillId="0" borderId="0" xfId="44" applyNumberFormat="1" applyFont="1" applyAlignment="1">
      <alignment wrapText="1"/>
    </xf>
    <xf numFmtId="3" fontId="25" fillId="0" borderId="20" xfId="44" applyNumberFormat="1" applyFont="1" applyBorder="1" applyAlignment="1">
      <alignment wrapText="1"/>
    </xf>
    <xf numFmtId="3" fontId="25" fillId="0" borderId="21" xfId="44" applyNumberFormat="1" applyFont="1" applyBorder="1" applyAlignment="1">
      <alignment wrapText="1"/>
    </xf>
    <xf numFmtId="3" fontId="26" fillId="29" borderId="14" xfId="50" applyNumberFormat="1" applyFont="1" applyFill="1" applyBorder="1" applyAlignment="1">
      <alignment wrapText="1"/>
    </xf>
    <xf numFmtId="3" fontId="26" fillId="0" borderId="12" xfId="44" applyNumberFormat="1" applyFont="1" applyBorder="1" applyAlignment="1">
      <alignment wrapText="1"/>
    </xf>
    <xf numFmtId="3" fontId="26" fillId="0" borderId="16" xfId="44" applyNumberFormat="1" applyFont="1" applyBorder="1"/>
    <xf numFmtId="3" fontId="26" fillId="0" borderId="14" xfId="44" applyNumberFormat="1" applyFont="1" applyBorder="1" applyAlignment="1">
      <alignment wrapText="1"/>
    </xf>
    <xf numFmtId="3" fontId="26" fillId="29" borderId="14" xfId="49" applyNumberFormat="1" applyFont="1" applyFill="1" applyBorder="1" applyAlignment="1">
      <alignment wrapText="1"/>
    </xf>
    <xf numFmtId="3" fontId="25" fillId="0" borderId="14" xfId="44" applyNumberFormat="1" applyFont="1" applyBorder="1" applyAlignment="1">
      <alignment wrapText="1"/>
    </xf>
    <xf numFmtId="3" fontId="25" fillId="0" borderId="12" xfId="44" applyNumberFormat="1" applyFont="1" applyBorder="1"/>
    <xf numFmtId="3" fontId="25" fillId="0" borderId="12" xfId="44" applyNumberFormat="1" applyFont="1" applyBorder="1" applyAlignment="1">
      <alignment wrapText="1"/>
    </xf>
    <xf numFmtId="3" fontId="25" fillId="0" borderId="16" xfId="44" applyNumberFormat="1" applyFont="1" applyBorder="1"/>
    <xf numFmtId="3" fontId="25" fillId="0" borderId="0" xfId="44" applyNumberFormat="1" applyFont="1"/>
    <xf numFmtId="3" fontId="25" fillId="0" borderId="17" xfId="44" applyNumberFormat="1" applyFont="1" applyBorder="1" applyAlignment="1">
      <alignment wrapText="1"/>
    </xf>
    <xf numFmtId="3" fontId="25" fillId="0" borderId="18" xfId="44" applyNumberFormat="1" applyFont="1" applyBorder="1" applyAlignment="1">
      <alignment wrapText="1"/>
    </xf>
    <xf numFmtId="3" fontId="26" fillId="0" borderId="12" xfId="44" applyNumberFormat="1" applyFont="1" applyFill="1" applyBorder="1" applyAlignment="1">
      <alignment wrapText="1"/>
    </xf>
    <xf numFmtId="3" fontId="25" fillId="0" borderId="0" xfId="44" applyNumberFormat="1" applyFont="1" applyBorder="1" applyAlignment="1">
      <alignment wrapText="1"/>
    </xf>
    <xf numFmtId="3" fontId="25" fillId="0" borderId="0" xfId="44" applyNumberFormat="1" applyFont="1" applyBorder="1"/>
    <xf numFmtId="3" fontId="26" fillId="0" borderId="0" xfId="48" applyNumberFormat="1" applyFont="1" applyAlignment="1">
      <alignment wrapText="1"/>
    </xf>
    <xf numFmtId="3" fontId="26" fillId="0" borderId="0" xfId="48" applyNumberFormat="1" applyFont="1"/>
    <xf numFmtId="3" fontId="25" fillId="0" borderId="20" xfId="48" applyNumberFormat="1" applyFont="1" applyBorder="1" applyAlignment="1">
      <alignment wrapText="1"/>
    </xf>
    <xf numFmtId="3" fontId="25" fillId="0" borderId="21" xfId="48" applyNumberFormat="1" applyFont="1" applyBorder="1" applyAlignment="1">
      <alignment wrapText="1"/>
    </xf>
    <xf numFmtId="3" fontId="25" fillId="0" borderId="14" xfId="48" applyNumberFormat="1" applyFont="1" applyBorder="1" applyAlignment="1">
      <alignment wrapText="1"/>
    </xf>
    <xf numFmtId="3" fontId="25" fillId="29" borderId="12" xfId="51" applyNumberFormat="1" applyFont="1" applyFill="1" applyBorder="1" applyAlignment="1">
      <alignment horizontal="center" vertical="center" wrapText="1"/>
    </xf>
    <xf numFmtId="3" fontId="25" fillId="0" borderId="12" xfId="48" applyNumberFormat="1" applyFont="1" applyBorder="1" applyAlignment="1">
      <alignment wrapText="1"/>
    </xf>
    <xf numFmtId="3" fontId="26" fillId="0" borderId="16" xfId="48" applyNumberFormat="1" applyFont="1" applyBorder="1" applyAlignment="1">
      <alignment wrapText="1"/>
    </xf>
    <xf numFmtId="3" fontId="26" fillId="0" borderId="14" xfId="50" applyNumberFormat="1" applyFont="1" applyBorder="1" applyAlignment="1">
      <alignment horizontal="left" wrapText="1"/>
    </xf>
    <xf numFmtId="3" fontId="26" fillId="0" borderId="12" xfId="48" applyNumberFormat="1" applyFont="1" applyBorder="1"/>
    <xf numFmtId="3" fontId="26" fillId="0" borderId="12" xfId="46" applyNumberFormat="1" applyFont="1" applyBorder="1" applyAlignment="1">
      <alignment wrapText="1"/>
    </xf>
    <xf numFmtId="3" fontId="26" fillId="0" borderId="16" xfId="48" applyNumberFormat="1" applyFont="1" applyBorder="1"/>
    <xf numFmtId="3" fontId="26" fillId="0" borderId="14" xfId="46" applyNumberFormat="1" applyFont="1" applyBorder="1" applyAlignment="1">
      <alignment wrapText="1"/>
    </xf>
    <xf numFmtId="3" fontId="26" fillId="29" borderId="12" xfId="51" applyNumberFormat="1" applyFont="1" applyFill="1" applyBorder="1" applyAlignment="1">
      <alignment horizontal="right" wrapText="1"/>
    </xf>
    <xf numFmtId="3" fontId="25" fillId="0" borderId="12" xfId="48" applyNumberFormat="1" applyFont="1" applyBorder="1"/>
    <xf numFmtId="3" fontId="25" fillId="0" borderId="16" xfId="48" applyNumberFormat="1" applyFont="1" applyBorder="1"/>
    <xf numFmtId="3" fontId="25" fillId="0" borderId="0" xfId="48" applyNumberFormat="1" applyFont="1"/>
    <xf numFmtId="3" fontId="26" fillId="0" borderId="14" xfId="48" applyNumberFormat="1" applyFont="1" applyBorder="1" applyAlignment="1">
      <alignment wrapText="1"/>
    </xf>
    <xf numFmtId="3" fontId="26" fillId="0" borderId="12" xfId="48" applyNumberFormat="1" applyFont="1" applyBorder="1" applyAlignment="1">
      <alignment wrapText="1"/>
    </xf>
    <xf numFmtId="3" fontId="26" fillId="0" borderId="12" xfId="46" applyNumberFormat="1" applyFont="1" applyFill="1" applyBorder="1" applyAlignment="1">
      <alignment wrapText="1"/>
    </xf>
    <xf numFmtId="3" fontId="25" fillId="0" borderId="17" xfId="48" applyNumberFormat="1" applyFont="1" applyBorder="1" applyAlignment="1">
      <alignment wrapText="1"/>
    </xf>
    <xf numFmtId="3" fontId="25" fillId="0" borderId="18" xfId="48" applyNumberFormat="1" applyFont="1" applyBorder="1"/>
    <xf numFmtId="3" fontId="25" fillId="0" borderId="18" xfId="48" applyNumberFormat="1" applyFont="1" applyBorder="1" applyAlignment="1">
      <alignment wrapText="1"/>
    </xf>
    <xf numFmtId="3" fontId="26" fillId="0" borderId="18" xfId="48" applyNumberFormat="1" applyFont="1" applyBorder="1"/>
    <xf numFmtId="3" fontId="26" fillId="0" borderId="19" xfId="48" applyNumberFormat="1" applyFont="1" applyBorder="1"/>
    <xf numFmtId="3" fontId="26" fillId="29" borderId="0" xfId="50" applyNumberFormat="1" applyFont="1" applyFill="1" applyBorder="1" applyAlignment="1">
      <alignment horizontal="right" wrapText="1"/>
    </xf>
    <xf numFmtId="3" fontId="26" fillId="0" borderId="0" xfId="86" applyNumberFormat="1" applyFont="1" applyBorder="1"/>
    <xf numFmtId="3" fontId="26" fillId="0" borderId="0" xfId="86" applyNumberFormat="1" applyFont="1" applyFill="1" applyBorder="1"/>
    <xf numFmtId="3" fontId="26" fillId="0" borderId="0" xfId="43" applyNumberFormat="1" applyFont="1" applyAlignment="1">
      <alignment wrapText="1"/>
    </xf>
    <xf numFmtId="3" fontId="26" fillId="0" borderId="0" xfId="43" applyNumberFormat="1" applyFont="1"/>
    <xf numFmtId="3" fontId="31" fillId="0" borderId="0" xfId="43" applyNumberFormat="1" applyFont="1" applyAlignment="1">
      <alignment horizontal="center"/>
    </xf>
    <xf numFmtId="3" fontId="31" fillId="0" borderId="0" xfId="86" applyNumberFormat="1" applyFont="1" applyBorder="1" applyAlignment="1">
      <alignment horizontal="center"/>
    </xf>
    <xf numFmtId="3" fontId="31" fillId="0" borderId="0" xfId="86" applyNumberFormat="1" applyFont="1" applyFill="1" applyBorder="1" applyAlignment="1">
      <alignment horizontal="center"/>
    </xf>
    <xf numFmtId="3" fontId="30" fillId="0" borderId="0" xfId="43" applyNumberFormat="1" applyFont="1" applyFill="1" applyAlignment="1">
      <alignment horizontal="center"/>
    </xf>
    <xf numFmtId="3" fontId="30" fillId="0" borderId="0" xfId="43" applyNumberFormat="1" applyFont="1" applyAlignment="1">
      <alignment horizontal="center"/>
    </xf>
    <xf numFmtId="3" fontId="25" fillId="0" borderId="0" xfId="43" applyNumberFormat="1" applyFont="1" applyFill="1"/>
    <xf numFmtId="3" fontId="25" fillId="0" borderId="12" xfId="43" applyNumberFormat="1" applyFont="1" applyBorder="1"/>
    <xf numFmtId="3" fontId="25" fillId="0" borderId="0" xfId="43" applyNumberFormat="1" applyFont="1"/>
    <xf numFmtId="3" fontId="25" fillId="0" borderId="12" xfId="86" applyNumberFormat="1" applyFont="1" applyFill="1" applyBorder="1"/>
    <xf numFmtId="3" fontId="26" fillId="0" borderId="12" xfId="43" applyNumberFormat="1" applyFont="1" applyBorder="1"/>
    <xf numFmtId="3" fontId="25" fillId="0" borderId="12" xfId="0" applyNumberFormat="1" applyFont="1" applyBorder="1"/>
    <xf numFmtId="3" fontId="26" fillId="0" borderId="0" xfId="50" applyNumberFormat="1" applyFont="1" applyFill="1" applyBorder="1" applyAlignment="1">
      <alignment horizontal="right" wrapText="1"/>
    </xf>
    <xf numFmtId="3" fontId="25" fillId="0" borderId="0" xfId="50" applyNumberFormat="1" applyFont="1" applyFill="1" applyBorder="1" applyAlignment="1">
      <alignment horizontal="right" wrapText="1"/>
    </xf>
    <xf numFmtId="0" fontId="26" fillId="0" borderId="0" xfId="44" applyFont="1"/>
    <xf numFmtId="0" fontId="25" fillId="0" borderId="0" xfId="44" applyFont="1"/>
    <xf numFmtId="0" fontId="25" fillId="0" borderId="0" xfId="50" applyFont="1" applyFill="1" applyBorder="1"/>
    <xf numFmtId="0" fontId="26" fillId="0" borderId="0" xfId="50" applyFont="1" applyFill="1" applyBorder="1"/>
    <xf numFmtId="3" fontId="25" fillId="29" borderId="16" xfId="50" applyNumberFormat="1" applyFont="1" applyFill="1" applyBorder="1"/>
    <xf numFmtId="3" fontId="26" fillId="29" borderId="16" xfId="50" applyNumberFormat="1" applyFont="1" applyFill="1" applyBorder="1"/>
    <xf numFmtId="3" fontId="26" fillId="29" borderId="12" xfId="50" applyNumberFormat="1" applyFont="1" applyFill="1" applyBorder="1"/>
    <xf numFmtId="3" fontId="25" fillId="0" borderId="0" xfId="50" applyNumberFormat="1" applyFont="1"/>
    <xf numFmtId="3" fontId="26" fillId="0" borderId="0" xfId="50" applyNumberFormat="1" applyFont="1"/>
    <xf numFmtId="3" fontId="28" fillId="0" borderId="14" xfId="86" applyNumberFormat="1" applyFont="1" applyFill="1" applyBorder="1" applyAlignment="1">
      <alignment horizontal="left" wrapText="1"/>
    </xf>
    <xf numFmtId="3" fontId="28" fillId="0" borderId="12" xfId="49" applyNumberFormat="1" applyFont="1" applyFill="1" applyBorder="1" applyAlignment="1">
      <alignment horizontal="right" vertical="center" wrapText="1"/>
    </xf>
    <xf numFmtId="3" fontId="25" fillId="0" borderId="17" xfId="43" applyNumberFormat="1" applyFont="1" applyBorder="1" applyAlignment="1">
      <alignment horizontal="right" vertical="center" wrapText="1"/>
    </xf>
    <xf numFmtId="3" fontId="25" fillId="0" borderId="18" xfId="43" applyNumberFormat="1" applyFont="1" applyBorder="1" applyAlignment="1">
      <alignment horizontal="right" vertical="center"/>
    </xf>
    <xf numFmtId="3" fontId="31" fillId="0" borderId="0" xfId="43" applyNumberFormat="1" applyFont="1" applyFill="1" applyAlignment="1">
      <alignment horizontal="right" vertical="center"/>
    </xf>
    <xf numFmtId="3" fontId="25" fillId="0" borderId="0" xfId="43" applyNumberFormat="1" applyFont="1" applyFill="1" applyAlignment="1">
      <alignment horizontal="right" vertical="center"/>
    </xf>
    <xf numFmtId="3" fontId="31" fillId="0" borderId="0" xfId="86" applyNumberFormat="1" applyFont="1" applyBorder="1" applyAlignment="1">
      <alignment horizontal="right" vertical="center"/>
    </xf>
    <xf numFmtId="3" fontId="26" fillId="0" borderId="0" xfId="86" applyNumberFormat="1" applyFont="1" applyBorder="1" applyAlignment="1">
      <alignment horizontal="right" vertical="center"/>
    </xf>
    <xf numFmtId="3" fontId="25" fillId="0" borderId="14" xfId="86" applyNumberFormat="1" applyFont="1" applyBorder="1" applyAlignment="1">
      <alignment horizontal="left" vertical="center" wrapText="1"/>
    </xf>
    <xf numFmtId="0" fontId="25" fillId="0" borderId="12" xfId="50" applyFont="1" applyBorder="1" applyAlignment="1">
      <alignment horizontal="center" vertical="center" wrapText="1"/>
    </xf>
    <xf numFmtId="0" fontId="25" fillId="0" borderId="12" xfId="50" applyFont="1" applyBorder="1" applyAlignment="1">
      <alignment horizontal="center" vertical="center"/>
    </xf>
    <xf numFmtId="0" fontId="26" fillId="0" borderId="0" xfId="85" applyFont="1" applyFill="1"/>
    <xf numFmtId="0" fontId="26" fillId="0" borderId="0" xfId="0" applyFont="1"/>
    <xf numFmtId="0" fontId="25" fillId="0" borderId="20" xfId="85" applyFont="1" applyFill="1" applyBorder="1" applyAlignment="1">
      <alignment horizontal="center" vertical="center" wrapText="1"/>
    </xf>
    <xf numFmtId="0" fontId="25" fillId="0" borderId="14" xfId="85" applyFont="1" applyFill="1" applyBorder="1" applyAlignment="1">
      <alignment horizontal="left" vertical="center" wrapText="1"/>
    </xf>
    <xf numFmtId="3" fontId="25" fillId="0" borderId="12" xfId="49" applyNumberFormat="1" applyFont="1" applyFill="1" applyBorder="1" applyAlignment="1">
      <alignment horizontal="right" vertical="center" wrapText="1"/>
    </xf>
    <xf numFmtId="0" fontId="26" fillId="0" borderId="14" xfId="85" applyFont="1" applyFill="1" applyBorder="1" applyAlignment="1">
      <alignment wrapText="1"/>
    </xf>
    <xf numFmtId="3" fontId="26" fillId="0" borderId="12" xfId="0" applyNumberFormat="1" applyFont="1" applyFill="1" applyBorder="1"/>
    <xf numFmtId="3" fontId="26" fillId="0" borderId="16" xfId="0" applyNumberFormat="1" applyFont="1" applyBorder="1"/>
    <xf numFmtId="3" fontId="26" fillId="0" borderId="0" xfId="0" applyNumberFormat="1" applyFont="1"/>
    <xf numFmtId="0" fontId="26" fillId="0" borderId="12" xfId="0" applyFont="1" applyBorder="1"/>
    <xf numFmtId="49" fontId="26" fillId="0" borderId="14" xfId="85" applyNumberFormat="1" applyFont="1" applyFill="1" applyBorder="1" applyAlignment="1">
      <alignment wrapText="1"/>
    </xf>
    <xf numFmtId="0" fontId="26" fillId="0" borderId="14" xfId="85" applyFont="1" applyFill="1" applyBorder="1"/>
    <xf numFmtId="0" fontId="25" fillId="0" borderId="14" xfId="49" applyFont="1" applyFill="1" applyBorder="1" applyAlignment="1">
      <alignment horizontal="left" vertical="center" wrapText="1" indent="1"/>
    </xf>
    <xf numFmtId="3" fontId="25" fillId="0" borderId="12" xfId="0" applyNumberFormat="1" applyFont="1" applyFill="1" applyBorder="1"/>
    <xf numFmtId="0" fontId="25" fillId="0" borderId="14" xfId="85" applyFont="1" applyFill="1" applyBorder="1" applyAlignment="1">
      <alignment wrapText="1"/>
    </xf>
    <xf numFmtId="0" fontId="25" fillId="0" borderId="17" xfId="85" applyFont="1" applyFill="1" applyBorder="1"/>
    <xf numFmtId="3" fontId="25" fillId="0" borderId="18" xfId="85" applyNumberFormat="1" applyFont="1" applyFill="1" applyBorder="1"/>
    <xf numFmtId="0" fontId="26" fillId="0" borderId="15" xfId="85" applyFont="1" applyFill="1" applyBorder="1"/>
    <xf numFmtId="0" fontId="25" fillId="0" borderId="0" xfId="85" applyFont="1" applyFill="1"/>
    <xf numFmtId="3" fontId="26" fillId="0" borderId="0" xfId="85" applyNumberFormat="1" applyFont="1" applyFill="1"/>
    <xf numFmtId="3" fontId="25" fillId="0" borderId="16" xfId="0" applyNumberFormat="1" applyFont="1" applyBorder="1" applyAlignment="1">
      <alignment horizontal="right" vertical="center"/>
    </xf>
    <xf numFmtId="0" fontId="25" fillId="0" borderId="0" xfId="50" applyFont="1" applyFill="1" applyBorder="1" applyAlignment="1">
      <alignment horizontal="left" vertical="center" wrapText="1" indent="1"/>
    </xf>
    <xf numFmtId="0" fontId="26" fillId="0" borderId="0" xfId="50" applyFont="1" applyFill="1" applyBorder="1" applyAlignment="1">
      <alignment horizontal="left" vertical="center" wrapText="1" indent="2"/>
    </xf>
    <xf numFmtId="3" fontId="26" fillId="0" borderId="0" xfId="50" applyNumberFormat="1" applyFont="1" applyFill="1" applyBorder="1" applyAlignment="1">
      <alignment horizontal="left" vertical="center" wrapText="1" indent="2"/>
    </xf>
    <xf numFmtId="0" fontId="26" fillId="0" borderId="12" xfId="50" applyFont="1" applyFill="1" applyBorder="1"/>
    <xf numFmtId="0" fontId="25" fillId="0" borderId="14" xfId="45" applyFont="1" applyFill="1" applyBorder="1"/>
    <xf numFmtId="3" fontId="25" fillId="29" borderId="12" xfId="45" applyNumberFormat="1" applyFont="1" applyFill="1" applyBorder="1" applyAlignment="1">
      <alignment horizontal="right"/>
    </xf>
    <xf numFmtId="4" fontId="25" fillId="0" borderId="12" xfId="45" applyNumberFormat="1" applyFont="1" applyFill="1" applyBorder="1"/>
    <xf numFmtId="3" fontId="25" fillId="0" borderId="12" xfId="0" applyNumberFormat="1" applyFont="1" applyBorder="1" applyAlignment="1">
      <alignment horizontal="right"/>
    </xf>
    <xf numFmtId="0" fontId="26" fillId="0" borderId="14" xfId="45" applyFont="1" applyFill="1" applyBorder="1"/>
    <xf numFmtId="4" fontId="26" fillId="0" borderId="12" xfId="45" applyNumberFormat="1" applyFont="1" applyFill="1" applyBorder="1"/>
    <xf numFmtId="3" fontId="26" fillId="29" borderId="12" xfId="45" applyNumberFormat="1" applyFont="1" applyFill="1" applyBorder="1"/>
    <xf numFmtId="3" fontId="26" fillId="0" borderId="12" xfId="0" applyNumberFormat="1" applyFont="1" applyBorder="1" applyAlignment="1">
      <alignment horizontal="right"/>
    </xf>
    <xf numFmtId="3" fontId="26" fillId="29" borderId="12" xfId="45" applyNumberFormat="1" applyFont="1" applyFill="1" applyBorder="1" applyAlignment="1">
      <alignment horizontal="right"/>
    </xf>
    <xf numFmtId="0" fontId="25" fillId="0" borderId="14" xfId="47" applyFont="1" applyFill="1" applyBorder="1"/>
    <xf numFmtId="0" fontId="26" fillId="0" borderId="12" xfId="45" applyFont="1" applyFill="1" applyBorder="1"/>
    <xf numFmtId="3" fontId="26" fillId="0" borderId="12" xfId="45" applyNumberFormat="1" applyFont="1" applyFill="1" applyBorder="1"/>
    <xf numFmtId="165" fontId="26" fillId="29" borderId="12" xfId="45" applyNumberFormat="1" applyFont="1" applyFill="1" applyBorder="1"/>
    <xf numFmtId="3" fontId="26" fillId="0" borderId="12" xfId="45" applyNumberFormat="1" applyFont="1" applyBorder="1"/>
    <xf numFmtId="165" fontId="25" fillId="29" borderId="12" xfId="45" applyNumberFormat="1" applyFont="1" applyFill="1" applyBorder="1"/>
    <xf numFmtId="0" fontId="25" fillId="0" borderId="14" xfId="0" applyFont="1" applyBorder="1"/>
    <xf numFmtId="3" fontId="25" fillId="0" borderId="12" xfId="45" applyNumberFormat="1" applyFont="1" applyBorder="1"/>
    <xf numFmtId="0" fontId="26" fillId="0" borderId="14" xfId="0" applyFont="1" applyBorder="1"/>
    <xf numFmtId="0" fontId="26" fillId="0" borderId="14" xfId="45" applyFont="1" applyFill="1" applyBorder="1" applyAlignment="1">
      <alignment wrapText="1"/>
    </xf>
    <xf numFmtId="2" fontId="25" fillId="0" borderId="12" xfId="45" applyNumberFormat="1" applyFont="1" applyFill="1" applyBorder="1"/>
    <xf numFmtId="0" fontId="26" fillId="0" borderId="0" xfId="0" applyFont="1" applyFill="1"/>
    <xf numFmtId="0" fontId="26" fillId="0" borderId="12" xfId="45" applyFont="1" applyBorder="1"/>
    <xf numFmtId="3" fontId="25" fillId="0" borderId="14" xfId="45" applyNumberFormat="1" applyFont="1" applyFill="1" applyBorder="1"/>
    <xf numFmtId="0" fontId="25" fillId="0" borderId="12" xfId="45" applyFont="1" applyBorder="1"/>
    <xf numFmtId="3" fontId="26" fillId="0" borderId="14" xfId="45" applyNumberFormat="1" applyFont="1" applyFill="1" applyBorder="1"/>
    <xf numFmtId="0" fontId="25" fillId="0" borderId="17" xfId="45" applyFont="1" applyFill="1" applyBorder="1"/>
    <xf numFmtId="0" fontId="26" fillId="0" borderId="18" xfId="45" applyFont="1" applyBorder="1"/>
    <xf numFmtId="3" fontId="25" fillId="0" borderId="18" xfId="45" applyNumberFormat="1" applyFont="1" applyBorder="1"/>
    <xf numFmtId="3" fontId="25" fillId="29" borderId="12" xfId="50" applyNumberFormat="1" applyFont="1" applyFill="1" applyBorder="1" applyAlignment="1">
      <alignment horizontal="right" vertical="center" wrapText="1"/>
    </xf>
    <xf numFmtId="3" fontId="25" fillId="29" borderId="16" xfId="50" applyNumberFormat="1" applyFont="1" applyFill="1" applyBorder="1" applyAlignment="1">
      <alignment horizontal="right" vertical="center"/>
    </xf>
    <xf numFmtId="3" fontId="26" fillId="29" borderId="12" xfId="50" applyNumberFormat="1" applyFont="1" applyFill="1" applyBorder="1" applyAlignment="1">
      <alignment horizontal="right"/>
    </xf>
    <xf numFmtId="0" fontId="25" fillId="0" borderId="0" xfId="50" applyFont="1" applyFill="1"/>
    <xf numFmtId="0" fontId="26" fillId="0" borderId="0" xfId="50" applyFont="1" applyFill="1"/>
    <xf numFmtId="3" fontId="25" fillId="0" borderId="20" xfId="44" applyNumberFormat="1" applyFont="1" applyBorder="1" applyAlignment="1">
      <alignment horizontal="center" vertical="center" wrapText="1"/>
    </xf>
    <xf numFmtId="3" fontId="25" fillId="0" borderId="21" xfId="44" applyNumberFormat="1" applyFont="1" applyBorder="1" applyAlignment="1">
      <alignment horizontal="center" vertical="center" wrapText="1"/>
    </xf>
    <xf numFmtId="3" fontId="26" fillId="0" borderId="20" xfId="48" applyNumberFormat="1" applyFont="1" applyBorder="1" applyAlignment="1">
      <alignment wrapText="1"/>
    </xf>
    <xf numFmtId="3" fontId="26" fillId="0" borderId="21" xfId="48" applyNumberFormat="1" applyFont="1" applyBorder="1"/>
    <xf numFmtId="3" fontId="26" fillId="0" borderId="22" xfId="48" applyNumberFormat="1" applyFont="1" applyBorder="1"/>
    <xf numFmtId="0" fontId="25" fillId="0" borderId="16" xfId="50" applyFont="1" applyBorder="1" applyAlignment="1">
      <alignment horizontal="center" vertical="center"/>
    </xf>
    <xf numFmtId="3" fontId="25" fillId="29" borderId="18" xfId="51" applyNumberFormat="1" applyFont="1" applyFill="1" applyBorder="1" applyAlignment="1">
      <alignment horizontal="center" vertical="center" wrapText="1"/>
    </xf>
    <xf numFmtId="3" fontId="28" fillId="29" borderId="12" xfId="50" applyNumberFormat="1" applyFont="1" applyFill="1" applyBorder="1" applyAlignment="1">
      <alignment horizontal="right" wrapText="1"/>
    </xf>
    <xf numFmtId="3" fontId="26" fillId="0" borderId="14" xfId="86" applyNumberFormat="1" applyFont="1" applyBorder="1" applyAlignment="1">
      <alignment horizontal="left" vertical="center" wrapText="1"/>
    </xf>
    <xf numFmtId="0" fontId="26" fillId="0" borderId="0" xfId="0" applyFont="1"/>
    <xf numFmtId="0" fontId="25" fillId="0" borderId="12" xfId="45" applyFont="1" applyFill="1" applyBorder="1"/>
    <xf numFmtId="3" fontId="25" fillId="0" borderId="12" xfId="45" applyNumberFormat="1" applyFont="1" applyFill="1" applyBorder="1"/>
    <xf numFmtId="3" fontId="25" fillId="29" borderId="12" xfId="45" applyNumberFormat="1" applyFont="1" applyFill="1" applyBorder="1"/>
    <xf numFmtId="0" fontId="26" fillId="0" borderId="14" xfId="47" applyFont="1" applyFill="1" applyBorder="1"/>
    <xf numFmtId="3" fontId="26" fillId="0" borderId="12" xfId="50" applyNumberFormat="1" applyFont="1" applyBorder="1"/>
    <xf numFmtId="3" fontId="28" fillId="30" borderId="12" xfId="49" applyNumberFormat="1" applyFont="1" applyFill="1" applyBorder="1" applyAlignment="1">
      <alignment horizontal="right" vertical="center" wrapText="1"/>
    </xf>
    <xf numFmtId="3" fontId="26" fillId="30" borderId="12" xfId="49" applyNumberFormat="1" applyFont="1" applyFill="1" applyBorder="1" applyAlignment="1">
      <alignment horizontal="right" vertical="center" wrapText="1"/>
    </xf>
    <xf numFmtId="3" fontId="26" fillId="29" borderId="12" xfId="50" applyNumberFormat="1" applyFont="1" applyFill="1" applyBorder="1" applyAlignment="1">
      <alignment horizontal="right" wrapText="1"/>
    </xf>
    <xf numFmtId="3" fontId="26" fillId="0" borderId="12" xfId="50" applyNumberFormat="1" applyFont="1" applyFill="1" applyBorder="1" applyAlignment="1">
      <alignment horizontal="right" wrapText="1"/>
    </xf>
    <xf numFmtId="3" fontId="25" fillId="0" borderId="12" xfId="50" applyNumberFormat="1" applyFont="1" applyFill="1" applyBorder="1" applyAlignment="1">
      <alignment horizontal="right" wrapText="1"/>
    </xf>
    <xf numFmtId="3" fontId="26" fillId="0" borderId="12" xfId="0" applyNumberFormat="1" applyFont="1" applyFill="1" applyBorder="1"/>
    <xf numFmtId="3" fontId="25" fillId="0" borderId="12" xfId="0" applyNumberFormat="1" applyFont="1" applyFill="1" applyBorder="1"/>
    <xf numFmtId="3" fontId="26" fillId="0" borderId="12" xfId="44" applyNumberFormat="1" applyFont="1" applyBorder="1"/>
    <xf numFmtId="3" fontId="25" fillId="0" borderId="12" xfId="0" applyNumberFormat="1" applyFont="1" applyFill="1" applyBorder="1" applyAlignment="1">
      <alignment horizontal="right" wrapText="1"/>
    </xf>
    <xf numFmtId="3" fontId="26" fillId="0" borderId="12" xfId="0" applyNumberFormat="1" applyFont="1" applyFill="1" applyBorder="1" applyAlignment="1">
      <alignment horizontal="right" wrapText="1"/>
    </xf>
    <xf numFmtId="3" fontId="28" fillId="0" borderId="12" xfId="0" applyNumberFormat="1" applyFont="1" applyFill="1" applyBorder="1"/>
    <xf numFmtId="0" fontId="25" fillId="0" borderId="22" xfId="50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5" fillId="0" borderId="21" xfId="50" applyFont="1" applyBorder="1" applyAlignment="1">
      <alignment horizontal="center" vertical="center"/>
    </xf>
    <xf numFmtId="0" fontId="25" fillId="0" borderId="12" xfId="50" applyFont="1" applyBorder="1" applyAlignment="1">
      <alignment horizontal="center" vertical="center"/>
    </xf>
    <xf numFmtId="0" fontId="25" fillId="0" borderId="25" xfId="50" applyFont="1" applyBorder="1" applyAlignment="1">
      <alignment horizontal="center" vertical="center"/>
    </xf>
    <xf numFmtId="3" fontId="26" fillId="0" borderId="26" xfId="48" applyNumberFormat="1" applyFont="1" applyBorder="1" applyAlignment="1">
      <alignment wrapText="1"/>
    </xf>
    <xf numFmtId="3" fontId="26" fillId="0" borderId="26" xfId="48" applyNumberFormat="1" applyFont="1" applyBorder="1"/>
    <xf numFmtId="3" fontId="25" fillId="0" borderId="26" xfId="48" applyNumberFormat="1" applyFont="1" applyBorder="1"/>
    <xf numFmtId="3" fontId="25" fillId="0" borderId="28" xfId="48" applyNumberFormat="1" applyFont="1" applyBorder="1"/>
    <xf numFmtId="3" fontId="26" fillId="0" borderId="25" xfId="48" applyNumberFormat="1" applyFont="1" applyBorder="1"/>
    <xf numFmtId="0" fontId="25" fillId="0" borderId="26" xfId="50" applyFont="1" applyBorder="1" applyAlignment="1">
      <alignment horizontal="center" vertical="center"/>
    </xf>
    <xf numFmtId="3" fontId="26" fillId="0" borderId="27" xfId="48" applyNumberFormat="1" applyFont="1" applyBorder="1"/>
    <xf numFmtId="0" fontId="25" fillId="0" borderId="25" xfId="50" applyFont="1" applyBorder="1" applyAlignment="1">
      <alignment horizontal="center" vertical="center" wrapText="1"/>
    </xf>
    <xf numFmtId="3" fontId="26" fillId="0" borderId="26" xfId="44" applyNumberFormat="1" applyFont="1" applyBorder="1"/>
    <xf numFmtId="3" fontId="25" fillId="0" borderId="26" xfId="44" applyNumberFormat="1" applyFont="1" applyBorder="1"/>
    <xf numFmtId="3" fontId="25" fillId="0" borderId="26" xfId="43" applyNumberFormat="1" applyFont="1" applyBorder="1"/>
    <xf numFmtId="0" fontId="26" fillId="0" borderId="26" xfId="44" applyFont="1" applyBorder="1"/>
    <xf numFmtId="3" fontId="26" fillId="0" borderId="26" xfId="50" applyNumberFormat="1" applyFont="1" applyFill="1" applyBorder="1" applyAlignment="1">
      <alignment horizontal="right" wrapText="1"/>
    </xf>
    <xf numFmtId="3" fontId="26" fillId="0" borderId="26" xfId="0" applyNumberFormat="1" applyFont="1" applyBorder="1"/>
    <xf numFmtId="3" fontId="25" fillId="0" borderId="26" xfId="45" applyNumberFormat="1" applyFont="1" applyBorder="1"/>
    <xf numFmtId="0" fontId="25" fillId="29" borderId="26" xfId="50" applyFont="1" applyFill="1" applyBorder="1"/>
    <xf numFmtId="0" fontId="29" fillId="29" borderId="26" xfId="50" applyFont="1" applyFill="1" applyBorder="1"/>
    <xf numFmtId="3" fontId="25" fillId="29" borderId="26" xfId="50" applyNumberFormat="1" applyFont="1" applyFill="1" applyBorder="1" applyAlignment="1">
      <alignment horizontal="right" wrapText="1"/>
    </xf>
    <xf numFmtId="0" fontId="26" fillId="29" borderId="26" xfId="50" applyFont="1" applyFill="1" applyBorder="1"/>
    <xf numFmtId="3" fontId="26" fillId="29" borderId="26" xfId="50" applyNumberFormat="1" applyFont="1" applyFill="1" applyBorder="1" applyAlignment="1">
      <alignment vertical="center"/>
    </xf>
    <xf numFmtId="0" fontId="26" fillId="29" borderId="26" xfId="50" applyFont="1" applyFill="1" applyBorder="1" applyAlignment="1">
      <alignment vertical="center" wrapText="1"/>
    </xf>
    <xf numFmtId="0" fontId="26" fillId="29" borderId="26" xfId="50" applyFont="1" applyFill="1" applyBorder="1" applyAlignment="1">
      <alignment vertical="center"/>
    </xf>
    <xf numFmtId="3" fontId="25" fillId="29" borderId="26" xfId="50" applyNumberFormat="1" applyFont="1" applyFill="1" applyBorder="1" applyAlignment="1">
      <alignment vertical="center"/>
    </xf>
    <xf numFmtId="0" fontId="25" fillId="29" borderId="26" xfId="50" applyFont="1" applyFill="1" applyBorder="1" applyAlignment="1">
      <alignment vertical="center"/>
    </xf>
    <xf numFmtId="3" fontId="28" fillId="0" borderId="14" xfId="0" applyNumberFormat="1" applyFont="1" applyFill="1" applyBorder="1" applyAlignment="1">
      <alignment horizontal="left"/>
    </xf>
    <xf numFmtId="3" fontId="26" fillId="30" borderId="12" xfId="49" applyNumberFormat="1" applyFont="1" applyFill="1" applyBorder="1" applyAlignment="1">
      <alignment wrapText="1"/>
    </xf>
    <xf numFmtId="3" fontId="26" fillId="30" borderId="12" xfId="49" applyNumberFormat="1" applyFont="1" applyFill="1" applyBorder="1" applyAlignment="1">
      <alignment horizontal="right" wrapText="1"/>
    </xf>
    <xf numFmtId="3" fontId="25" fillId="29" borderId="26" xfId="50" applyNumberFormat="1" applyFont="1" applyFill="1" applyBorder="1" applyAlignment="1"/>
    <xf numFmtId="3" fontId="25" fillId="29" borderId="12" xfId="50" applyNumberFormat="1" applyFont="1" applyFill="1" applyBorder="1" applyAlignment="1"/>
    <xf numFmtId="3" fontId="26" fillId="0" borderId="16" xfId="0" applyNumberFormat="1" applyFont="1" applyBorder="1" applyAlignment="1">
      <alignment horizontal="right"/>
    </xf>
    <xf numFmtId="3" fontId="26" fillId="29" borderId="12" xfId="50" applyNumberFormat="1" applyFont="1" applyFill="1" applyBorder="1" applyAlignment="1"/>
    <xf numFmtId="0" fontId="26" fillId="29" borderId="12" xfId="50" applyFont="1" applyFill="1" applyBorder="1" applyAlignment="1"/>
    <xf numFmtId="0" fontId="25" fillId="0" borderId="12" xfId="50" applyFont="1" applyBorder="1" applyAlignment="1">
      <alignment horizontal="center" vertical="center"/>
    </xf>
    <xf numFmtId="0" fontId="26" fillId="0" borderId="12" xfId="50" applyFont="1" applyBorder="1" applyAlignment="1">
      <alignment horizontal="left" wrapText="1"/>
    </xf>
    <xf numFmtId="0" fontId="26" fillId="29" borderId="12" xfId="49" applyFont="1" applyFill="1" applyBorder="1" applyAlignment="1">
      <alignment wrapText="1"/>
    </xf>
    <xf numFmtId="0" fontId="25" fillId="0" borderId="12" xfId="50" applyFont="1" applyBorder="1" applyAlignment="1">
      <alignment horizontal="left" wrapText="1"/>
    </xf>
    <xf numFmtId="0" fontId="25" fillId="0" borderId="12" xfId="49" applyFont="1" applyBorder="1" applyAlignment="1">
      <alignment horizontal="left" wrapText="1"/>
    </xf>
    <xf numFmtId="0" fontId="25" fillId="29" borderId="12" xfId="50" applyFont="1" applyFill="1" applyBorder="1" applyAlignment="1">
      <alignment horizontal="left" wrapText="1"/>
    </xf>
    <xf numFmtId="0" fontId="28" fillId="0" borderId="12" xfId="50" applyFont="1" applyFill="1" applyBorder="1" applyAlignment="1">
      <alignment horizontal="left" wrapText="1"/>
    </xf>
    <xf numFmtId="0" fontId="25" fillId="0" borderId="12" xfId="50" applyFont="1" applyFill="1" applyBorder="1" applyAlignment="1">
      <alignment horizontal="left" wrapText="1"/>
    </xf>
    <xf numFmtId="0" fontId="26" fillId="0" borderId="12" xfId="50" applyFont="1" applyFill="1" applyBorder="1" applyAlignment="1">
      <alignment horizontal="left" wrapText="1"/>
    </xf>
    <xf numFmtId="3" fontId="26" fillId="0" borderId="12" xfId="43" applyNumberFormat="1" applyFont="1" applyFill="1" applyBorder="1" applyAlignment="1">
      <alignment wrapText="1"/>
    </xf>
    <xf numFmtId="0" fontId="25" fillId="0" borderId="0" xfId="50" applyFont="1" applyBorder="1" applyAlignment="1">
      <alignment horizontal="center" vertical="center" wrapText="1"/>
    </xf>
    <xf numFmtId="0" fontId="25" fillId="0" borderId="24" xfId="50" applyFont="1" applyBorder="1" applyAlignment="1">
      <alignment horizontal="center" vertical="center"/>
    </xf>
    <xf numFmtId="0" fontId="25" fillId="0" borderId="22" xfId="50" applyFont="1" applyBorder="1" applyAlignment="1">
      <alignment horizontal="center" vertical="center"/>
    </xf>
    <xf numFmtId="0" fontId="25" fillId="0" borderId="16" xfId="50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5" fillId="0" borderId="21" xfId="50" applyFont="1" applyBorder="1" applyAlignment="1">
      <alignment horizontal="center" vertical="center"/>
    </xf>
    <xf numFmtId="0" fontId="25" fillId="0" borderId="12" xfId="50" applyFont="1" applyBorder="1" applyAlignment="1">
      <alignment horizontal="center" vertical="center"/>
    </xf>
    <xf numFmtId="0" fontId="25" fillId="0" borderId="20" xfId="45" applyFont="1" applyFill="1" applyBorder="1" applyAlignment="1">
      <alignment horizontal="center" vertical="center"/>
    </xf>
    <xf numFmtId="0" fontId="25" fillId="0" borderId="14" xfId="45" applyFont="1" applyFill="1" applyBorder="1" applyAlignment="1">
      <alignment horizontal="center" vertical="center"/>
    </xf>
    <xf numFmtId="0" fontId="25" fillId="0" borderId="21" xfId="45" applyFont="1" applyBorder="1" applyAlignment="1">
      <alignment horizontal="center" vertical="center"/>
    </xf>
    <xf numFmtId="0" fontId="25" fillId="0" borderId="12" xfId="45" applyFont="1" applyBorder="1" applyAlignment="1">
      <alignment horizontal="center" vertical="center"/>
    </xf>
    <xf numFmtId="0" fontId="25" fillId="0" borderId="21" xfId="45" applyFont="1" applyFill="1" applyBorder="1" applyAlignment="1">
      <alignment horizontal="center" vertical="center"/>
    </xf>
    <xf numFmtId="0" fontId="25" fillId="0" borderId="12" xfId="45" applyFont="1" applyFill="1" applyBorder="1" applyAlignment="1">
      <alignment horizontal="center" vertical="center"/>
    </xf>
    <xf numFmtId="0" fontId="25" fillId="29" borderId="21" xfId="45" applyFont="1" applyFill="1" applyBorder="1" applyAlignment="1">
      <alignment horizontal="center" vertical="center"/>
    </xf>
    <xf numFmtId="0" fontId="25" fillId="29" borderId="12" xfId="45" applyFont="1" applyFill="1" applyBorder="1" applyAlignment="1">
      <alignment horizontal="center" vertical="center"/>
    </xf>
    <xf numFmtId="0" fontId="25" fillId="0" borderId="29" xfId="50" applyFont="1" applyBorder="1" applyAlignment="1">
      <alignment horizontal="center" vertical="center"/>
    </xf>
    <xf numFmtId="0" fontId="25" fillId="0" borderId="30" xfId="50" applyFont="1" applyBorder="1" applyAlignment="1">
      <alignment horizontal="center" vertical="center"/>
    </xf>
    <xf numFmtId="0" fontId="25" fillId="0" borderId="24" xfId="44" applyFont="1" applyBorder="1" applyAlignment="1">
      <alignment horizontal="center" vertical="center"/>
    </xf>
    <xf numFmtId="3" fontId="25" fillId="0" borderId="24" xfId="43" applyNumberFormat="1" applyFont="1" applyBorder="1" applyAlignment="1">
      <alignment horizontal="center" wrapText="1"/>
    </xf>
    <xf numFmtId="3" fontId="25" fillId="0" borderId="0" xfId="44" applyNumberFormat="1" applyFont="1" applyBorder="1" applyAlignment="1">
      <alignment horizontal="center"/>
    </xf>
    <xf numFmtId="3" fontId="25" fillId="0" borderId="0" xfId="48" applyNumberFormat="1" applyFont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19" fillId="0" borderId="20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</cellXfs>
  <cellStyles count="88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4"/>
    <cellStyle name="Ezres 3 2" xfId="87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_2007_Koncepció táblák" xfId="86"/>
    <cellStyle name="Normál_2007_Koncepció táblák_2013. évi költségvetés I." xfId="43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40"/>
  <sheetViews>
    <sheetView view="pageLayout" topLeftCell="A3" zoomScaleNormal="75" zoomScaleSheetLayoutView="89" workbookViewId="0">
      <selection activeCell="A4" sqref="A4:E4"/>
    </sheetView>
  </sheetViews>
  <sheetFormatPr defaultColWidth="9.140625" defaultRowHeight="15.75" x14ac:dyDescent="0.25"/>
  <cols>
    <col min="1" max="1" width="34.7109375" style="42" customWidth="1"/>
    <col min="2" max="2" width="17" style="5" bestFit="1" customWidth="1"/>
    <col min="3" max="4" width="13.28515625" style="5" customWidth="1"/>
    <col min="5" max="5" width="13.5703125" style="5" customWidth="1"/>
    <col min="6" max="7" width="10.85546875" style="5" bestFit="1" customWidth="1"/>
    <col min="8" max="8" width="9.140625" style="5"/>
    <col min="9" max="9" width="10" style="5" bestFit="1" customWidth="1"/>
    <col min="10" max="16384" width="9.140625" style="5"/>
  </cols>
  <sheetData>
    <row r="1" spans="1:5" hidden="1" x14ac:dyDescent="0.25">
      <c r="A1" s="4"/>
    </row>
    <row r="2" spans="1:5" hidden="1" x14ac:dyDescent="0.25">
      <c r="A2" s="4"/>
    </row>
    <row r="3" spans="1:5" x14ac:dyDescent="0.25">
      <c r="A3" s="4"/>
    </row>
    <row r="4" spans="1:5" ht="32.25" customHeight="1" x14ac:dyDescent="0.25">
      <c r="A4" s="324" t="s">
        <v>347</v>
      </c>
      <c r="B4" s="324"/>
      <c r="C4" s="324"/>
      <c r="D4" s="324"/>
      <c r="E4" s="324"/>
    </row>
    <row r="5" spans="1:5" s="38" customFormat="1" ht="56.25" customHeight="1" x14ac:dyDescent="0.2">
      <c r="A5" s="191" t="s">
        <v>212</v>
      </c>
      <c r="B5" s="191" t="s">
        <v>353</v>
      </c>
      <c r="C5" s="314" t="s">
        <v>322</v>
      </c>
      <c r="D5" s="314" t="s">
        <v>372</v>
      </c>
      <c r="E5" s="314" t="s">
        <v>323</v>
      </c>
    </row>
    <row r="6" spans="1:5" ht="31.5" x14ac:dyDescent="0.25">
      <c r="A6" s="315" t="s">
        <v>4</v>
      </c>
      <c r="B6" s="265">
        <f>'2.tábla'!B5</f>
        <v>31474348</v>
      </c>
      <c r="C6" s="265">
        <f>'2.tábla'!C5</f>
        <v>31561828</v>
      </c>
      <c r="D6" s="265">
        <f>'2.tábla'!D5</f>
        <v>44660661</v>
      </c>
      <c r="E6" s="265">
        <f>D6-C6</f>
        <v>13098833</v>
      </c>
    </row>
    <row r="7" spans="1:5" ht="31.5" x14ac:dyDescent="0.25">
      <c r="A7" s="315" t="s">
        <v>5</v>
      </c>
      <c r="B7" s="265">
        <f>'2.tábla'!B20</f>
        <v>5000000</v>
      </c>
      <c r="C7" s="265">
        <f>'2.tábla'!C20</f>
        <v>13956854</v>
      </c>
      <c r="D7" s="265">
        <f>'2.tábla'!D20</f>
        <v>13956854</v>
      </c>
      <c r="E7" s="265">
        <f t="shared" ref="E7:E34" si="0">D7-C7</f>
        <v>0</v>
      </c>
    </row>
    <row r="8" spans="1:5" x14ac:dyDescent="0.25">
      <c r="A8" s="315" t="s">
        <v>6</v>
      </c>
      <c r="B8" s="265">
        <f>'2.tábla'!B29</f>
        <v>11333000</v>
      </c>
      <c r="C8" s="265">
        <f>'2.tábla'!C29</f>
        <v>11333000</v>
      </c>
      <c r="D8" s="265">
        <f>'2.tábla'!D29</f>
        <v>11333000</v>
      </c>
      <c r="E8" s="265">
        <f t="shared" si="0"/>
        <v>0</v>
      </c>
    </row>
    <row r="9" spans="1:5" x14ac:dyDescent="0.25">
      <c r="A9" s="315" t="s">
        <v>7</v>
      </c>
      <c r="B9" s="265">
        <f>'2.tábla'!B42</f>
        <v>3140000</v>
      </c>
      <c r="C9" s="265">
        <f>'2.tábla'!C42</f>
        <v>3290000</v>
      </c>
      <c r="D9" s="265">
        <f>'2.tábla'!D42</f>
        <v>4350000</v>
      </c>
      <c r="E9" s="265">
        <f t="shared" si="0"/>
        <v>1060000</v>
      </c>
    </row>
    <row r="10" spans="1:5" x14ac:dyDescent="0.25">
      <c r="A10" s="315" t="s">
        <v>8</v>
      </c>
      <c r="B10" s="265">
        <f>'2.tábla'!B55</f>
        <v>0</v>
      </c>
      <c r="C10" s="265">
        <f>'2.tábla'!C55</f>
        <v>0</v>
      </c>
      <c r="D10" s="265"/>
      <c r="E10" s="265">
        <f t="shared" si="0"/>
        <v>0</v>
      </c>
    </row>
    <row r="11" spans="1:5" ht="31.5" x14ac:dyDescent="0.25">
      <c r="A11" s="316" t="s">
        <v>9</v>
      </c>
      <c r="B11" s="265">
        <f>'2.tábla'!B60</f>
        <v>0</v>
      </c>
      <c r="C11" s="265">
        <f>'2.tábla'!C60</f>
        <v>0</v>
      </c>
      <c r="D11" s="265"/>
      <c r="E11" s="265">
        <f t="shared" si="0"/>
        <v>0</v>
      </c>
    </row>
    <row r="12" spans="1:5" ht="31.5" x14ac:dyDescent="0.25">
      <c r="A12" s="316" t="s">
        <v>10</v>
      </c>
      <c r="B12" s="265">
        <f>'2.tábla'!B64</f>
        <v>0</v>
      </c>
      <c r="C12" s="265">
        <f>'2.tábla'!C64</f>
        <v>0</v>
      </c>
      <c r="D12" s="265">
        <f>'2.tábla'!D64</f>
        <v>3000000</v>
      </c>
      <c r="E12" s="265">
        <f t="shared" si="0"/>
        <v>3000000</v>
      </c>
    </row>
    <row r="13" spans="1:5" s="39" customFormat="1" ht="24" customHeight="1" x14ac:dyDescent="0.25">
      <c r="A13" s="317" t="s">
        <v>11</v>
      </c>
      <c r="B13" s="34">
        <f>SUM(B6:B12)</f>
        <v>50947348</v>
      </c>
      <c r="C13" s="34">
        <f>SUM(C6:C12)</f>
        <v>60141682</v>
      </c>
      <c r="D13" s="34">
        <f>SUM(D6:D12)</f>
        <v>77300515</v>
      </c>
      <c r="E13" s="265">
        <f t="shared" si="0"/>
        <v>17158833</v>
      </c>
    </row>
    <row r="14" spans="1:5" ht="42.75" customHeight="1" x14ac:dyDescent="0.25">
      <c r="A14" s="315" t="s">
        <v>218</v>
      </c>
      <c r="B14" s="265">
        <f>'2.tábla'!B70</f>
        <v>20000000</v>
      </c>
      <c r="C14" s="265">
        <f>'2.tábla'!C70</f>
        <v>28648541</v>
      </c>
      <c r="D14" s="265">
        <f>'2.tábla'!D70</f>
        <v>28648541</v>
      </c>
      <c r="E14" s="265">
        <f t="shared" si="0"/>
        <v>0</v>
      </c>
    </row>
    <row r="15" spans="1:5" ht="48.75" customHeight="1" x14ac:dyDescent="0.25">
      <c r="A15" s="315" t="s">
        <v>13</v>
      </c>
      <c r="B15" s="265">
        <f>'2.tábla'!B73</f>
        <v>907476</v>
      </c>
      <c r="C15" s="265">
        <f>'2.tábla'!C73</f>
        <v>907476</v>
      </c>
      <c r="D15" s="265">
        <f>'2.tábla'!D73</f>
        <v>963239</v>
      </c>
      <c r="E15" s="265">
        <f t="shared" si="0"/>
        <v>55763</v>
      </c>
    </row>
    <row r="16" spans="1:5" s="39" customFormat="1" ht="23.25" customHeight="1" x14ac:dyDescent="0.25">
      <c r="A16" s="318" t="s">
        <v>12</v>
      </c>
      <c r="B16" s="7">
        <f>B14+B15</f>
        <v>20907476</v>
      </c>
      <c r="C16" s="7">
        <f>C14+C15</f>
        <v>29556017</v>
      </c>
      <c r="D16" s="7">
        <f>D14+D15</f>
        <v>29611780</v>
      </c>
      <c r="E16" s="265">
        <f t="shared" si="0"/>
        <v>55763</v>
      </c>
    </row>
    <row r="17" spans="1:11" s="39" customFormat="1" ht="20.25" customHeight="1" x14ac:dyDescent="0.25">
      <c r="A17" s="319" t="s">
        <v>14</v>
      </c>
      <c r="B17" s="8">
        <f>B13+B16</f>
        <v>71854824</v>
      </c>
      <c r="C17" s="8">
        <f>C13+C16</f>
        <v>89697699</v>
      </c>
      <c r="D17" s="8">
        <f>D13+D16</f>
        <v>106912295</v>
      </c>
      <c r="E17" s="265">
        <f t="shared" si="0"/>
        <v>17214596</v>
      </c>
    </row>
    <row r="18" spans="1:11" s="39" customFormat="1" ht="18.75" customHeight="1" x14ac:dyDescent="0.25">
      <c r="A18" s="319"/>
      <c r="B18" s="8"/>
      <c r="C18" s="34"/>
      <c r="D18" s="34"/>
      <c r="E18" s="265">
        <f t="shared" si="0"/>
        <v>0</v>
      </c>
    </row>
    <row r="19" spans="1:11" s="41" customFormat="1" ht="20.100000000000001" customHeight="1" x14ac:dyDescent="0.25">
      <c r="A19" s="317" t="s">
        <v>15</v>
      </c>
      <c r="B19" s="34">
        <f>B20</f>
        <v>47582807</v>
      </c>
      <c r="C19" s="34">
        <f>C20</f>
        <v>48919723</v>
      </c>
      <c r="D19" s="34">
        <f>D20</f>
        <v>61574034</v>
      </c>
      <c r="E19" s="265">
        <f t="shared" si="0"/>
        <v>12654311</v>
      </c>
      <c r="F19" s="40"/>
      <c r="G19" s="40"/>
      <c r="H19" s="40"/>
      <c r="I19" s="40"/>
      <c r="J19" s="40"/>
      <c r="K19" s="40"/>
    </row>
    <row r="20" spans="1:11" ht="20.25" customHeight="1" x14ac:dyDescent="0.25">
      <c r="A20" s="315" t="s">
        <v>270</v>
      </c>
      <c r="B20" s="265">
        <f>'3.tábla '!B37</f>
        <v>47582807</v>
      </c>
      <c r="C20" s="265">
        <f>'3.tábla '!C37</f>
        <v>48919723</v>
      </c>
      <c r="D20" s="265">
        <f>'3.tábla '!D37</f>
        <v>61574034</v>
      </c>
      <c r="E20" s="265">
        <f t="shared" si="0"/>
        <v>12654311</v>
      </c>
    </row>
    <row r="21" spans="1:11" s="39" customFormat="1" ht="20.100000000000001" customHeight="1" x14ac:dyDescent="0.25">
      <c r="A21" s="317" t="s">
        <v>16</v>
      </c>
      <c r="B21" s="7">
        <f>SUM(B22:B24)</f>
        <v>14466956</v>
      </c>
      <c r="C21" s="7">
        <f>SUM(C22:C24)</f>
        <v>25113795</v>
      </c>
      <c r="D21" s="7">
        <f>SUM(D22:D24)</f>
        <v>31571416</v>
      </c>
      <c r="E21" s="265">
        <f t="shared" si="0"/>
        <v>6457621</v>
      </c>
    </row>
    <row r="22" spans="1:11" ht="20.100000000000001" customHeight="1" x14ac:dyDescent="0.25">
      <c r="A22" s="315" t="s">
        <v>207</v>
      </c>
      <c r="B22" s="265">
        <f>'5.tábla'!B3</f>
        <v>9119196</v>
      </c>
      <c r="C22" s="265">
        <f>'5.tábla'!C3</f>
        <v>9217399</v>
      </c>
      <c r="D22" s="265">
        <f>'5.tábla'!D3</f>
        <v>14222020</v>
      </c>
      <c r="E22" s="265">
        <f t="shared" si="0"/>
        <v>5004621</v>
      </c>
      <c r="G22" s="181"/>
    </row>
    <row r="23" spans="1:11" s="39" customFormat="1" ht="20.100000000000001" customHeight="1" x14ac:dyDescent="0.25">
      <c r="A23" s="315" t="s">
        <v>208</v>
      </c>
      <c r="B23" s="265">
        <f>'5.tábla'!B22</f>
        <v>5316875</v>
      </c>
      <c r="C23" s="265">
        <f>'5.tábla'!C22</f>
        <v>15865511</v>
      </c>
      <c r="D23" s="265">
        <f>'5.tábla'!D22</f>
        <v>17318511</v>
      </c>
      <c r="E23" s="265">
        <f t="shared" si="0"/>
        <v>1453000</v>
      </c>
    </row>
    <row r="24" spans="1:11" ht="20.100000000000001" customHeight="1" x14ac:dyDescent="0.25">
      <c r="A24" s="315" t="s">
        <v>266</v>
      </c>
      <c r="B24" s="265">
        <f>'5.tábla'!B32</f>
        <v>30885</v>
      </c>
      <c r="C24" s="265">
        <f>'5.tábla'!C32</f>
        <v>30885</v>
      </c>
      <c r="D24" s="265">
        <f>'5.tábla'!D32</f>
        <v>30885</v>
      </c>
      <c r="E24" s="265">
        <f t="shared" si="0"/>
        <v>0</v>
      </c>
      <c r="I24" s="5">
        <v>-1134280</v>
      </c>
    </row>
    <row r="25" spans="1:11" ht="12.75" customHeight="1" x14ac:dyDescent="0.25">
      <c r="A25" s="317"/>
      <c r="B25" s="265"/>
      <c r="C25" s="6"/>
      <c r="D25" s="6"/>
      <c r="E25" s="265">
        <f t="shared" si="0"/>
        <v>0</v>
      </c>
      <c r="I25" s="5">
        <v>89694</v>
      </c>
    </row>
    <row r="26" spans="1:11" s="39" customFormat="1" ht="20.100000000000001" customHeight="1" x14ac:dyDescent="0.25">
      <c r="A26" s="317" t="s">
        <v>17</v>
      </c>
      <c r="B26" s="7">
        <f>B27+B28</f>
        <v>7405470</v>
      </c>
      <c r="C26" s="7">
        <f>C27+C28</f>
        <v>13264590</v>
      </c>
      <c r="D26" s="7">
        <f>D27+D28</f>
        <v>11311491</v>
      </c>
      <c r="E26" s="265">
        <f>E27+E28</f>
        <v>-1953099</v>
      </c>
      <c r="F26" s="181"/>
      <c r="I26" s="39">
        <v>8648541</v>
      </c>
    </row>
    <row r="27" spans="1:11" s="39" customFormat="1" ht="20.100000000000001" customHeight="1" x14ac:dyDescent="0.25">
      <c r="A27" s="315" t="s">
        <v>18</v>
      </c>
      <c r="B27" s="265">
        <v>7405470</v>
      </c>
      <c r="C27" s="265">
        <f>7405470-1134280+89694+8648541-11160-98203-1580622-110440+87480-31890</f>
        <v>13264590</v>
      </c>
      <c r="D27" s="265">
        <f>13264590-1000001-393000-30294-1004620-500000+1004054-150000-350000-300000</f>
        <v>10540729</v>
      </c>
      <c r="E27" s="265">
        <f t="shared" si="0"/>
        <v>-2723861</v>
      </c>
      <c r="I27" s="39">
        <v>-11160</v>
      </c>
    </row>
    <row r="28" spans="1:11" s="39" customFormat="1" ht="20.100000000000001" customHeight="1" x14ac:dyDescent="0.25">
      <c r="A28" s="315" t="s">
        <v>19</v>
      </c>
      <c r="B28" s="265"/>
      <c r="C28" s="6">
        <f>C29</f>
        <v>0</v>
      </c>
      <c r="D28" s="6">
        <v>770762</v>
      </c>
      <c r="E28" s="265">
        <f t="shared" si="0"/>
        <v>770762</v>
      </c>
      <c r="I28" s="39">
        <v>-98203</v>
      </c>
    </row>
    <row r="29" spans="1:11" s="249" customFormat="1" ht="30" customHeight="1" x14ac:dyDescent="0.25">
      <c r="A29" s="320" t="s">
        <v>334</v>
      </c>
      <c r="B29" s="76"/>
      <c r="C29" s="217"/>
      <c r="D29" s="217"/>
      <c r="E29" s="265">
        <f t="shared" si="0"/>
        <v>0</v>
      </c>
      <c r="I29" s="249">
        <v>-1580622</v>
      </c>
    </row>
    <row r="30" spans="1:11" s="249" customFormat="1" ht="23.25" customHeight="1" x14ac:dyDescent="0.25">
      <c r="A30" s="321" t="s">
        <v>20</v>
      </c>
      <c r="B30" s="270">
        <f>SUM(B26,B21,B19)</f>
        <v>69455233</v>
      </c>
      <c r="C30" s="270">
        <f>SUM(C26,C21,C19)</f>
        <v>87298108</v>
      </c>
      <c r="D30" s="270">
        <f>SUM(D26,D21,D19)</f>
        <v>104456941</v>
      </c>
      <c r="E30" s="270">
        <f>SUM(E26,E21,E19)</f>
        <v>17158833</v>
      </c>
      <c r="I30" s="249">
        <f>SUM(I24:I29)</f>
        <v>5913970</v>
      </c>
    </row>
    <row r="31" spans="1:11" s="250" customFormat="1" ht="20.100000000000001" customHeight="1" x14ac:dyDescent="0.25">
      <c r="A31" s="322" t="s">
        <v>311</v>
      </c>
      <c r="B31" s="76">
        <f>'5.tábla'!B35</f>
        <v>0</v>
      </c>
      <c r="C31" s="76">
        <f>'5.tábla'!C35</f>
        <v>0</v>
      </c>
      <c r="D31" s="76"/>
      <c r="E31" s="265">
        <f t="shared" si="0"/>
        <v>0</v>
      </c>
    </row>
    <row r="32" spans="1:11" ht="20.100000000000001" customHeight="1" x14ac:dyDescent="0.25">
      <c r="A32" s="323" t="s">
        <v>96</v>
      </c>
      <c r="B32" s="265">
        <f>'5.tábla'!B36</f>
        <v>0</v>
      </c>
      <c r="C32" s="265">
        <f>'5.tábla'!C36</f>
        <v>0</v>
      </c>
      <c r="D32" s="265"/>
      <c r="E32" s="265">
        <f t="shared" si="0"/>
        <v>0</v>
      </c>
    </row>
    <row r="33" spans="1:8" ht="31.5" x14ac:dyDescent="0.25">
      <c r="A33" s="315" t="s">
        <v>225</v>
      </c>
      <c r="B33" s="265">
        <f>'5.tábla'!B37</f>
        <v>2399591</v>
      </c>
      <c r="C33" s="265">
        <f>'5.tábla'!C37</f>
        <v>2399591</v>
      </c>
      <c r="D33" s="265">
        <f>'5.tábla'!D37</f>
        <v>2455354</v>
      </c>
      <c r="E33" s="265">
        <f t="shared" si="0"/>
        <v>55763</v>
      </c>
    </row>
    <row r="34" spans="1:8" s="39" customFormat="1" ht="21.75" customHeight="1" x14ac:dyDescent="0.25">
      <c r="A34" s="317" t="s">
        <v>21</v>
      </c>
      <c r="B34" s="7">
        <f>SUM(B31:B33)</f>
        <v>2399591</v>
      </c>
      <c r="C34" s="7">
        <f>SUM(C31:C33)</f>
        <v>2399591</v>
      </c>
      <c r="D34" s="7">
        <f>SUM(D31:D33)</f>
        <v>2455354</v>
      </c>
      <c r="E34" s="265">
        <f t="shared" si="0"/>
        <v>55763</v>
      </c>
    </row>
    <row r="35" spans="1:8" s="39" customFormat="1" ht="20.100000000000001" customHeight="1" x14ac:dyDescent="0.25">
      <c r="A35" s="319" t="s">
        <v>22</v>
      </c>
      <c r="B35" s="8">
        <f>B30+B34</f>
        <v>71854824</v>
      </c>
      <c r="C35" s="8">
        <f>C30+C34</f>
        <v>89697699</v>
      </c>
      <c r="D35" s="8">
        <f>D30+D34</f>
        <v>106912295</v>
      </c>
      <c r="E35" s="265">
        <f>D35-C35</f>
        <v>17214596</v>
      </c>
      <c r="F35" s="180"/>
      <c r="G35" s="180"/>
      <c r="H35" s="180"/>
    </row>
    <row r="38" spans="1:8" x14ac:dyDescent="0.25">
      <c r="D38" s="181"/>
    </row>
    <row r="40" spans="1:8" x14ac:dyDescent="0.25">
      <c r="C40" s="181">
        <f>D35-C35</f>
        <v>17214596</v>
      </c>
    </row>
  </sheetData>
  <sheetProtection selectLockedCells="1" selectUnlockedCells="1"/>
  <mergeCells count="1">
    <mergeCell ref="A4:E4"/>
  </mergeCells>
  <phoneticPr fontId="20" type="noConversion"/>
  <printOptions horizontalCentered="1"/>
  <pageMargins left="0.47244094488188981" right="0.59055118110236227" top="1.1023622047244095" bottom="0.19685039370078741" header="0.23622047244094491" footer="0.51181102362204722"/>
  <pageSetup paperSize="9" scale="95" firstPageNumber="0" orientation="portrait" r:id="rId1"/>
  <headerFooter alignWithMargins="0">
    <oddHeader xml:space="preserve">&amp;C&amp;"Times New Roman,Normál"&amp;12 1. melléklet
az önkormányzat 2018. évi költségvetéséről szóló 9/2018. (IX. 27.) önkormányzati rendelethez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82"/>
  <sheetViews>
    <sheetView view="pageLayout" topLeftCell="A3" zoomScaleNormal="75" zoomScaleSheetLayoutView="89" workbookViewId="0">
      <selection activeCell="J14" sqref="J14"/>
    </sheetView>
  </sheetViews>
  <sheetFormatPr defaultColWidth="9" defaultRowHeight="15.75" x14ac:dyDescent="0.25"/>
  <cols>
    <col min="1" max="1" width="38.5703125" style="50" customWidth="1"/>
    <col min="2" max="4" width="13.42578125" style="50" customWidth="1"/>
    <col min="5" max="8" width="15.28515625" style="50" customWidth="1"/>
    <col min="9" max="16384" width="9" style="50"/>
  </cols>
  <sheetData>
    <row r="1" spans="1:5" ht="16.5" hidden="1" thickBot="1" x14ac:dyDescent="0.3">
      <c r="A1" s="48"/>
      <c r="B1" s="49"/>
    </row>
    <row r="2" spans="1:5" ht="16.5" hidden="1" thickBot="1" x14ac:dyDescent="0.3">
      <c r="A2" s="51"/>
    </row>
    <row r="3" spans="1:5" ht="25.5" customHeight="1" thickBot="1" x14ac:dyDescent="0.3">
      <c r="A3" s="325" t="s">
        <v>348</v>
      </c>
      <c r="B3" s="325"/>
      <c r="C3" s="325"/>
      <c r="D3" s="325"/>
      <c r="E3" s="325"/>
    </row>
    <row r="4" spans="1:5" s="40" customFormat="1" ht="53.45" customHeight="1" x14ac:dyDescent="0.25">
      <c r="A4" s="52" t="s">
        <v>212</v>
      </c>
      <c r="B4" s="35" t="s">
        <v>354</v>
      </c>
      <c r="C4" s="44" t="s">
        <v>322</v>
      </c>
      <c r="D4" s="281" t="s">
        <v>372</v>
      </c>
      <c r="E4" s="45" t="s">
        <v>323</v>
      </c>
    </row>
    <row r="5" spans="1:5" s="40" customFormat="1" ht="31.5" x14ac:dyDescent="0.25">
      <c r="A5" s="53" t="s">
        <v>4</v>
      </c>
      <c r="B5" s="246">
        <f>B6+B12+B13+B14+B15+B16</f>
        <v>31474348</v>
      </c>
      <c r="C5" s="246">
        <f>C6+C12+C13+C14+C15+C16</f>
        <v>31561828</v>
      </c>
      <c r="D5" s="246">
        <f>D6+D12+D13+D14+D15+D16</f>
        <v>44660661</v>
      </c>
      <c r="E5" s="247">
        <f>D5-C5</f>
        <v>13098833</v>
      </c>
    </row>
    <row r="6" spans="1:5" s="55" customFormat="1" ht="21" customHeight="1" x14ac:dyDescent="0.25">
      <c r="A6" s="54" t="s">
        <v>23</v>
      </c>
      <c r="B6" s="57">
        <f>B7+B8+B9</f>
        <v>28253068</v>
      </c>
      <c r="C6" s="57">
        <f>C7+C8+C9</f>
        <v>28340548</v>
      </c>
      <c r="D6" s="268">
        <f>D7+D8+D9</f>
        <v>28340548</v>
      </c>
      <c r="E6" s="178">
        <f>D6-C6</f>
        <v>0</v>
      </c>
    </row>
    <row r="7" spans="1:5" s="55" customFormat="1" ht="23.25" customHeight="1" x14ac:dyDescent="0.25">
      <c r="A7" s="56" t="s">
        <v>24</v>
      </c>
      <c r="B7" s="57">
        <f>'2a. tábla'!E5</f>
        <v>19558068</v>
      </c>
      <c r="C7" s="57">
        <f>'2a. tábla'!F5</f>
        <v>19558068</v>
      </c>
      <c r="D7" s="268">
        <f>'2a. tábla'!G5</f>
        <v>19558068</v>
      </c>
      <c r="E7" s="178">
        <f t="shared" ref="E7:E20" si="0">D7-C7</f>
        <v>0</v>
      </c>
    </row>
    <row r="8" spans="1:5" s="55" customFormat="1" ht="28.35" customHeight="1" x14ac:dyDescent="0.25">
      <c r="A8" s="46" t="s">
        <v>25</v>
      </c>
      <c r="B8" s="57">
        <f>'2a. tábla'!E33</f>
        <v>6895000</v>
      </c>
      <c r="C8" s="57">
        <f>'2a. tábla'!F33</f>
        <v>6982480</v>
      </c>
      <c r="D8" s="268">
        <f>'2a. tábla'!G33</f>
        <v>6982480</v>
      </c>
      <c r="E8" s="178">
        <f t="shared" si="0"/>
        <v>0</v>
      </c>
    </row>
    <row r="9" spans="1:5" s="55" customFormat="1" ht="28.35" customHeight="1" x14ac:dyDescent="0.25">
      <c r="A9" s="46" t="s">
        <v>26</v>
      </c>
      <c r="B9" s="57">
        <f>'2a. tábla'!E43</f>
        <v>1800000</v>
      </c>
      <c r="C9" s="57">
        <f>'2a. tábla'!F43</f>
        <v>1800000</v>
      </c>
      <c r="D9" s="268">
        <f>'2a. tábla'!G43</f>
        <v>1800000</v>
      </c>
      <c r="E9" s="178">
        <f t="shared" si="0"/>
        <v>0</v>
      </c>
    </row>
    <row r="10" spans="1:5" s="40" customFormat="1" ht="28.35" customHeight="1" x14ac:dyDescent="0.25">
      <c r="A10" s="46" t="s">
        <v>0</v>
      </c>
      <c r="B10" s="57"/>
      <c r="C10" s="43"/>
      <c r="D10" s="297"/>
      <c r="E10" s="178">
        <f t="shared" si="0"/>
        <v>0</v>
      </c>
    </row>
    <row r="11" spans="1:5" s="40" customFormat="1" x14ac:dyDescent="0.25">
      <c r="A11" s="46" t="s">
        <v>1</v>
      </c>
      <c r="B11" s="57"/>
      <c r="C11" s="43"/>
      <c r="D11" s="297"/>
      <c r="E11" s="178">
        <f t="shared" si="0"/>
        <v>0</v>
      </c>
    </row>
    <row r="12" spans="1:5" s="40" customFormat="1" x14ac:dyDescent="0.25">
      <c r="A12" s="46" t="s">
        <v>222</v>
      </c>
      <c r="B12" s="57"/>
      <c r="C12" s="43"/>
      <c r="D12" s="297"/>
      <c r="E12" s="178">
        <f t="shared" si="0"/>
        <v>0</v>
      </c>
    </row>
    <row r="13" spans="1:5" s="59" customFormat="1" ht="47.25" x14ac:dyDescent="0.25">
      <c r="A13" s="46" t="s">
        <v>27</v>
      </c>
      <c r="B13" s="57"/>
      <c r="C13" s="58"/>
      <c r="D13" s="298"/>
      <c r="E13" s="178">
        <f t="shared" si="0"/>
        <v>0</v>
      </c>
    </row>
    <row r="14" spans="1:5" s="59" customFormat="1" ht="28.35" customHeight="1" x14ac:dyDescent="0.25">
      <c r="A14" s="46" t="s">
        <v>28</v>
      </c>
      <c r="B14" s="57"/>
      <c r="C14" s="58"/>
      <c r="D14" s="298"/>
      <c r="E14" s="178">
        <f t="shared" si="0"/>
        <v>0</v>
      </c>
    </row>
    <row r="15" spans="1:5" s="59" customFormat="1" ht="28.35" customHeight="1" x14ac:dyDescent="0.25">
      <c r="A15" s="46" t="s">
        <v>29</v>
      </c>
      <c r="B15" s="57"/>
      <c r="C15" s="58"/>
      <c r="D15" s="298"/>
      <c r="E15" s="178">
        <f t="shared" si="0"/>
        <v>0</v>
      </c>
    </row>
    <row r="16" spans="1:5" s="40" customFormat="1" ht="28.35" customHeight="1" x14ac:dyDescent="0.25">
      <c r="A16" s="46" t="s">
        <v>30</v>
      </c>
      <c r="B16" s="57">
        <f>B17</f>
        <v>3221280</v>
      </c>
      <c r="C16" s="57">
        <f>C17</f>
        <v>3221280</v>
      </c>
      <c r="D16" s="268">
        <f>D17+D19+D18</f>
        <v>16320113</v>
      </c>
      <c r="E16" s="268">
        <f>E17+E19+E18</f>
        <v>13098833</v>
      </c>
    </row>
    <row r="17" spans="1:7" s="40" customFormat="1" ht="28.35" customHeight="1" x14ac:dyDescent="0.25">
      <c r="A17" s="46" t="s">
        <v>267</v>
      </c>
      <c r="B17" s="60">
        <v>3221280</v>
      </c>
      <c r="C17" s="179">
        <v>3221280</v>
      </c>
      <c r="D17" s="179">
        <f>3221280+770762+476667</f>
        <v>4468709</v>
      </c>
      <c r="E17" s="268">
        <f t="shared" ref="E17:E18" si="1">D17-C17</f>
        <v>1247429</v>
      </c>
    </row>
    <row r="18" spans="1:7" s="40" customFormat="1" ht="28.35" customHeight="1" x14ac:dyDescent="0.25">
      <c r="A18" s="46" t="s">
        <v>381</v>
      </c>
      <c r="B18" s="269"/>
      <c r="C18" s="179"/>
      <c r="D18" s="179">
        <v>11040004</v>
      </c>
      <c r="E18" s="268">
        <f t="shared" si="1"/>
        <v>11040004</v>
      </c>
    </row>
    <row r="19" spans="1:7" s="40" customFormat="1" ht="28.35" customHeight="1" x14ac:dyDescent="0.25">
      <c r="A19" s="46" t="s">
        <v>373</v>
      </c>
      <c r="B19" s="269"/>
      <c r="C19" s="179"/>
      <c r="D19" s="179">
        <v>811400</v>
      </c>
      <c r="E19" s="178">
        <f t="shared" si="0"/>
        <v>811400</v>
      </c>
    </row>
    <row r="20" spans="1:7" s="40" customFormat="1" ht="28.35" customHeight="1" x14ac:dyDescent="0.25">
      <c r="A20" s="53" t="s">
        <v>5</v>
      </c>
      <c r="B20" s="8">
        <f>B21+B25+B26+B27+B28+B24</f>
        <v>5000000</v>
      </c>
      <c r="C20" s="8">
        <f>C21+C25+C26+C27+C28+C24</f>
        <v>13956854</v>
      </c>
      <c r="D20" s="8">
        <f>D21+D25+D26+D27+D28+D24</f>
        <v>13956854</v>
      </c>
      <c r="E20" s="178">
        <f t="shared" si="0"/>
        <v>0</v>
      </c>
    </row>
    <row r="21" spans="1:7" s="40" customFormat="1" ht="28.35" customHeight="1" x14ac:dyDescent="0.25">
      <c r="A21" s="46" t="s">
        <v>31</v>
      </c>
      <c r="B21" s="268">
        <f>B22+B23</f>
        <v>5000000</v>
      </c>
      <c r="C21" s="57">
        <f>C22+C23</f>
        <v>5000000</v>
      </c>
      <c r="D21" s="268">
        <f>D22+D23</f>
        <v>5000000</v>
      </c>
      <c r="E21" s="177">
        <f t="shared" ref="E21:E28" si="2">D21-C21</f>
        <v>0</v>
      </c>
      <c r="F21" s="155"/>
      <c r="G21" s="155"/>
    </row>
    <row r="22" spans="1:7" s="40" customFormat="1" ht="28.35" customHeight="1" x14ac:dyDescent="0.25">
      <c r="A22" s="97" t="s">
        <v>346</v>
      </c>
      <c r="B22" s="258">
        <v>5000000</v>
      </c>
      <c r="C22" s="258">
        <v>5000000</v>
      </c>
      <c r="D22" s="258">
        <v>5000000</v>
      </c>
      <c r="E22" s="177">
        <f t="shared" si="2"/>
        <v>0</v>
      </c>
      <c r="F22" s="155"/>
      <c r="G22" s="155"/>
    </row>
    <row r="23" spans="1:7" s="40" customFormat="1" ht="30.75" customHeight="1" x14ac:dyDescent="0.25">
      <c r="A23" s="103" t="s">
        <v>345</v>
      </c>
      <c r="B23" s="258"/>
      <c r="C23" s="258"/>
      <c r="D23" s="258"/>
      <c r="E23" s="177">
        <f t="shared" si="2"/>
        <v>0</v>
      </c>
      <c r="F23" s="155"/>
      <c r="G23" s="155"/>
    </row>
    <row r="24" spans="1:7" s="40" customFormat="1" ht="30.75" customHeight="1" x14ac:dyDescent="0.25">
      <c r="A24" s="103" t="s">
        <v>367</v>
      </c>
      <c r="C24" s="258">
        <v>8956854</v>
      </c>
      <c r="D24" s="258">
        <v>8956854</v>
      </c>
      <c r="E24" s="177">
        <f t="shared" si="2"/>
        <v>0</v>
      </c>
      <c r="F24" s="155"/>
      <c r="G24" s="155"/>
    </row>
    <row r="25" spans="1:7" s="40" customFormat="1" ht="47.25" x14ac:dyDescent="0.25">
      <c r="A25" s="46" t="s">
        <v>32</v>
      </c>
      <c r="B25" s="57"/>
      <c r="C25" s="43"/>
      <c r="D25" s="297"/>
      <c r="E25" s="177">
        <f t="shared" si="2"/>
        <v>0</v>
      </c>
    </row>
    <row r="26" spans="1:7" s="40" customFormat="1" ht="47.25" x14ac:dyDescent="0.25">
      <c r="A26" s="46" t="s">
        <v>33</v>
      </c>
      <c r="B26" s="57"/>
      <c r="C26" s="43"/>
      <c r="D26" s="297"/>
      <c r="E26" s="177">
        <f t="shared" si="2"/>
        <v>0</v>
      </c>
    </row>
    <row r="27" spans="1:7" s="40" customFormat="1" ht="47.25" x14ac:dyDescent="0.25">
      <c r="A27" s="46" t="s">
        <v>34</v>
      </c>
      <c r="B27" s="57"/>
      <c r="C27" s="43"/>
      <c r="D27" s="297"/>
      <c r="E27" s="177">
        <f t="shared" si="2"/>
        <v>0</v>
      </c>
    </row>
    <row r="28" spans="1:7" s="40" customFormat="1" ht="28.35" customHeight="1" x14ac:dyDescent="0.25">
      <c r="A28" s="46" t="s">
        <v>223</v>
      </c>
      <c r="B28" s="57"/>
      <c r="C28" s="43"/>
      <c r="D28" s="297"/>
      <c r="E28" s="177">
        <f t="shared" si="2"/>
        <v>0</v>
      </c>
    </row>
    <row r="29" spans="1:7" s="40" customFormat="1" ht="28.35" customHeight="1" x14ac:dyDescent="0.25">
      <c r="A29" s="53" t="s">
        <v>6</v>
      </c>
      <c r="B29" s="8">
        <f>B30+B33+B41</f>
        <v>11333000</v>
      </c>
      <c r="C29" s="8">
        <f>C30+C33+C41</f>
        <v>11333000</v>
      </c>
      <c r="D29" s="8">
        <f>D30+D33+D41</f>
        <v>11333000</v>
      </c>
      <c r="E29" s="177">
        <f>D29-C29</f>
        <v>0</v>
      </c>
    </row>
    <row r="30" spans="1:7" s="40" customFormat="1" ht="18.600000000000001" customHeight="1" x14ac:dyDescent="0.25">
      <c r="A30" s="46" t="s">
        <v>35</v>
      </c>
      <c r="B30" s="57">
        <f>SUM(B31:B32)</f>
        <v>5883000</v>
      </c>
      <c r="C30" s="57">
        <f>SUM(C31:C32)</f>
        <v>5883000</v>
      </c>
      <c r="D30" s="268">
        <f>SUM(D31:D32)</f>
        <v>5883000</v>
      </c>
      <c r="E30" s="177">
        <f t="shared" ref="E30:E80" si="3">D30-C30</f>
        <v>0</v>
      </c>
    </row>
    <row r="31" spans="1:7" s="40" customFormat="1" ht="18.600000000000001" customHeight="1" x14ac:dyDescent="0.25">
      <c r="A31" s="54" t="s">
        <v>306</v>
      </c>
      <c r="B31" s="57">
        <v>5583000</v>
      </c>
      <c r="C31" s="179">
        <v>5583000</v>
      </c>
      <c r="D31" s="179">
        <v>5583000</v>
      </c>
      <c r="E31" s="177">
        <f t="shared" si="3"/>
        <v>0</v>
      </c>
    </row>
    <row r="32" spans="1:7" s="40" customFormat="1" ht="18.600000000000001" customHeight="1" x14ac:dyDescent="0.25">
      <c r="A32" s="54" t="s">
        <v>36</v>
      </c>
      <c r="B32" s="57">
        <v>300000</v>
      </c>
      <c r="C32" s="9">
        <v>300000</v>
      </c>
      <c r="D32" s="9">
        <v>300000</v>
      </c>
      <c r="E32" s="177">
        <f t="shared" si="3"/>
        <v>0</v>
      </c>
    </row>
    <row r="33" spans="1:5" s="40" customFormat="1" ht="18.600000000000001" customHeight="1" x14ac:dyDescent="0.25">
      <c r="A33" s="46" t="s">
        <v>37</v>
      </c>
      <c r="B33" s="57">
        <f>B34+B36+B37</f>
        <v>5350000</v>
      </c>
      <c r="C33" s="57">
        <f>C34+C36+C37</f>
        <v>5350000</v>
      </c>
      <c r="D33" s="268">
        <f>D34+D36+D37</f>
        <v>5350000</v>
      </c>
      <c r="E33" s="177">
        <f t="shared" si="3"/>
        <v>0</v>
      </c>
    </row>
    <row r="34" spans="1:5" s="40" customFormat="1" ht="18.600000000000001" customHeight="1" x14ac:dyDescent="0.25">
      <c r="A34" s="46" t="s">
        <v>38</v>
      </c>
      <c r="B34" s="57">
        <f>SUM(B35)</f>
        <v>3500000</v>
      </c>
      <c r="C34" s="57">
        <f>SUM(C35)</f>
        <v>3500000</v>
      </c>
      <c r="D34" s="268">
        <f>SUM(D35)</f>
        <v>3500000</v>
      </c>
      <c r="E34" s="177">
        <f t="shared" si="3"/>
        <v>0</v>
      </c>
    </row>
    <row r="35" spans="1:5" s="40" customFormat="1" ht="18.600000000000001" customHeight="1" x14ac:dyDescent="0.25">
      <c r="A35" s="46" t="s">
        <v>39</v>
      </c>
      <c r="B35" s="57">
        <v>3500000</v>
      </c>
      <c r="C35" s="9">
        <v>3500000</v>
      </c>
      <c r="D35" s="9">
        <v>3500000</v>
      </c>
      <c r="E35" s="177">
        <f t="shared" si="3"/>
        <v>0</v>
      </c>
    </row>
    <row r="36" spans="1:5" s="40" customFormat="1" ht="18.600000000000001" customHeight="1" x14ac:dyDescent="0.25">
      <c r="A36" s="46" t="s">
        <v>40</v>
      </c>
      <c r="B36" s="57">
        <v>1800000</v>
      </c>
      <c r="C36" s="9">
        <v>1800000</v>
      </c>
      <c r="D36" s="9">
        <v>1800000</v>
      </c>
      <c r="E36" s="177">
        <f t="shared" si="3"/>
        <v>0</v>
      </c>
    </row>
    <row r="37" spans="1:5" s="40" customFormat="1" ht="18.600000000000001" customHeight="1" x14ac:dyDescent="0.25">
      <c r="A37" s="46" t="s">
        <v>41</v>
      </c>
      <c r="B37" s="57">
        <f>SUM(B38:B40)</f>
        <v>50000</v>
      </c>
      <c r="C37" s="57">
        <f>SUM(C38:C40)</f>
        <v>50000</v>
      </c>
      <c r="D37" s="268">
        <f>SUM(D38:D40)</f>
        <v>50000</v>
      </c>
      <c r="E37" s="177">
        <f t="shared" si="3"/>
        <v>0</v>
      </c>
    </row>
    <row r="38" spans="1:5" s="40" customFormat="1" ht="18.600000000000001" customHeight="1" x14ac:dyDescent="0.25">
      <c r="A38" s="46" t="s">
        <v>42</v>
      </c>
      <c r="B38" s="57">
        <v>50000</v>
      </c>
      <c r="C38" s="9">
        <v>50000</v>
      </c>
      <c r="D38" s="9">
        <v>50000</v>
      </c>
      <c r="E38" s="177">
        <f t="shared" si="3"/>
        <v>0</v>
      </c>
    </row>
    <row r="39" spans="1:5" s="40" customFormat="1" ht="18.600000000000001" customHeight="1" x14ac:dyDescent="0.25">
      <c r="A39" s="46" t="s">
        <v>43</v>
      </c>
      <c r="B39" s="57"/>
      <c r="C39" s="9"/>
      <c r="D39" s="300"/>
      <c r="E39" s="177">
        <f t="shared" si="3"/>
        <v>0</v>
      </c>
    </row>
    <row r="40" spans="1:5" s="40" customFormat="1" ht="18.600000000000001" customHeight="1" x14ac:dyDescent="0.25">
      <c r="A40" s="46" t="s">
        <v>213</v>
      </c>
      <c r="B40" s="57"/>
      <c r="C40" s="9"/>
      <c r="D40" s="300"/>
      <c r="E40" s="177">
        <f t="shared" si="3"/>
        <v>0</v>
      </c>
    </row>
    <row r="41" spans="1:5" s="40" customFormat="1" ht="30.75" customHeight="1" x14ac:dyDescent="0.25">
      <c r="A41" s="46" t="s">
        <v>44</v>
      </c>
      <c r="B41" s="57">
        <v>100000</v>
      </c>
      <c r="C41" s="9">
        <v>100000</v>
      </c>
      <c r="D41" s="9">
        <v>100000</v>
      </c>
      <c r="E41" s="177">
        <f t="shared" si="3"/>
        <v>0</v>
      </c>
    </row>
    <row r="42" spans="1:5" s="40" customFormat="1" ht="28.35" customHeight="1" x14ac:dyDescent="0.25">
      <c r="A42" s="53" t="s">
        <v>7</v>
      </c>
      <c r="B42" s="8">
        <f>B43+B44+B47+B48+B50+B51+B52+B53+B54</f>
        <v>3140000</v>
      </c>
      <c r="C42" s="8">
        <f>C43+C44+C47+C48+C50+C51+C52+C53+C54</f>
        <v>3290000</v>
      </c>
      <c r="D42" s="8">
        <f>D43+D44+D47+D48+D50+D51+D52+D53+D54+D45</f>
        <v>4350000</v>
      </c>
      <c r="E42" s="177">
        <f t="shared" si="3"/>
        <v>1060000</v>
      </c>
    </row>
    <row r="43" spans="1:5" s="40" customFormat="1" ht="18.600000000000001" customHeight="1" x14ac:dyDescent="0.25">
      <c r="A43" s="54" t="s">
        <v>45</v>
      </c>
      <c r="B43" s="57"/>
      <c r="C43" s="9"/>
      <c r="D43" s="300"/>
      <c r="E43" s="177">
        <f t="shared" si="3"/>
        <v>0</v>
      </c>
    </row>
    <row r="44" spans="1:5" s="62" customFormat="1" ht="18.600000000000001" customHeight="1" x14ac:dyDescent="0.25">
      <c r="A44" s="54" t="s">
        <v>46</v>
      </c>
      <c r="B44" s="57">
        <v>20000</v>
      </c>
      <c r="C44" s="70">
        <v>20000</v>
      </c>
      <c r="D44" s="70">
        <v>20000</v>
      </c>
      <c r="E44" s="177">
        <f t="shared" si="3"/>
        <v>0</v>
      </c>
    </row>
    <row r="45" spans="1:5" s="62" customFormat="1" ht="18.600000000000001" customHeight="1" x14ac:dyDescent="0.25">
      <c r="A45" s="46" t="s">
        <v>378</v>
      </c>
      <c r="B45" s="268"/>
      <c r="C45" s="70"/>
      <c r="D45" s="301">
        <v>1060000</v>
      </c>
      <c r="E45" s="177">
        <f t="shared" si="3"/>
        <v>1060000</v>
      </c>
    </row>
    <row r="46" spans="1:5" s="64" customFormat="1" ht="18.600000000000001" customHeight="1" x14ac:dyDescent="0.25">
      <c r="A46" s="54" t="s">
        <v>379</v>
      </c>
      <c r="B46" s="57"/>
      <c r="C46" s="63"/>
      <c r="D46" s="302"/>
      <c r="E46" s="177">
        <f t="shared" si="3"/>
        <v>0</v>
      </c>
    </row>
    <row r="47" spans="1:5" s="66" customFormat="1" ht="18.600000000000001" customHeight="1" x14ac:dyDescent="0.25">
      <c r="A47" s="46" t="s">
        <v>47</v>
      </c>
      <c r="B47" s="57">
        <v>20000</v>
      </c>
      <c r="C47" s="65">
        <f>20000+118110</f>
        <v>138110</v>
      </c>
      <c r="D47" s="65">
        <f>20000+118110</f>
        <v>138110</v>
      </c>
      <c r="E47" s="177">
        <f t="shared" si="3"/>
        <v>0</v>
      </c>
    </row>
    <row r="48" spans="1:5" s="66" customFormat="1" ht="18.600000000000001" customHeight="1" x14ac:dyDescent="0.25">
      <c r="A48" s="46" t="s">
        <v>48</v>
      </c>
      <c r="B48" s="57">
        <f>B49</f>
        <v>2400000</v>
      </c>
      <c r="C48" s="65">
        <v>2400000</v>
      </c>
      <c r="D48" s="65">
        <v>2400000</v>
      </c>
      <c r="E48" s="177">
        <f t="shared" si="3"/>
        <v>0</v>
      </c>
    </row>
    <row r="49" spans="1:5" s="66" customFormat="1" ht="18.600000000000001" customHeight="1" x14ac:dyDescent="0.25">
      <c r="A49" s="67" t="s">
        <v>242</v>
      </c>
      <c r="B49" s="57">
        <v>2400000</v>
      </c>
      <c r="C49" s="65">
        <v>2400000</v>
      </c>
      <c r="D49" s="65">
        <v>2400000</v>
      </c>
      <c r="E49" s="177">
        <f t="shared" si="3"/>
        <v>0</v>
      </c>
    </row>
    <row r="50" spans="1:5" s="66" customFormat="1" ht="18.600000000000001" customHeight="1" x14ac:dyDescent="0.25">
      <c r="A50" s="67" t="s">
        <v>49</v>
      </c>
      <c r="B50" s="57"/>
      <c r="C50" s="65"/>
      <c r="D50" s="303"/>
      <c r="E50" s="177">
        <f t="shared" si="3"/>
        <v>0</v>
      </c>
    </row>
    <row r="51" spans="1:5" s="66" customFormat="1" ht="18.600000000000001" customHeight="1" x14ac:dyDescent="0.25">
      <c r="A51" s="54" t="s">
        <v>50</v>
      </c>
      <c r="B51" s="57">
        <v>700000</v>
      </c>
      <c r="C51" s="65">
        <f>700000+31890</f>
        <v>731890</v>
      </c>
      <c r="D51" s="65">
        <f>700000+31890</f>
        <v>731890</v>
      </c>
      <c r="E51" s="177">
        <f t="shared" si="3"/>
        <v>0</v>
      </c>
    </row>
    <row r="52" spans="1:5" s="66" customFormat="1" ht="18.600000000000001" customHeight="1" x14ac:dyDescent="0.25">
      <c r="A52" s="54" t="s">
        <v>51</v>
      </c>
      <c r="B52" s="57"/>
      <c r="C52" s="65">
        <v>0</v>
      </c>
      <c r="D52" s="65">
        <v>0</v>
      </c>
      <c r="E52" s="177">
        <f t="shared" si="3"/>
        <v>0</v>
      </c>
    </row>
    <row r="53" spans="1:5" s="66" customFormat="1" ht="18.600000000000001" customHeight="1" x14ac:dyDescent="0.25">
      <c r="A53" s="54" t="s">
        <v>52</v>
      </c>
      <c r="B53" s="57"/>
      <c r="C53" s="65">
        <v>0</v>
      </c>
      <c r="D53" s="65">
        <v>0</v>
      </c>
      <c r="E53" s="177">
        <f t="shared" si="3"/>
        <v>0</v>
      </c>
    </row>
    <row r="54" spans="1:5" s="66" customFormat="1" ht="33" customHeight="1" x14ac:dyDescent="0.25">
      <c r="A54" s="67" t="s">
        <v>214</v>
      </c>
      <c r="B54" s="57"/>
      <c r="C54" s="65"/>
      <c r="D54" s="65"/>
      <c r="E54" s="177">
        <f t="shared" si="3"/>
        <v>0</v>
      </c>
    </row>
    <row r="55" spans="1:5" s="66" customFormat="1" ht="28.35" customHeight="1" x14ac:dyDescent="0.25">
      <c r="A55" s="53" t="s">
        <v>8</v>
      </c>
      <c r="B55" s="8">
        <f>SUM(B56:B59)</f>
        <v>0</v>
      </c>
      <c r="C55" s="8">
        <f>SUM(C56:C59)</f>
        <v>0</v>
      </c>
      <c r="D55" s="8">
        <f>SUM(D56:D59)</f>
        <v>0</v>
      </c>
      <c r="E55" s="177">
        <f t="shared" si="3"/>
        <v>0</v>
      </c>
    </row>
    <row r="56" spans="1:5" s="66" customFormat="1" ht="18.600000000000001" customHeight="1" x14ac:dyDescent="0.25">
      <c r="A56" s="46" t="s">
        <v>53</v>
      </c>
      <c r="B56" s="57"/>
      <c r="C56" s="65"/>
      <c r="D56" s="303"/>
      <c r="E56" s="177">
        <f t="shared" si="3"/>
        <v>0</v>
      </c>
    </row>
    <row r="57" spans="1:5" s="62" customFormat="1" ht="18.600000000000001" customHeight="1" x14ac:dyDescent="0.25">
      <c r="A57" s="46" t="s">
        <v>54</v>
      </c>
      <c r="B57" s="57"/>
      <c r="C57" s="61"/>
      <c r="D57" s="304"/>
      <c r="E57" s="177">
        <f t="shared" si="3"/>
        <v>0</v>
      </c>
    </row>
    <row r="58" spans="1:5" s="62" customFormat="1" ht="18.600000000000001" customHeight="1" x14ac:dyDescent="0.25">
      <c r="A58" s="68" t="s">
        <v>55</v>
      </c>
      <c r="B58" s="57"/>
      <c r="C58" s="61"/>
      <c r="D58" s="304"/>
      <c r="E58" s="177">
        <f t="shared" si="3"/>
        <v>0</v>
      </c>
    </row>
    <row r="59" spans="1:5" s="66" customFormat="1" ht="18.600000000000001" customHeight="1" x14ac:dyDescent="0.25">
      <c r="A59" s="46" t="s">
        <v>56</v>
      </c>
      <c r="B59" s="57"/>
      <c r="C59" s="65"/>
      <c r="D59" s="303"/>
      <c r="E59" s="177">
        <f t="shared" si="3"/>
        <v>0</v>
      </c>
    </row>
    <row r="60" spans="1:5" s="66" customFormat="1" ht="28.35" customHeight="1" x14ac:dyDescent="0.25">
      <c r="A60" s="53" t="s">
        <v>9</v>
      </c>
      <c r="B60" s="8">
        <f>SUM(B61:B63)</f>
        <v>0</v>
      </c>
      <c r="C60" s="8">
        <f>SUM(C61:C63)</f>
        <v>0</v>
      </c>
      <c r="D60" s="299"/>
      <c r="E60" s="177">
        <f t="shared" si="3"/>
        <v>0</v>
      </c>
    </row>
    <row r="61" spans="1:5" s="66" customFormat="1" ht="47.25" x14ac:dyDescent="0.25">
      <c r="A61" s="46" t="s">
        <v>333</v>
      </c>
      <c r="B61" s="57"/>
      <c r="C61" s="65"/>
      <c r="D61" s="303"/>
      <c r="E61" s="177">
        <f t="shared" si="3"/>
        <v>0</v>
      </c>
    </row>
    <row r="62" spans="1:5" s="62" customFormat="1" ht="47.25" x14ac:dyDescent="0.25">
      <c r="A62" s="46" t="s">
        <v>57</v>
      </c>
      <c r="B62" s="57"/>
      <c r="C62" s="61"/>
      <c r="D62" s="304"/>
      <c r="E62" s="177">
        <f t="shared" si="3"/>
        <v>0</v>
      </c>
    </row>
    <row r="63" spans="1:5" s="62" customFormat="1" ht="30.75" customHeight="1" x14ac:dyDescent="0.25">
      <c r="A63" s="46" t="s">
        <v>58</v>
      </c>
      <c r="B63" s="57"/>
      <c r="C63" s="61"/>
      <c r="D63" s="304"/>
      <c r="E63" s="177">
        <f t="shared" si="3"/>
        <v>0</v>
      </c>
    </row>
    <row r="64" spans="1:5" s="66" customFormat="1" ht="34.5" customHeight="1" x14ac:dyDescent="0.25">
      <c r="A64" s="69" t="s">
        <v>10</v>
      </c>
      <c r="B64" s="8">
        <f>B65+B66+B67</f>
        <v>0</v>
      </c>
      <c r="C64" s="310">
        <v>0</v>
      </c>
      <c r="D64" s="309">
        <f>D65+D66+D67</f>
        <v>3000000</v>
      </c>
      <c r="E64" s="177">
        <f t="shared" si="3"/>
        <v>3000000</v>
      </c>
    </row>
    <row r="65" spans="1:7" s="66" customFormat="1" ht="47.25" x14ac:dyDescent="0.25">
      <c r="A65" s="46" t="s">
        <v>59</v>
      </c>
      <c r="B65" s="57"/>
      <c r="C65" s="65"/>
      <c r="D65" s="303"/>
      <c r="E65" s="177">
        <f t="shared" si="3"/>
        <v>0</v>
      </c>
    </row>
    <row r="66" spans="1:7" s="62" customFormat="1" ht="47.25" x14ac:dyDescent="0.25">
      <c r="A66" s="46" t="s">
        <v>60</v>
      </c>
      <c r="B66" s="57"/>
      <c r="C66" s="71"/>
      <c r="D66" s="305"/>
      <c r="E66" s="177">
        <f t="shared" si="3"/>
        <v>0</v>
      </c>
    </row>
    <row r="67" spans="1:7" s="66" customFormat="1" ht="31.5" x14ac:dyDescent="0.25">
      <c r="A67" s="46" t="s">
        <v>61</v>
      </c>
      <c r="B67" s="57"/>
      <c r="C67" s="65"/>
      <c r="D67" s="303">
        <f>D68</f>
        <v>3000000</v>
      </c>
      <c r="E67" s="303">
        <f>E68</f>
        <v>3000000</v>
      </c>
    </row>
    <row r="68" spans="1:7" s="66" customFormat="1" x14ac:dyDescent="0.25">
      <c r="A68" s="46" t="s">
        <v>380</v>
      </c>
      <c r="B68" s="268"/>
      <c r="C68" s="65"/>
      <c r="D68" s="303">
        <v>3000000</v>
      </c>
      <c r="E68" s="303">
        <v>3000000</v>
      </c>
    </row>
    <row r="69" spans="1:7" s="66" customFormat="1" ht="28.35" customHeight="1" x14ac:dyDescent="0.25">
      <c r="A69" s="53" t="s">
        <v>11</v>
      </c>
      <c r="B69" s="8">
        <f>B64+B60+B55+B42+B29+B20+B5</f>
        <v>50947348</v>
      </c>
      <c r="C69" s="8">
        <f>C64+C60+C55+C42+C29+C20+C5</f>
        <v>60141682</v>
      </c>
      <c r="D69" s="8">
        <f>D64+D60+D55+D42+D29+D20+D5</f>
        <v>77300515</v>
      </c>
      <c r="E69" s="177">
        <f t="shared" si="3"/>
        <v>17158833</v>
      </c>
    </row>
    <row r="70" spans="1:7" s="62" customFormat="1" ht="31.7" customHeight="1" x14ac:dyDescent="0.25">
      <c r="A70" s="69" t="s">
        <v>62</v>
      </c>
      <c r="B70" s="8">
        <f>SUM(B71:B72)</f>
        <v>20000000</v>
      </c>
      <c r="C70" s="8">
        <f>SUM(C71:C71)</f>
        <v>28648541</v>
      </c>
      <c r="D70" s="8">
        <f>SUM(D71:D71)</f>
        <v>28648541</v>
      </c>
      <c r="E70" s="177">
        <f t="shared" si="3"/>
        <v>0</v>
      </c>
      <c r="F70" s="72"/>
    </row>
    <row r="71" spans="1:7" s="62" customFormat="1" ht="31.7" customHeight="1" x14ac:dyDescent="0.25">
      <c r="A71" s="69" t="s">
        <v>324</v>
      </c>
      <c r="B71" s="60">
        <v>20000000</v>
      </c>
      <c r="C71" s="248">
        <v>28648541</v>
      </c>
      <c r="D71" s="248">
        <v>28648541</v>
      </c>
      <c r="E71" s="177">
        <f t="shared" si="3"/>
        <v>0</v>
      </c>
      <c r="F71" s="72"/>
    </row>
    <row r="72" spans="1:7" s="62" customFormat="1" ht="33" customHeight="1" x14ac:dyDescent="0.25">
      <c r="A72" s="46" t="s">
        <v>63</v>
      </c>
      <c r="B72" s="57"/>
      <c r="C72" s="70"/>
      <c r="D72" s="301"/>
      <c r="E72" s="177">
        <f t="shared" si="3"/>
        <v>0</v>
      </c>
    </row>
    <row r="73" spans="1:7" s="66" customFormat="1" ht="47.25" customHeight="1" x14ac:dyDescent="0.25">
      <c r="A73" s="69" t="s">
        <v>64</v>
      </c>
      <c r="B73" s="8">
        <f>B75+B74</f>
        <v>907476</v>
      </c>
      <c r="C73" s="8">
        <f>C75+C74</f>
        <v>907476</v>
      </c>
      <c r="D73" s="8">
        <f>D75+D74</f>
        <v>963239</v>
      </c>
      <c r="E73" s="177">
        <f t="shared" si="3"/>
        <v>55763</v>
      </c>
    </row>
    <row r="74" spans="1:7" s="66" customFormat="1" ht="18.600000000000001" customHeight="1" x14ac:dyDescent="0.25">
      <c r="A74" s="46" t="s">
        <v>289</v>
      </c>
      <c r="B74" s="57"/>
      <c r="C74" s="70"/>
      <c r="D74" s="70"/>
      <c r="E74" s="177">
        <f t="shared" si="3"/>
        <v>0</v>
      </c>
    </row>
    <row r="75" spans="1:7" s="66" customFormat="1" ht="30" customHeight="1" x14ac:dyDescent="0.25">
      <c r="A75" s="54" t="s">
        <v>291</v>
      </c>
      <c r="B75" s="268">
        <v>907476</v>
      </c>
      <c r="C75" s="312">
        <v>907476</v>
      </c>
      <c r="D75" s="312">
        <f>907476+55763</f>
        <v>963239</v>
      </c>
      <c r="E75" s="177">
        <f t="shared" si="3"/>
        <v>55763</v>
      </c>
    </row>
    <row r="76" spans="1:7" s="66" customFormat="1" ht="18.600000000000001" customHeight="1" x14ac:dyDescent="0.25">
      <c r="A76" s="54" t="s">
        <v>310</v>
      </c>
      <c r="B76" s="268"/>
      <c r="C76" s="313"/>
      <c r="D76" s="313"/>
      <c r="E76" s="177">
        <f t="shared" si="3"/>
        <v>0</v>
      </c>
    </row>
    <row r="77" spans="1:7" s="62" customFormat="1" ht="27" customHeight="1" x14ac:dyDescent="0.25">
      <c r="A77" s="69" t="s">
        <v>12</v>
      </c>
      <c r="B77" s="8">
        <f>B73+B70</f>
        <v>20907476</v>
      </c>
      <c r="C77" s="8">
        <f>C73+C70</f>
        <v>29556017</v>
      </c>
      <c r="D77" s="8">
        <f>D73+D70</f>
        <v>29611780</v>
      </c>
      <c r="E77" s="177">
        <f t="shared" si="3"/>
        <v>55763</v>
      </c>
    </row>
    <row r="78" spans="1:7" s="62" customFormat="1" ht="28.35" customHeight="1" x14ac:dyDescent="0.25">
      <c r="A78" s="53" t="s">
        <v>65</v>
      </c>
      <c r="B78" s="8">
        <f>B69+B77</f>
        <v>71854824</v>
      </c>
      <c r="C78" s="8">
        <f>C69+C77</f>
        <v>89697699</v>
      </c>
      <c r="D78" s="8">
        <f>D69+D77</f>
        <v>106912295</v>
      </c>
      <c r="E78" s="177">
        <f t="shared" si="3"/>
        <v>17214596</v>
      </c>
      <c r="F78" s="72"/>
      <c r="G78" s="72"/>
    </row>
    <row r="79" spans="1:7" s="62" customFormat="1" ht="18.600000000000001" customHeight="1" x14ac:dyDescent="0.25">
      <c r="A79" s="73" t="s">
        <v>224</v>
      </c>
      <c r="B79" s="8">
        <v>6</v>
      </c>
      <c r="C79" s="8">
        <v>6</v>
      </c>
      <c r="D79" s="8">
        <v>7</v>
      </c>
      <c r="E79" s="177">
        <f t="shared" si="3"/>
        <v>1</v>
      </c>
    </row>
    <row r="80" spans="1:7" s="62" customFormat="1" ht="18.600000000000001" customHeight="1" thickBot="1" x14ac:dyDescent="0.3">
      <c r="A80" s="74" t="s">
        <v>66</v>
      </c>
      <c r="B80" s="36">
        <v>3</v>
      </c>
      <c r="C80" s="36">
        <v>3</v>
      </c>
      <c r="D80" s="36">
        <v>4</v>
      </c>
      <c r="E80" s="177">
        <f t="shared" si="3"/>
        <v>1</v>
      </c>
    </row>
    <row r="82" spans="3:4" x14ac:dyDescent="0.25">
      <c r="C82" s="75"/>
      <c r="D82" s="75"/>
    </row>
  </sheetData>
  <sheetProtection selectLockedCells="1" selectUnlockedCells="1"/>
  <mergeCells count="1">
    <mergeCell ref="A3:E3"/>
  </mergeCells>
  <phoneticPr fontId="20" type="noConversion"/>
  <printOptions horizontalCentered="1" gridLines="1"/>
  <pageMargins left="0.43307086614173229" right="0.43307086614173229" top="1.1811023622047245" bottom="0.23622047244094491" header="0.27559055118110237" footer="0.51181102362204722"/>
  <pageSetup paperSize="9" firstPageNumber="0" fitToHeight="0" orientation="portrait" r:id="rId1"/>
  <headerFooter alignWithMargins="0">
    <oddHeader>&amp;C&amp;"Times New Roman,Normál"&amp;12 2. melléklet
az önkormányzat 2018. évi költségvetéséről szóló 9/2018. (IX. 27.) önkormányzati rendelethez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9"/>
  <sheetViews>
    <sheetView view="pageLayout" zoomScale="80" zoomScaleNormal="100" zoomScalePageLayoutView="80" workbookViewId="0">
      <selection activeCell="C1" sqref="C1"/>
    </sheetView>
  </sheetViews>
  <sheetFormatPr defaultRowHeight="15.75" x14ac:dyDescent="0.25"/>
  <cols>
    <col min="1" max="1" width="70" style="194" customWidth="1"/>
    <col min="2" max="2" width="10.7109375" style="194" customWidth="1"/>
    <col min="3" max="3" width="9.140625" style="194" customWidth="1"/>
    <col min="4" max="4" width="11.28515625" style="194" customWidth="1"/>
    <col min="5" max="5" width="17" style="194" customWidth="1"/>
    <col min="6" max="6" width="19" style="194" customWidth="1"/>
    <col min="7" max="7" width="14.85546875" style="260" customWidth="1"/>
    <col min="8" max="8" width="12.140625" style="194" bestFit="1" customWidth="1"/>
    <col min="9" max="257" width="9.140625" style="194"/>
    <col min="258" max="258" width="77.5703125" style="194" customWidth="1"/>
    <col min="259" max="259" width="8.42578125" style="194" customWidth="1"/>
    <col min="260" max="260" width="9.140625" style="194"/>
    <col min="261" max="261" width="11" style="194" bestFit="1" customWidth="1"/>
    <col min="262" max="262" width="15.28515625" style="194" customWidth="1"/>
    <col min="263" max="513" width="9.140625" style="194"/>
    <col min="514" max="514" width="77.5703125" style="194" customWidth="1"/>
    <col min="515" max="515" width="8.42578125" style="194" customWidth="1"/>
    <col min="516" max="516" width="9.140625" style="194"/>
    <col min="517" max="517" width="11" style="194" bestFit="1" customWidth="1"/>
    <col min="518" max="518" width="15.28515625" style="194" customWidth="1"/>
    <col min="519" max="769" width="9.140625" style="194"/>
    <col min="770" max="770" width="77.5703125" style="194" customWidth="1"/>
    <col min="771" max="771" width="8.42578125" style="194" customWidth="1"/>
    <col min="772" max="772" width="9.140625" style="194"/>
    <col min="773" max="773" width="11" style="194" bestFit="1" customWidth="1"/>
    <col min="774" max="774" width="15.28515625" style="194" customWidth="1"/>
    <col min="775" max="1025" width="9.140625" style="194"/>
    <col min="1026" max="1026" width="77.5703125" style="194" customWidth="1"/>
    <col min="1027" max="1027" width="8.42578125" style="194" customWidth="1"/>
    <col min="1028" max="1028" width="9.140625" style="194"/>
    <col min="1029" max="1029" width="11" style="194" bestFit="1" customWidth="1"/>
    <col min="1030" max="1030" width="15.28515625" style="194" customWidth="1"/>
    <col min="1031" max="1281" width="9.140625" style="194"/>
    <col min="1282" max="1282" width="77.5703125" style="194" customWidth="1"/>
    <col min="1283" max="1283" width="8.42578125" style="194" customWidth="1"/>
    <col min="1284" max="1284" width="9.140625" style="194"/>
    <col min="1285" max="1285" width="11" style="194" bestFit="1" customWidth="1"/>
    <col min="1286" max="1286" width="15.28515625" style="194" customWidth="1"/>
    <col min="1287" max="1537" width="9.140625" style="194"/>
    <col min="1538" max="1538" width="77.5703125" style="194" customWidth="1"/>
    <col min="1539" max="1539" width="8.42578125" style="194" customWidth="1"/>
    <col min="1540" max="1540" width="9.140625" style="194"/>
    <col min="1541" max="1541" width="11" style="194" bestFit="1" customWidth="1"/>
    <col min="1542" max="1542" width="15.28515625" style="194" customWidth="1"/>
    <col min="1543" max="1793" width="9.140625" style="194"/>
    <col min="1794" max="1794" width="77.5703125" style="194" customWidth="1"/>
    <col min="1795" max="1795" width="8.42578125" style="194" customWidth="1"/>
    <col min="1796" max="1796" width="9.140625" style="194"/>
    <col min="1797" max="1797" width="11" style="194" bestFit="1" customWidth="1"/>
    <col min="1798" max="1798" width="15.28515625" style="194" customWidth="1"/>
    <col min="1799" max="2049" width="9.140625" style="194"/>
    <col min="2050" max="2050" width="77.5703125" style="194" customWidth="1"/>
    <col min="2051" max="2051" width="8.42578125" style="194" customWidth="1"/>
    <col min="2052" max="2052" width="9.140625" style="194"/>
    <col min="2053" max="2053" width="11" style="194" bestFit="1" customWidth="1"/>
    <col min="2054" max="2054" width="15.28515625" style="194" customWidth="1"/>
    <col min="2055" max="2305" width="9.140625" style="194"/>
    <col min="2306" max="2306" width="77.5703125" style="194" customWidth="1"/>
    <col min="2307" max="2307" width="8.42578125" style="194" customWidth="1"/>
    <col min="2308" max="2308" width="9.140625" style="194"/>
    <col min="2309" max="2309" width="11" style="194" bestFit="1" customWidth="1"/>
    <col min="2310" max="2310" width="15.28515625" style="194" customWidth="1"/>
    <col min="2311" max="2561" width="9.140625" style="194"/>
    <col min="2562" max="2562" width="77.5703125" style="194" customWidth="1"/>
    <col min="2563" max="2563" width="8.42578125" style="194" customWidth="1"/>
    <col min="2564" max="2564" width="9.140625" style="194"/>
    <col min="2565" max="2565" width="11" style="194" bestFit="1" customWidth="1"/>
    <col min="2566" max="2566" width="15.28515625" style="194" customWidth="1"/>
    <col min="2567" max="2817" width="9.140625" style="194"/>
    <col min="2818" max="2818" width="77.5703125" style="194" customWidth="1"/>
    <col min="2819" max="2819" width="8.42578125" style="194" customWidth="1"/>
    <col min="2820" max="2820" width="9.140625" style="194"/>
    <col min="2821" max="2821" width="11" style="194" bestFit="1" customWidth="1"/>
    <col min="2822" max="2822" width="15.28515625" style="194" customWidth="1"/>
    <col min="2823" max="3073" width="9.140625" style="194"/>
    <col min="3074" max="3074" width="77.5703125" style="194" customWidth="1"/>
    <col min="3075" max="3075" width="8.42578125" style="194" customWidth="1"/>
    <col min="3076" max="3076" width="9.140625" style="194"/>
    <col min="3077" max="3077" width="11" style="194" bestFit="1" customWidth="1"/>
    <col min="3078" max="3078" width="15.28515625" style="194" customWidth="1"/>
    <col min="3079" max="3329" width="9.140625" style="194"/>
    <col min="3330" max="3330" width="77.5703125" style="194" customWidth="1"/>
    <col min="3331" max="3331" width="8.42578125" style="194" customWidth="1"/>
    <col min="3332" max="3332" width="9.140625" style="194"/>
    <col min="3333" max="3333" width="11" style="194" bestFit="1" customWidth="1"/>
    <col min="3334" max="3334" width="15.28515625" style="194" customWidth="1"/>
    <col min="3335" max="3585" width="9.140625" style="194"/>
    <col min="3586" max="3586" width="77.5703125" style="194" customWidth="1"/>
    <col min="3587" max="3587" width="8.42578125" style="194" customWidth="1"/>
    <col min="3588" max="3588" width="9.140625" style="194"/>
    <col min="3589" max="3589" width="11" style="194" bestFit="1" customWidth="1"/>
    <col min="3590" max="3590" width="15.28515625" style="194" customWidth="1"/>
    <col min="3591" max="3841" width="9.140625" style="194"/>
    <col min="3842" max="3842" width="77.5703125" style="194" customWidth="1"/>
    <col min="3843" max="3843" width="8.42578125" style="194" customWidth="1"/>
    <col min="3844" max="3844" width="9.140625" style="194"/>
    <col min="3845" max="3845" width="11" style="194" bestFit="1" customWidth="1"/>
    <col min="3846" max="3846" width="15.28515625" style="194" customWidth="1"/>
    <col min="3847" max="4097" width="9.140625" style="194"/>
    <col min="4098" max="4098" width="77.5703125" style="194" customWidth="1"/>
    <col min="4099" max="4099" width="8.42578125" style="194" customWidth="1"/>
    <col min="4100" max="4100" width="9.140625" style="194"/>
    <col min="4101" max="4101" width="11" style="194" bestFit="1" customWidth="1"/>
    <col min="4102" max="4102" width="15.28515625" style="194" customWidth="1"/>
    <col min="4103" max="4353" width="9.140625" style="194"/>
    <col min="4354" max="4354" width="77.5703125" style="194" customWidth="1"/>
    <col min="4355" max="4355" width="8.42578125" style="194" customWidth="1"/>
    <col min="4356" max="4356" width="9.140625" style="194"/>
    <col min="4357" max="4357" width="11" style="194" bestFit="1" customWidth="1"/>
    <col min="4358" max="4358" width="15.28515625" style="194" customWidth="1"/>
    <col min="4359" max="4609" width="9.140625" style="194"/>
    <col min="4610" max="4610" width="77.5703125" style="194" customWidth="1"/>
    <col min="4611" max="4611" width="8.42578125" style="194" customWidth="1"/>
    <col min="4612" max="4612" width="9.140625" style="194"/>
    <col min="4613" max="4613" width="11" style="194" bestFit="1" customWidth="1"/>
    <col min="4614" max="4614" width="15.28515625" style="194" customWidth="1"/>
    <col min="4615" max="4865" width="9.140625" style="194"/>
    <col min="4866" max="4866" width="77.5703125" style="194" customWidth="1"/>
    <col min="4867" max="4867" width="8.42578125" style="194" customWidth="1"/>
    <col min="4868" max="4868" width="9.140625" style="194"/>
    <col min="4869" max="4869" width="11" style="194" bestFit="1" customWidth="1"/>
    <col min="4870" max="4870" width="15.28515625" style="194" customWidth="1"/>
    <col min="4871" max="5121" width="9.140625" style="194"/>
    <col min="5122" max="5122" width="77.5703125" style="194" customWidth="1"/>
    <col min="5123" max="5123" width="8.42578125" style="194" customWidth="1"/>
    <col min="5124" max="5124" width="9.140625" style="194"/>
    <col min="5125" max="5125" width="11" style="194" bestFit="1" customWidth="1"/>
    <col min="5126" max="5126" width="15.28515625" style="194" customWidth="1"/>
    <col min="5127" max="5377" width="9.140625" style="194"/>
    <col min="5378" max="5378" width="77.5703125" style="194" customWidth="1"/>
    <col min="5379" max="5379" width="8.42578125" style="194" customWidth="1"/>
    <col min="5380" max="5380" width="9.140625" style="194"/>
    <col min="5381" max="5381" width="11" style="194" bestFit="1" customWidth="1"/>
    <col min="5382" max="5382" width="15.28515625" style="194" customWidth="1"/>
    <col min="5383" max="5633" width="9.140625" style="194"/>
    <col min="5634" max="5634" width="77.5703125" style="194" customWidth="1"/>
    <col min="5635" max="5635" width="8.42578125" style="194" customWidth="1"/>
    <col min="5636" max="5636" width="9.140625" style="194"/>
    <col min="5637" max="5637" width="11" style="194" bestFit="1" customWidth="1"/>
    <col min="5638" max="5638" width="15.28515625" style="194" customWidth="1"/>
    <col min="5639" max="5889" width="9.140625" style="194"/>
    <col min="5890" max="5890" width="77.5703125" style="194" customWidth="1"/>
    <col min="5891" max="5891" width="8.42578125" style="194" customWidth="1"/>
    <col min="5892" max="5892" width="9.140625" style="194"/>
    <col min="5893" max="5893" width="11" style="194" bestFit="1" customWidth="1"/>
    <col min="5894" max="5894" width="15.28515625" style="194" customWidth="1"/>
    <col min="5895" max="6145" width="9.140625" style="194"/>
    <col min="6146" max="6146" width="77.5703125" style="194" customWidth="1"/>
    <col min="6147" max="6147" width="8.42578125" style="194" customWidth="1"/>
    <col min="6148" max="6148" width="9.140625" style="194"/>
    <col min="6149" max="6149" width="11" style="194" bestFit="1" customWidth="1"/>
    <col min="6150" max="6150" width="15.28515625" style="194" customWidth="1"/>
    <col min="6151" max="6401" width="9.140625" style="194"/>
    <col min="6402" max="6402" width="77.5703125" style="194" customWidth="1"/>
    <col min="6403" max="6403" width="8.42578125" style="194" customWidth="1"/>
    <col min="6404" max="6404" width="9.140625" style="194"/>
    <col min="6405" max="6405" width="11" style="194" bestFit="1" customWidth="1"/>
    <col min="6406" max="6406" width="15.28515625" style="194" customWidth="1"/>
    <col min="6407" max="6657" width="9.140625" style="194"/>
    <col min="6658" max="6658" width="77.5703125" style="194" customWidth="1"/>
    <col min="6659" max="6659" width="8.42578125" style="194" customWidth="1"/>
    <col min="6660" max="6660" width="9.140625" style="194"/>
    <col min="6661" max="6661" width="11" style="194" bestFit="1" customWidth="1"/>
    <col min="6662" max="6662" width="15.28515625" style="194" customWidth="1"/>
    <col min="6663" max="6913" width="9.140625" style="194"/>
    <col min="6914" max="6914" width="77.5703125" style="194" customWidth="1"/>
    <col min="6915" max="6915" width="8.42578125" style="194" customWidth="1"/>
    <col min="6916" max="6916" width="9.140625" style="194"/>
    <col min="6917" max="6917" width="11" style="194" bestFit="1" customWidth="1"/>
    <col min="6918" max="6918" width="15.28515625" style="194" customWidth="1"/>
    <col min="6919" max="7169" width="9.140625" style="194"/>
    <col min="7170" max="7170" width="77.5703125" style="194" customWidth="1"/>
    <col min="7171" max="7171" width="8.42578125" style="194" customWidth="1"/>
    <col min="7172" max="7172" width="9.140625" style="194"/>
    <col min="7173" max="7173" width="11" style="194" bestFit="1" customWidth="1"/>
    <col min="7174" max="7174" width="15.28515625" style="194" customWidth="1"/>
    <col min="7175" max="7425" width="9.140625" style="194"/>
    <col min="7426" max="7426" width="77.5703125" style="194" customWidth="1"/>
    <col min="7427" max="7427" width="8.42578125" style="194" customWidth="1"/>
    <col min="7428" max="7428" width="9.140625" style="194"/>
    <col min="7429" max="7429" width="11" style="194" bestFit="1" customWidth="1"/>
    <col min="7430" max="7430" width="15.28515625" style="194" customWidth="1"/>
    <col min="7431" max="7681" width="9.140625" style="194"/>
    <col min="7682" max="7682" width="77.5703125" style="194" customWidth="1"/>
    <col min="7683" max="7683" width="8.42578125" style="194" customWidth="1"/>
    <col min="7684" max="7684" width="9.140625" style="194"/>
    <col min="7685" max="7685" width="11" style="194" bestFit="1" customWidth="1"/>
    <col min="7686" max="7686" width="15.28515625" style="194" customWidth="1"/>
    <col min="7687" max="7937" width="9.140625" style="194"/>
    <col min="7938" max="7938" width="77.5703125" style="194" customWidth="1"/>
    <col min="7939" max="7939" width="8.42578125" style="194" customWidth="1"/>
    <col min="7940" max="7940" width="9.140625" style="194"/>
    <col min="7941" max="7941" width="11" style="194" bestFit="1" customWidth="1"/>
    <col min="7942" max="7942" width="15.28515625" style="194" customWidth="1"/>
    <col min="7943" max="8193" width="9.140625" style="194"/>
    <col min="8194" max="8194" width="77.5703125" style="194" customWidth="1"/>
    <col min="8195" max="8195" width="8.42578125" style="194" customWidth="1"/>
    <col min="8196" max="8196" width="9.140625" style="194"/>
    <col min="8197" max="8197" width="11" style="194" bestFit="1" customWidth="1"/>
    <col min="8198" max="8198" width="15.28515625" style="194" customWidth="1"/>
    <col min="8199" max="8449" width="9.140625" style="194"/>
    <col min="8450" max="8450" width="77.5703125" style="194" customWidth="1"/>
    <col min="8451" max="8451" width="8.42578125" style="194" customWidth="1"/>
    <col min="8452" max="8452" width="9.140625" style="194"/>
    <col min="8453" max="8453" width="11" style="194" bestFit="1" customWidth="1"/>
    <col min="8454" max="8454" width="15.28515625" style="194" customWidth="1"/>
    <col min="8455" max="8705" width="9.140625" style="194"/>
    <col min="8706" max="8706" width="77.5703125" style="194" customWidth="1"/>
    <col min="8707" max="8707" width="8.42578125" style="194" customWidth="1"/>
    <col min="8708" max="8708" width="9.140625" style="194"/>
    <col min="8709" max="8709" width="11" style="194" bestFit="1" customWidth="1"/>
    <col min="8710" max="8710" width="15.28515625" style="194" customWidth="1"/>
    <col min="8711" max="8961" width="9.140625" style="194"/>
    <col min="8962" max="8962" width="77.5703125" style="194" customWidth="1"/>
    <col min="8963" max="8963" width="8.42578125" style="194" customWidth="1"/>
    <col min="8964" max="8964" width="9.140625" style="194"/>
    <col min="8965" max="8965" width="11" style="194" bestFit="1" customWidth="1"/>
    <col min="8966" max="8966" width="15.28515625" style="194" customWidth="1"/>
    <col min="8967" max="9217" width="9.140625" style="194"/>
    <col min="9218" max="9218" width="77.5703125" style="194" customWidth="1"/>
    <col min="9219" max="9219" width="8.42578125" style="194" customWidth="1"/>
    <col min="9220" max="9220" width="9.140625" style="194"/>
    <col min="9221" max="9221" width="11" style="194" bestFit="1" customWidth="1"/>
    <col min="9222" max="9222" width="15.28515625" style="194" customWidth="1"/>
    <col min="9223" max="9473" width="9.140625" style="194"/>
    <col min="9474" max="9474" width="77.5703125" style="194" customWidth="1"/>
    <col min="9475" max="9475" width="8.42578125" style="194" customWidth="1"/>
    <col min="9476" max="9476" width="9.140625" style="194"/>
    <col min="9477" max="9477" width="11" style="194" bestFit="1" customWidth="1"/>
    <col min="9478" max="9478" width="15.28515625" style="194" customWidth="1"/>
    <col min="9479" max="9729" width="9.140625" style="194"/>
    <col min="9730" max="9730" width="77.5703125" style="194" customWidth="1"/>
    <col min="9731" max="9731" width="8.42578125" style="194" customWidth="1"/>
    <col min="9732" max="9732" width="9.140625" style="194"/>
    <col min="9733" max="9733" width="11" style="194" bestFit="1" customWidth="1"/>
    <col min="9734" max="9734" width="15.28515625" style="194" customWidth="1"/>
    <col min="9735" max="9985" width="9.140625" style="194"/>
    <col min="9986" max="9986" width="77.5703125" style="194" customWidth="1"/>
    <col min="9987" max="9987" width="8.42578125" style="194" customWidth="1"/>
    <col min="9988" max="9988" width="9.140625" style="194"/>
    <col min="9989" max="9989" width="11" style="194" bestFit="1" customWidth="1"/>
    <col min="9990" max="9990" width="15.28515625" style="194" customWidth="1"/>
    <col min="9991" max="10241" width="9.140625" style="194"/>
    <col min="10242" max="10242" width="77.5703125" style="194" customWidth="1"/>
    <col min="10243" max="10243" width="8.42578125" style="194" customWidth="1"/>
    <col min="10244" max="10244" width="9.140625" style="194"/>
    <col min="10245" max="10245" width="11" style="194" bestFit="1" customWidth="1"/>
    <col min="10246" max="10246" width="15.28515625" style="194" customWidth="1"/>
    <col min="10247" max="10497" width="9.140625" style="194"/>
    <col min="10498" max="10498" width="77.5703125" style="194" customWidth="1"/>
    <col min="10499" max="10499" width="8.42578125" style="194" customWidth="1"/>
    <col min="10500" max="10500" width="9.140625" style="194"/>
    <col min="10501" max="10501" width="11" style="194" bestFit="1" customWidth="1"/>
    <col min="10502" max="10502" width="15.28515625" style="194" customWidth="1"/>
    <col min="10503" max="10753" width="9.140625" style="194"/>
    <col min="10754" max="10754" width="77.5703125" style="194" customWidth="1"/>
    <col min="10755" max="10755" width="8.42578125" style="194" customWidth="1"/>
    <col min="10756" max="10756" width="9.140625" style="194"/>
    <col min="10757" max="10757" width="11" style="194" bestFit="1" customWidth="1"/>
    <col min="10758" max="10758" width="15.28515625" style="194" customWidth="1"/>
    <col min="10759" max="11009" width="9.140625" style="194"/>
    <col min="11010" max="11010" width="77.5703125" style="194" customWidth="1"/>
    <col min="11011" max="11011" width="8.42578125" style="194" customWidth="1"/>
    <col min="11012" max="11012" width="9.140625" style="194"/>
    <col min="11013" max="11013" width="11" style="194" bestFit="1" customWidth="1"/>
    <col min="11014" max="11014" width="15.28515625" style="194" customWidth="1"/>
    <col min="11015" max="11265" width="9.140625" style="194"/>
    <col min="11266" max="11266" width="77.5703125" style="194" customWidth="1"/>
    <col min="11267" max="11267" width="8.42578125" style="194" customWidth="1"/>
    <col min="11268" max="11268" width="9.140625" style="194"/>
    <col min="11269" max="11269" width="11" style="194" bestFit="1" customWidth="1"/>
    <col min="11270" max="11270" width="15.28515625" style="194" customWidth="1"/>
    <col min="11271" max="11521" width="9.140625" style="194"/>
    <col min="11522" max="11522" width="77.5703125" style="194" customWidth="1"/>
    <col min="11523" max="11523" width="8.42578125" style="194" customWidth="1"/>
    <col min="11524" max="11524" width="9.140625" style="194"/>
    <col min="11525" max="11525" width="11" style="194" bestFit="1" customWidth="1"/>
    <col min="11526" max="11526" width="15.28515625" style="194" customWidth="1"/>
    <col min="11527" max="11777" width="9.140625" style="194"/>
    <col min="11778" max="11778" width="77.5703125" style="194" customWidth="1"/>
    <col min="11779" max="11779" width="8.42578125" style="194" customWidth="1"/>
    <col min="11780" max="11780" width="9.140625" style="194"/>
    <col min="11781" max="11781" width="11" style="194" bestFit="1" customWidth="1"/>
    <col min="11782" max="11782" width="15.28515625" style="194" customWidth="1"/>
    <col min="11783" max="12033" width="9.140625" style="194"/>
    <col min="12034" max="12034" width="77.5703125" style="194" customWidth="1"/>
    <col min="12035" max="12035" width="8.42578125" style="194" customWidth="1"/>
    <col min="12036" max="12036" width="9.140625" style="194"/>
    <col min="12037" max="12037" width="11" style="194" bestFit="1" customWidth="1"/>
    <col min="12038" max="12038" width="15.28515625" style="194" customWidth="1"/>
    <col min="12039" max="12289" width="9.140625" style="194"/>
    <col min="12290" max="12290" width="77.5703125" style="194" customWidth="1"/>
    <col min="12291" max="12291" width="8.42578125" style="194" customWidth="1"/>
    <col min="12292" max="12292" width="9.140625" style="194"/>
    <col min="12293" max="12293" width="11" style="194" bestFit="1" customWidth="1"/>
    <col min="12294" max="12294" width="15.28515625" style="194" customWidth="1"/>
    <col min="12295" max="12545" width="9.140625" style="194"/>
    <col min="12546" max="12546" width="77.5703125" style="194" customWidth="1"/>
    <col min="12547" max="12547" width="8.42578125" style="194" customWidth="1"/>
    <col min="12548" max="12548" width="9.140625" style="194"/>
    <col min="12549" max="12549" width="11" style="194" bestFit="1" customWidth="1"/>
    <col min="12550" max="12550" width="15.28515625" style="194" customWidth="1"/>
    <col min="12551" max="12801" width="9.140625" style="194"/>
    <col min="12802" max="12802" width="77.5703125" style="194" customWidth="1"/>
    <col min="12803" max="12803" width="8.42578125" style="194" customWidth="1"/>
    <col min="12804" max="12804" width="9.140625" style="194"/>
    <col min="12805" max="12805" width="11" style="194" bestFit="1" customWidth="1"/>
    <col min="12806" max="12806" width="15.28515625" style="194" customWidth="1"/>
    <col min="12807" max="13057" width="9.140625" style="194"/>
    <col min="13058" max="13058" width="77.5703125" style="194" customWidth="1"/>
    <col min="13059" max="13059" width="8.42578125" style="194" customWidth="1"/>
    <col min="13060" max="13060" width="9.140625" style="194"/>
    <col min="13061" max="13061" width="11" style="194" bestFit="1" customWidth="1"/>
    <col min="13062" max="13062" width="15.28515625" style="194" customWidth="1"/>
    <col min="13063" max="13313" width="9.140625" style="194"/>
    <col min="13314" max="13314" width="77.5703125" style="194" customWidth="1"/>
    <col min="13315" max="13315" width="8.42578125" style="194" customWidth="1"/>
    <col min="13316" max="13316" width="9.140625" style="194"/>
    <col min="13317" max="13317" width="11" style="194" bestFit="1" customWidth="1"/>
    <col min="13318" max="13318" width="15.28515625" style="194" customWidth="1"/>
    <col min="13319" max="13569" width="9.140625" style="194"/>
    <col min="13570" max="13570" width="77.5703125" style="194" customWidth="1"/>
    <col min="13571" max="13571" width="8.42578125" style="194" customWidth="1"/>
    <col min="13572" max="13572" width="9.140625" style="194"/>
    <col min="13573" max="13573" width="11" style="194" bestFit="1" customWidth="1"/>
    <col min="13574" max="13574" width="15.28515625" style="194" customWidth="1"/>
    <col min="13575" max="13825" width="9.140625" style="194"/>
    <col min="13826" max="13826" width="77.5703125" style="194" customWidth="1"/>
    <col min="13827" max="13827" width="8.42578125" style="194" customWidth="1"/>
    <col min="13828" max="13828" width="9.140625" style="194"/>
    <col min="13829" max="13829" width="11" style="194" bestFit="1" customWidth="1"/>
    <col min="13830" max="13830" width="15.28515625" style="194" customWidth="1"/>
    <col min="13831" max="14081" width="9.140625" style="194"/>
    <col min="14082" max="14082" width="77.5703125" style="194" customWidth="1"/>
    <col min="14083" max="14083" width="8.42578125" style="194" customWidth="1"/>
    <col min="14084" max="14084" width="9.140625" style="194"/>
    <col min="14085" max="14085" width="11" style="194" bestFit="1" customWidth="1"/>
    <col min="14086" max="14086" width="15.28515625" style="194" customWidth="1"/>
    <col min="14087" max="14337" width="9.140625" style="194"/>
    <col min="14338" max="14338" width="77.5703125" style="194" customWidth="1"/>
    <col min="14339" max="14339" width="8.42578125" style="194" customWidth="1"/>
    <col min="14340" max="14340" width="9.140625" style="194"/>
    <col min="14341" max="14341" width="11" style="194" bestFit="1" customWidth="1"/>
    <col min="14342" max="14342" width="15.28515625" style="194" customWidth="1"/>
    <col min="14343" max="14593" width="9.140625" style="194"/>
    <col min="14594" max="14594" width="77.5703125" style="194" customWidth="1"/>
    <col min="14595" max="14595" width="8.42578125" style="194" customWidth="1"/>
    <col min="14596" max="14596" width="9.140625" style="194"/>
    <col min="14597" max="14597" width="11" style="194" bestFit="1" customWidth="1"/>
    <col min="14598" max="14598" width="15.28515625" style="194" customWidth="1"/>
    <col min="14599" max="14849" width="9.140625" style="194"/>
    <col min="14850" max="14850" width="77.5703125" style="194" customWidth="1"/>
    <col min="14851" max="14851" width="8.42578125" style="194" customWidth="1"/>
    <col min="14852" max="14852" width="9.140625" style="194"/>
    <col min="14853" max="14853" width="11" style="194" bestFit="1" customWidth="1"/>
    <col min="14854" max="14854" width="15.28515625" style="194" customWidth="1"/>
    <col min="14855" max="15105" width="9.140625" style="194"/>
    <col min="15106" max="15106" width="77.5703125" style="194" customWidth="1"/>
    <col min="15107" max="15107" width="8.42578125" style="194" customWidth="1"/>
    <col min="15108" max="15108" width="9.140625" style="194"/>
    <col min="15109" max="15109" width="11" style="194" bestFit="1" customWidth="1"/>
    <col min="15110" max="15110" width="15.28515625" style="194" customWidth="1"/>
    <col min="15111" max="15361" width="9.140625" style="194"/>
    <col min="15362" max="15362" width="77.5703125" style="194" customWidth="1"/>
    <col min="15363" max="15363" width="8.42578125" style="194" customWidth="1"/>
    <col min="15364" max="15364" width="9.140625" style="194"/>
    <col min="15365" max="15365" width="11" style="194" bestFit="1" customWidth="1"/>
    <col min="15366" max="15366" width="15.28515625" style="194" customWidth="1"/>
    <col min="15367" max="15617" width="9.140625" style="194"/>
    <col min="15618" max="15618" width="77.5703125" style="194" customWidth="1"/>
    <col min="15619" max="15619" width="8.42578125" style="194" customWidth="1"/>
    <col min="15620" max="15620" width="9.140625" style="194"/>
    <col min="15621" max="15621" width="11" style="194" bestFit="1" customWidth="1"/>
    <col min="15622" max="15622" width="15.28515625" style="194" customWidth="1"/>
    <col min="15623" max="15873" width="9.140625" style="194"/>
    <col min="15874" max="15874" width="77.5703125" style="194" customWidth="1"/>
    <col min="15875" max="15875" width="8.42578125" style="194" customWidth="1"/>
    <col min="15876" max="15876" width="9.140625" style="194"/>
    <col min="15877" max="15877" width="11" style="194" bestFit="1" customWidth="1"/>
    <col min="15878" max="15878" width="15.28515625" style="194" customWidth="1"/>
    <col min="15879" max="16129" width="9.140625" style="194"/>
    <col min="16130" max="16130" width="77.5703125" style="194" customWidth="1"/>
    <col min="16131" max="16131" width="8.42578125" style="194" customWidth="1"/>
    <col min="16132" max="16132" width="9.140625" style="194"/>
    <col min="16133" max="16133" width="11" style="194" bestFit="1" customWidth="1"/>
    <col min="16134" max="16134" width="15.28515625" style="194" customWidth="1"/>
    <col min="16135" max="16384" width="9.140625" style="194"/>
  </cols>
  <sheetData>
    <row r="2" spans="1:8" ht="16.5" thickBot="1" x14ac:dyDescent="0.3">
      <c r="A2" s="328" t="s">
        <v>371</v>
      </c>
      <c r="B2" s="328"/>
      <c r="C2" s="328"/>
      <c r="D2" s="328"/>
      <c r="E2" s="328"/>
      <c r="F2" s="328"/>
      <c r="G2" s="278"/>
    </row>
    <row r="3" spans="1:8" ht="15.75" customHeight="1" x14ac:dyDescent="0.25">
      <c r="A3" s="331" t="s">
        <v>212</v>
      </c>
      <c r="B3" s="333" t="s">
        <v>67</v>
      </c>
      <c r="C3" s="335" t="s">
        <v>68</v>
      </c>
      <c r="D3" s="337" t="s">
        <v>69</v>
      </c>
      <c r="E3" s="337" t="s">
        <v>131</v>
      </c>
      <c r="F3" s="329" t="s">
        <v>322</v>
      </c>
      <c r="G3" s="339" t="s">
        <v>372</v>
      </c>
      <c r="H3" s="326" t="s">
        <v>369</v>
      </c>
    </row>
    <row r="4" spans="1:8" x14ac:dyDescent="0.25">
      <c r="A4" s="332"/>
      <c r="B4" s="334"/>
      <c r="C4" s="336"/>
      <c r="D4" s="338"/>
      <c r="E4" s="338"/>
      <c r="F4" s="330"/>
      <c r="G4" s="340"/>
      <c r="H4" s="327"/>
    </row>
    <row r="5" spans="1:8" x14ac:dyDescent="0.25">
      <c r="A5" s="218" t="s">
        <v>219</v>
      </c>
      <c r="B5" s="261"/>
      <c r="C5" s="262"/>
      <c r="D5" s="263"/>
      <c r="E5" s="219">
        <f>E6+E29</f>
        <v>19558068</v>
      </c>
      <c r="F5" s="219">
        <f>F6+F29</f>
        <v>19558068</v>
      </c>
      <c r="G5" s="219">
        <f>G6+G29</f>
        <v>19558068</v>
      </c>
      <c r="H5" s="200">
        <f>G5-F5</f>
        <v>0</v>
      </c>
    </row>
    <row r="6" spans="1:8" x14ac:dyDescent="0.25">
      <c r="A6" s="218" t="s">
        <v>2</v>
      </c>
      <c r="B6" s="261"/>
      <c r="C6" s="262"/>
      <c r="D6" s="263"/>
      <c r="E6" s="219">
        <f>E7+E10+E19+E21+E23+E24+E26+E27+E30</f>
        <v>18387668</v>
      </c>
      <c r="F6" s="219">
        <f>F7+F10+F19+F21+F23+F24+F26+F27+F30</f>
        <v>18387668</v>
      </c>
      <c r="G6" s="219">
        <f>G7+G10+G19+G21+G23+G24+G26+G27+G30</f>
        <v>18387668</v>
      </c>
      <c r="H6" s="200">
        <f t="shared" ref="H6:H46" si="0">G6-F6</f>
        <v>0</v>
      </c>
    </row>
    <row r="7" spans="1:8" x14ac:dyDescent="0.25">
      <c r="A7" s="218" t="s">
        <v>70</v>
      </c>
      <c r="B7" s="261"/>
      <c r="C7" s="220"/>
      <c r="D7" s="263"/>
      <c r="E7" s="221">
        <f>E8</f>
        <v>0</v>
      </c>
      <c r="F7" s="221">
        <f>F8</f>
        <v>0</v>
      </c>
      <c r="G7" s="221">
        <f>G8</f>
        <v>0</v>
      </c>
      <c r="H7" s="200">
        <f t="shared" si="0"/>
        <v>0</v>
      </c>
    </row>
    <row r="8" spans="1:8" x14ac:dyDescent="0.25">
      <c r="A8" s="222" t="s">
        <v>71</v>
      </c>
      <c r="B8" s="261"/>
      <c r="C8" s="223"/>
      <c r="D8" s="224"/>
      <c r="E8" s="225">
        <f>C8*D8</f>
        <v>0</v>
      </c>
      <c r="F8" s="225">
        <f>D8*E8</f>
        <v>0</v>
      </c>
      <c r="G8" s="225">
        <f>E8*F8</f>
        <v>0</v>
      </c>
      <c r="H8" s="200">
        <f t="shared" si="0"/>
        <v>0</v>
      </c>
    </row>
    <row r="9" spans="1:8" x14ac:dyDescent="0.25">
      <c r="A9" s="222" t="s">
        <v>73</v>
      </c>
      <c r="B9" s="261"/>
      <c r="C9" s="220"/>
      <c r="D9" s="263"/>
      <c r="E9" s="226">
        <v>0</v>
      </c>
      <c r="F9" s="84">
        <v>0</v>
      </c>
      <c r="G9" s="84">
        <v>0</v>
      </c>
      <c r="H9" s="200">
        <f t="shared" si="0"/>
        <v>0</v>
      </c>
    </row>
    <row r="10" spans="1:8" x14ac:dyDescent="0.25">
      <c r="A10" s="227" t="s">
        <v>236</v>
      </c>
      <c r="B10" s="261"/>
      <c r="C10" s="220"/>
      <c r="D10" s="263"/>
      <c r="E10" s="221">
        <f>E11+E12+E13+E14+E15+E16+E17+E18</f>
        <v>7493580</v>
      </c>
      <c r="F10" s="221">
        <f>F11+F12+F13+F14+F15+F16+F17+F18</f>
        <v>7493580</v>
      </c>
      <c r="G10" s="221">
        <f>G11+G12+G13+G14+G15+G16+G17+G18</f>
        <v>7493580</v>
      </c>
      <c r="H10" s="200">
        <f t="shared" si="0"/>
        <v>0</v>
      </c>
    </row>
    <row r="11" spans="1:8" x14ac:dyDescent="0.25">
      <c r="A11" s="264" t="s">
        <v>72</v>
      </c>
      <c r="B11" s="261"/>
      <c r="C11" s="220"/>
      <c r="D11" s="263">
        <v>22300</v>
      </c>
      <c r="E11" s="225">
        <v>985660</v>
      </c>
      <c r="F11" s="84">
        <v>985660</v>
      </c>
      <c r="G11" s="84">
        <v>985660</v>
      </c>
      <c r="H11" s="200">
        <f t="shared" si="0"/>
        <v>0</v>
      </c>
    </row>
    <row r="12" spans="1:8" x14ac:dyDescent="0.25">
      <c r="A12" s="264" t="s">
        <v>73</v>
      </c>
      <c r="B12" s="261"/>
      <c r="C12" s="220"/>
      <c r="D12" s="263"/>
      <c r="E12" s="226"/>
      <c r="F12" s="84"/>
      <c r="G12" s="295"/>
      <c r="H12" s="200">
        <f t="shared" si="0"/>
        <v>0</v>
      </c>
    </row>
    <row r="13" spans="1:8" x14ac:dyDescent="0.25">
      <c r="A13" s="264" t="s">
        <v>74</v>
      </c>
      <c r="B13" s="261"/>
      <c r="C13" s="262"/>
      <c r="D13" s="263"/>
      <c r="E13" s="225">
        <v>4928000</v>
      </c>
      <c r="F13" s="84">
        <v>4928000</v>
      </c>
      <c r="G13" s="84">
        <v>4928000</v>
      </c>
      <c r="H13" s="200">
        <f t="shared" si="0"/>
        <v>0</v>
      </c>
    </row>
    <row r="14" spans="1:8" x14ac:dyDescent="0.25">
      <c r="A14" s="264" t="s">
        <v>73</v>
      </c>
      <c r="B14" s="261"/>
      <c r="C14" s="262"/>
      <c r="D14" s="263"/>
      <c r="E14" s="226"/>
      <c r="F14" s="84"/>
      <c r="G14" s="84"/>
      <c r="H14" s="200">
        <f t="shared" si="0"/>
        <v>0</v>
      </c>
    </row>
    <row r="15" spans="1:8" x14ac:dyDescent="0.25">
      <c r="A15" s="264" t="s">
        <v>75</v>
      </c>
      <c r="B15" s="261"/>
      <c r="C15" s="262"/>
      <c r="D15" s="263"/>
      <c r="E15" s="225">
        <v>0</v>
      </c>
      <c r="F15" s="84">
        <v>0</v>
      </c>
      <c r="G15" s="84">
        <v>0</v>
      </c>
      <c r="H15" s="200">
        <f t="shared" si="0"/>
        <v>0</v>
      </c>
    </row>
    <row r="16" spans="1:8" x14ac:dyDescent="0.25">
      <c r="A16" s="264" t="s">
        <v>73</v>
      </c>
      <c r="B16" s="261"/>
      <c r="C16" s="262"/>
      <c r="D16" s="263"/>
      <c r="E16" s="226"/>
      <c r="F16" s="84"/>
      <c r="G16" s="84"/>
      <c r="H16" s="200">
        <f t="shared" si="0"/>
        <v>0</v>
      </c>
    </row>
    <row r="17" spans="1:8" x14ac:dyDescent="0.25">
      <c r="A17" s="264" t="s">
        <v>76</v>
      </c>
      <c r="B17" s="261"/>
      <c r="C17" s="262"/>
      <c r="D17" s="263"/>
      <c r="E17" s="225">
        <v>1579920</v>
      </c>
      <c r="F17" s="84">
        <v>1579920</v>
      </c>
      <c r="G17" s="84">
        <v>1579920</v>
      </c>
      <c r="H17" s="200">
        <f t="shared" si="0"/>
        <v>0</v>
      </c>
    </row>
    <row r="18" spans="1:8" x14ac:dyDescent="0.25">
      <c r="A18" s="264" t="s">
        <v>73</v>
      </c>
      <c r="B18" s="261"/>
      <c r="C18" s="262"/>
      <c r="D18" s="263"/>
      <c r="E18" s="226"/>
      <c r="F18" s="84"/>
      <c r="G18" s="84"/>
      <c r="H18" s="200">
        <f t="shared" si="0"/>
        <v>0</v>
      </c>
    </row>
    <row r="19" spans="1:8" x14ac:dyDescent="0.25">
      <c r="A19" s="218" t="s">
        <v>237</v>
      </c>
      <c r="B19" s="261"/>
      <c r="C19" s="262"/>
      <c r="D19" s="263"/>
      <c r="E19" s="219">
        <f>E20+E21</f>
        <v>5000000</v>
      </c>
      <c r="F19" s="219">
        <f>F20+F21</f>
        <v>5000000</v>
      </c>
      <c r="G19" s="219">
        <f>G20+G21</f>
        <v>5000000</v>
      </c>
      <c r="H19" s="200">
        <f t="shared" si="0"/>
        <v>0</v>
      </c>
    </row>
    <row r="20" spans="1:8" x14ac:dyDescent="0.25">
      <c r="A20" s="222" t="s">
        <v>215</v>
      </c>
      <c r="B20" s="228"/>
      <c r="C20" s="228"/>
      <c r="D20" s="224">
        <v>2700</v>
      </c>
      <c r="E20" s="225">
        <v>5000000</v>
      </c>
      <c r="F20" s="84">
        <v>5000000</v>
      </c>
      <c r="G20" s="84">
        <v>5000000</v>
      </c>
      <c r="H20" s="200">
        <f t="shared" si="0"/>
        <v>0</v>
      </c>
    </row>
    <row r="21" spans="1:8" x14ac:dyDescent="0.25">
      <c r="A21" s="264" t="s">
        <v>73</v>
      </c>
      <c r="B21" s="261"/>
      <c r="C21" s="229"/>
      <c r="D21" s="224"/>
      <c r="E21" s="225"/>
      <c r="F21" s="84"/>
      <c r="G21" s="84"/>
      <c r="H21" s="200">
        <f t="shared" si="0"/>
        <v>0</v>
      </c>
    </row>
    <row r="22" spans="1:8" x14ac:dyDescent="0.25">
      <c r="A22" s="218" t="s">
        <v>238</v>
      </c>
      <c r="B22" s="261"/>
      <c r="C22" s="229"/>
      <c r="D22" s="224"/>
      <c r="E22" s="221">
        <f>E23+E24</f>
        <v>112200</v>
      </c>
      <c r="F22" s="221">
        <f>F23+F24</f>
        <v>112200</v>
      </c>
      <c r="G22" s="221">
        <f>G23+G24</f>
        <v>112200</v>
      </c>
      <c r="H22" s="200">
        <f t="shared" si="0"/>
        <v>0</v>
      </c>
    </row>
    <row r="23" spans="1:8" x14ac:dyDescent="0.25">
      <c r="A23" s="222" t="s">
        <v>82</v>
      </c>
      <c r="B23" s="261"/>
      <c r="C23" s="229"/>
      <c r="D23" s="230">
        <v>2550</v>
      </c>
      <c r="E23" s="231">
        <v>112200</v>
      </c>
      <c r="F23" s="84">
        <v>112200</v>
      </c>
      <c r="G23" s="84">
        <v>112200</v>
      </c>
      <c r="H23" s="200">
        <f t="shared" si="0"/>
        <v>0</v>
      </c>
    </row>
    <row r="24" spans="1:8" x14ac:dyDescent="0.25">
      <c r="A24" s="264" t="s">
        <v>73</v>
      </c>
      <c r="B24" s="261"/>
      <c r="C24" s="262"/>
      <c r="D24" s="232"/>
      <c r="E24" s="229"/>
      <c r="F24" s="84"/>
      <c r="G24" s="84"/>
      <c r="H24" s="200">
        <f t="shared" si="0"/>
        <v>0</v>
      </c>
    </row>
    <row r="25" spans="1:8" x14ac:dyDescent="0.25">
      <c r="A25" s="233" t="s">
        <v>239</v>
      </c>
      <c r="B25" s="261"/>
      <c r="C25" s="229"/>
      <c r="D25" s="224"/>
      <c r="E25" s="234">
        <f>E26</f>
        <v>75370</v>
      </c>
      <c r="F25" s="234">
        <f>F26</f>
        <v>75370</v>
      </c>
      <c r="G25" s="296"/>
      <c r="H25" s="200">
        <f t="shared" si="0"/>
        <v>-75370</v>
      </c>
    </row>
    <row r="26" spans="1:8" x14ac:dyDescent="0.25">
      <c r="A26" s="235" t="s">
        <v>240</v>
      </c>
      <c r="B26" s="261"/>
      <c r="C26" s="229"/>
      <c r="D26" s="224"/>
      <c r="E26" s="84">
        <v>75370</v>
      </c>
      <c r="F26" s="84">
        <v>75370</v>
      </c>
      <c r="G26" s="84">
        <v>75370</v>
      </c>
      <c r="H26" s="200">
        <f t="shared" si="0"/>
        <v>0</v>
      </c>
    </row>
    <row r="27" spans="1:8" x14ac:dyDescent="0.25">
      <c r="A27" s="264" t="s">
        <v>73</v>
      </c>
      <c r="B27" s="261"/>
      <c r="C27" s="229"/>
      <c r="D27" s="224"/>
      <c r="E27" s="225"/>
      <c r="F27" s="84"/>
      <c r="G27" s="84"/>
      <c r="H27" s="200">
        <f t="shared" si="0"/>
        <v>0</v>
      </c>
    </row>
    <row r="28" spans="1:8" x14ac:dyDescent="0.25">
      <c r="A28" s="227" t="s">
        <v>292</v>
      </c>
      <c r="B28" s="261"/>
      <c r="C28" s="262"/>
      <c r="D28" s="263"/>
      <c r="E28" s="221"/>
      <c r="F28" s="84"/>
      <c r="G28" s="84"/>
      <c r="H28" s="200">
        <f t="shared" si="0"/>
        <v>0</v>
      </c>
    </row>
    <row r="29" spans="1:8" s="260" customFormat="1" x14ac:dyDescent="0.25">
      <c r="A29" s="264" t="s">
        <v>355</v>
      </c>
      <c r="B29" s="261"/>
      <c r="C29" s="262"/>
      <c r="D29" s="263"/>
      <c r="E29" s="225">
        <v>1170400</v>
      </c>
      <c r="F29" s="225">
        <v>1170400</v>
      </c>
      <c r="G29" s="225">
        <v>1170400</v>
      </c>
      <c r="H29" s="200">
        <f t="shared" si="0"/>
        <v>0</v>
      </c>
    </row>
    <row r="30" spans="1:8" x14ac:dyDescent="0.25">
      <c r="A30" s="264" t="s">
        <v>356</v>
      </c>
      <c r="B30" s="261"/>
      <c r="C30" s="229"/>
      <c r="D30" s="224"/>
      <c r="E30" s="225">
        <v>5706518</v>
      </c>
      <c r="F30" s="225">
        <v>5706518</v>
      </c>
      <c r="G30" s="225">
        <v>5706518</v>
      </c>
      <c r="H30" s="200">
        <f t="shared" si="0"/>
        <v>0</v>
      </c>
    </row>
    <row r="31" spans="1:8" x14ac:dyDescent="0.25">
      <c r="A31" s="218" t="s">
        <v>241</v>
      </c>
      <c r="B31" s="261"/>
      <c r="C31" s="229"/>
      <c r="D31" s="224"/>
      <c r="E31" s="263"/>
      <c r="F31" s="84"/>
      <c r="G31" s="84"/>
      <c r="H31" s="200">
        <f t="shared" si="0"/>
        <v>0</v>
      </c>
    </row>
    <row r="32" spans="1:8" x14ac:dyDescent="0.25">
      <c r="A32" s="235"/>
      <c r="B32" s="228"/>
      <c r="C32" s="228"/>
      <c r="D32" s="224"/>
      <c r="E32" s="231"/>
      <c r="F32" s="84"/>
      <c r="G32" s="84"/>
      <c r="H32" s="200">
        <f t="shared" si="0"/>
        <v>0</v>
      </c>
    </row>
    <row r="33" spans="1:8" x14ac:dyDescent="0.25">
      <c r="A33" s="218" t="s">
        <v>220</v>
      </c>
      <c r="B33" s="261"/>
      <c r="C33" s="229"/>
      <c r="D33" s="224"/>
      <c r="E33" s="263">
        <f>E34+E37+E39+E41</f>
        <v>6895000</v>
      </c>
      <c r="F33" s="263">
        <f>F34+F37+F39+F41</f>
        <v>6982480</v>
      </c>
      <c r="G33" s="263">
        <f>G34+G37+G39+G41</f>
        <v>6982480</v>
      </c>
      <c r="H33" s="200">
        <f t="shared" si="0"/>
        <v>0</v>
      </c>
    </row>
    <row r="34" spans="1:8" x14ac:dyDescent="0.25">
      <c r="A34" s="218" t="s">
        <v>77</v>
      </c>
      <c r="B34" s="261"/>
      <c r="C34" s="229"/>
      <c r="D34" s="224"/>
      <c r="E34" s="263">
        <f>SUM(E35:E36)</f>
        <v>3795000</v>
      </c>
      <c r="F34" s="263">
        <f>SUM(F35:F36)</f>
        <v>3795000</v>
      </c>
      <c r="G34" s="263">
        <f>SUM(G35:G36)</f>
        <v>3795000</v>
      </c>
      <c r="H34" s="200">
        <f t="shared" si="0"/>
        <v>0</v>
      </c>
    </row>
    <row r="35" spans="1:8" x14ac:dyDescent="0.25">
      <c r="A35" s="222" t="s">
        <v>217</v>
      </c>
      <c r="B35" s="261"/>
      <c r="C35" s="229"/>
      <c r="D35" s="224"/>
      <c r="E35" s="224"/>
      <c r="F35" s="84"/>
      <c r="G35" s="295"/>
      <c r="H35" s="200">
        <f t="shared" si="0"/>
        <v>0</v>
      </c>
    </row>
    <row r="36" spans="1:8" x14ac:dyDescent="0.25">
      <c r="A36" s="222" t="s">
        <v>216</v>
      </c>
      <c r="B36" s="261"/>
      <c r="C36" s="229"/>
      <c r="D36" s="224"/>
      <c r="E36" s="224">
        <v>3795000</v>
      </c>
      <c r="F36" s="224">
        <v>3795000</v>
      </c>
      <c r="G36" s="224">
        <v>3795000</v>
      </c>
      <c r="H36" s="200">
        <f t="shared" si="0"/>
        <v>0</v>
      </c>
    </row>
    <row r="37" spans="1:8" x14ac:dyDescent="0.25">
      <c r="A37" s="218" t="s">
        <v>78</v>
      </c>
      <c r="B37" s="228"/>
      <c r="C37" s="229"/>
      <c r="D37" s="224"/>
      <c r="E37" s="263">
        <f>E38</f>
        <v>3100000</v>
      </c>
      <c r="F37" s="263">
        <f>F38</f>
        <v>3100000</v>
      </c>
      <c r="G37" s="263">
        <f>G38</f>
        <v>3100000</v>
      </c>
      <c r="H37" s="200">
        <f t="shared" si="0"/>
        <v>0</v>
      </c>
    </row>
    <row r="38" spans="1:8" x14ac:dyDescent="0.25">
      <c r="A38" s="236" t="s">
        <v>288</v>
      </c>
      <c r="B38" s="228"/>
      <c r="C38" s="229"/>
      <c r="D38" s="224"/>
      <c r="E38" s="224">
        <v>3100000</v>
      </c>
      <c r="F38" s="84">
        <v>3100000</v>
      </c>
      <c r="G38" s="84">
        <v>3100000</v>
      </c>
      <c r="H38" s="200">
        <f t="shared" si="0"/>
        <v>0</v>
      </c>
    </row>
    <row r="39" spans="1:8" x14ac:dyDescent="0.25">
      <c r="A39" s="218" t="s">
        <v>79</v>
      </c>
      <c r="B39" s="261"/>
      <c r="C39" s="237"/>
      <c r="D39" s="263"/>
      <c r="E39" s="263"/>
      <c r="F39" s="84"/>
      <c r="G39" s="84"/>
      <c r="H39" s="200">
        <f t="shared" si="0"/>
        <v>0</v>
      </c>
    </row>
    <row r="40" spans="1:8" x14ac:dyDescent="0.25">
      <c r="A40" s="218"/>
      <c r="B40" s="261"/>
      <c r="C40" s="237"/>
      <c r="D40" s="263"/>
      <c r="E40" s="263"/>
      <c r="F40" s="84"/>
      <c r="G40" s="84"/>
      <c r="H40" s="200">
        <f t="shared" si="0"/>
        <v>0</v>
      </c>
    </row>
    <row r="41" spans="1:8" s="238" customFormat="1" x14ac:dyDescent="0.25">
      <c r="A41" s="218" t="s">
        <v>357</v>
      </c>
      <c r="B41" s="261"/>
      <c r="C41" s="237"/>
      <c r="D41" s="262"/>
      <c r="E41" s="262"/>
      <c r="F41" s="272">
        <f>12*7290</f>
        <v>87480</v>
      </c>
      <c r="G41" s="272">
        <f>12*7290</f>
        <v>87480</v>
      </c>
      <c r="H41" s="200">
        <f t="shared" si="0"/>
        <v>0</v>
      </c>
    </row>
    <row r="42" spans="1:8" x14ac:dyDescent="0.25">
      <c r="A42" s="222"/>
      <c r="B42" s="228"/>
      <c r="C42" s="228"/>
      <c r="D42" s="224"/>
      <c r="E42" s="239"/>
      <c r="F42" s="84"/>
      <c r="G42" s="84"/>
      <c r="H42" s="200">
        <f t="shared" si="0"/>
        <v>0</v>
      </c>
    </row>
    <row r="43" spans="1:8" x14ac:dyDescent="0.25">
      <c r="A43" s="240" t="s">
        <v>80</v>
      </c>
      <c r="B43" s="241"/>
      <c r="C43" s="241"/>
      <c r="D43" s="241"/>
      <c r="E43" s="234">
        <f>E44</f>
        <v>1800000</v>
      </c>
      <c r="F43" s="234">
        <f>F44</f>
        <v>1800000</v>
      </c>
      <c r="G43" s="234">
        <f>G44</f>
        <v>1800000</v>
      </c>
      <c r="H43" s="200">
        <f t="shared" si="0"/>
        <v>0</v>
      </c>
    </row>
    <row r="44" spans="1:8" x14ac:dyDescent="0.25">
      <c r="A44" s="242" t="s">
        <v>81</v>
      </c>
      <c r="B44" s="229"/>
      <c r="C44" s="229"/>
      <c r="D44" s="224"/>
      <c r="E44" s="231">
        <v>1800000</v>
      </c>
      <c r="F44" s="84">
        <v>1800000</v>
      </c>
      <c r="G44" s="84">
        <v>1800000</v>
      </c>
      <c r="H44" s="200">
        <f t="shared" si="0"/>
        <v>0</v>
      </c>
    </row>
    <row r="45" spans="1:8" x14ac:dyDescent="0.25">
      <c r="A45" s="242"/>
      <c r="B45" s="229"/>
      <c r="C45" s="229"/>
      <c r="D45" s="224"/>
      <c r="E45" s="231"/>
      <c r="F45" s="84"/>
      <c r="G45" s="295"/>
      <c r="H45" s="200">
        <f t="shared" si="0"/>
        <v>0</v>
      </c>
    </row>
    <row r="46" spans="1:8" ht="16.5" thickBot="1" x14ac:dyDescent="0.3">
      <c r="A46" s="243" t="s">
        <v>83</v>
      </c>
      <c r="B46" s="244"/>
      <c r="C46" s="244"/>
      <c r="D46" s="244"/>
      <c r="E46" s="245">
        <f>E43+E33+E31+E5</f>
        <v>28253068</v>
      </c>
      <c r="F46" s="245">
        <f>F43+F33+F31+F5</f>
        <v>28340548</v>
      </c>
      <c r="G46" s="245">
        <f>G43+G33+G31+G5</f>
        <v>28340548</v>
      </c>
      <c r="H46" s="200">
        <f t="shared" si="0"/>
        <v>0</v>
      </c>
    </row>
    <row r="49" spans="5:5" x14ac:dyDescent="0.25">
      <c r="E49" s="201"/>
    </row>
  </sheetData>
  <mergeCells count="9">
    <mergeCell ref="H3:H4"/>
    <mergeCell ref="A2:F2"/>
    <mergeCell ref="F3:F4"/>
    <mergeCell ref="A3:A4"/>
    <mergeCell ref="B3:B4"/>
    <mergeCell ref="C3:C4"/>
    <mergeCell ref="D3:D4"/>
    <mergeCell ref="E3:E4"/>
    <mergeCell ref="G3:G4"/>
  </mergeCells>
  <printOptions horizontalCentered="1"/>
  <pageMargins left="0.11811023622047245" right="0.11811023622047245" top="0.4" bottom="0" header="0.11811023622047245" footer="0.31496062992125984"/>
  <pageSetup paperSize="9" scale="78" orientation="landscape" r:id="rId1"/>
  <headerFooter>
    <oddHeader>&amp;C&amp;"Times New Roman,Normál"&amp;12 2/a. melléklet
 az önkormányzat 2018. évi költségvetéséről szóló 9/2018. (IX. 27.)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3:I37"/>
  <sheetViews>
    <sheetView view="pageLayout" zoomScaleNormal="75" zoomScaleSheetLayoutView="80" workbookViewId="0">
      <selection activeCell="A46" sqref="A46"/>
    </sheetView>
  </sheetViews>
  <sheetFormatPr defaultColWidth="9" defaultRowHeight="15.75" x14ac:dyDescent="0.25"/>
  <cols>
    <col min="1" max="1" width="35.5703125" style="173" customWidth="1"/>
    <col min="2" max="5" width="15.28515625" style="173" customWidth="1"/>
    <col min="6" max="6" width="12.7109375" style="173" bestFit="1" customWidth="1"/>
    <col min="7" max="16384" width="9" style="173"/>
  </cols>
  <sheetData>
    <row r="3" spans="1:5" ht="31.7" customHeight="1" thickBot="1" x14ac:dyDescent="0.3">
      <c r="A3" s="341" t="s">
        <v>362</v>
      </c>
      <c r="B3" s="341"/>
      <c r="C3" s="341"/>
      <c r="D3" s="341"/>
      <c r="E3" s="341"/>
    </row>
    <row r="4" spans="1:5" ht="51.75" customHeight="1" x14ac:dyDescent="0.25">
      <c r="A4" s="79" t="s">
        <v>212</v>
      </c>
      <c r="B4" s="35" t="s">
        <v>354</v>
      </c>
      <c r="C4" s="44" t="s">
        <v>322</v>
      </c>
      <c r="D4" s="281" t="s">
        <v>372</v>
      </c>
      <c r="E4" s="45" t="s">
        <v>323</v>
      </c>
    </row>
    <row r="5" spans="1:5" ht="24.75" customHeight="1" x14ac:dyDescent="0.25">
      <c r="A5" s="80" t="s">
        <v>253</v>
      </c>
      <c r="B5" s="76"/>
      <c r="C5" s="81"/>
      <c r="D5" s="293"/>
      <c r="E5" s="82"/>
    </row>
    <row r="6" spans="1:5" s="174" customFormat="1" ht="18.95" customHeight="1" x14ac:dyDescent="0.25">
      <c r="A6" s="83" t="s">
        <v>86</v>
      </c>
      <c r="B6" s="270">
        <f>8933820+1935080+149009+149009+185000</f>
        <v>11351918</v>
      </c>
      <c r="C6" s="121">
        <v>12486198</v>
      </c>
      <c r="D6" s="121">
        <f>12486198+262491</f>
        <v>12748689</v>
      </c>
      <c r="E6" s="123">
        <f>D6-C6</f>
        <v>262491</v>
      </c>
    </row>
    <row r="7" spans="1:5" s="174" customFormat="1" ht="18.95" customHeight="1" x14ac:dyDescent="0.25">
      <c r="A7" s="83" t="s">
        <v>87</v>
      </c>
      <c r="B7" s="270">
        <v>2307565</v>
      </c>
      <c r="C7" s="170">
        <v>2217871</v>
      </c>
      <c r="D7" s="170">
        <f>2217871+214176</f>
        <v>2432047</v>
      </c>
      <c r="E7" s="123">
        <f t="shared" ref="E7:E11" si="0">D7-C7</f>
        <v>214176</v>
      </c>
    </row>
    <row r="8" spans="1:5" s="174" customFormat="1" ht="18.95" customHeight="1" x14ac:dyDescent="0.25">
      <c r="A8" s="83" t="s">
        <v>88</v>
      </c>
      <c r="B8" s="77">
        <f>SUM(B9:B23)</f>
        <v>17032982</v>
      </c>
      <c r="C8" s="77">
        <f>SUM(C9:C23)</f>
        <v>17214872</v>
      </c>
      <c r="D8" s="270">
        <f>SUM(D9:D24)</f>
        <v>29585170</v>
      </c>
      <c r="E8" s="123">
        <f t="shared" si="0"/>
        <v>12370298</v>
      </c>
    </row>
    <row r="9" spans="1:5" ht="19.7" customHeight="1" x14ac:dyDescent="0.25">
      <c r="A9" s="85" t="s">
        <v>268</v>
      </c>
      <c r="B9" s="60">
        <v>35000</v>
      </c>
      <c r="C9" s="269">
        <v>35000</v>
      </c>
      <c r="D9" s="269">
        <v>35000</v>
      </c>
      <c r="E9" s="123">
        <f t="shared" si="0"/>
        <v>0</v>
      </c>
    </row>
    <row r="10" spans="1:5" ht="19.7" customHeight="1" x14ac:dyDescent="0.25">
      <c r="A10" s="85" t="s">
        <v>269</v>
      </c>
      <c r="B10" s="60">
        <v>1960000</v>
      </c>
      <c r="C10" s="269">
        <v>1960000</v>
      </c>
      <c r="D10" s="269">
        <f>1960000+300000</f>
        <v>2260000</v>
      </c>
      <c r="E10" s="123">
        <f t="shared" si="0"/>
        <v>300000</v>
      </c>
    </row>
    <row r="11" spans="1:5" ht="19.7" customHeight="1" x14ac:dyDescent="0.25">
      <c r="A11" s="86" t="s">
        <v>243</v>
      </c>
      <c r="B11" s="60">
        <v>501000</v>
      </c>
      <c r="C11" s="269">
        <v>501000</v>
      </c>
      <c r="D11" s="269">
        <f>501000+5000+150000</f>
        <v>656000</v>
      </c>
      <c r="E11" s="123">
        <f t="shared" si="0"/>
        <v>155000</v>
      </c>
    </row>
    <row r="12" spans="1:5" ht="19.7" customHeight="1" x14ac:dyDescent="0.25">
      <c r="A12" s="86" t="s">
        <v>244</v>
      </c>
      <c r="B12" s="60">
        <v>705000</v>
      </c>
      <c r="C12" s="269">
        <v>705000</v>
      </c>
      <c r="D12" s="269">
        <v>705000</v>
      </c>
      <c r="E12" s="123">
        <f t="shared" ref="E12:E37" si="1">D12-C12</f>
        <v>0</v>
      </c>
    </row>
    <row r="13" spans="1:5" ht="19.7" customHeight="1" x14ac:dyDescent="0.25">
      <c r="A13" s="86" t="s">
        <v>245</v>
      </c>
      <c r="B13" s="60">
        <v>2105000</v>
      </c>
      <c r="C13" s="269">
        <v>2105000</v>
      </c>
      <c r="D13" s="269">
        <v>2105000</v>
      </c>
      <c r="E13" s="123">
        <f t="shared" si="1"/>
        <v>0</v>
      </c>
    </row>
    <row r="14" spans="1:5" ht="19.7" customHeight="1" x14ac:dyDescent="0.25">
      <c r="A14" s="86" t="s">
        <v>246</v>
      </c>
      <c r="B14" s="60">
        <v>20000</v>
      </c>
      <c r="C14" s="269">
        <v>20000</v>
      </c>
      <c r="D14" s="269">
        <v>20000</v>
      </c>
      <c r="E14" s="123">
        <f t="shared" si="1"/>
        <v>0</v>
      </c>
    </row>
    <row r="15" spans="1:5" ht="19.7" customHeight="1" x14ac:dyDescent="0.25">
      <c r="A15" s="86" t="s">
        <v>304</v>
      </c>
      <c r="B15" s="60">
        <v>460000</v>
      </c>
      <c r="C15" s="269">
        <v>460000</v>
      </c>
      <c r="D15" s="269">
        <f>460000+20000</f>
        <v>480000</v>
      </c>
      <c r="E15" s="123">
        <f t="shared" si="1"/>
        <v>20000</v>
      </c>
    </row>
    <row r="16" spans="1:5" ht="19.7" customHeight="1" x14ac:dyDescent="0.25">
      <c r="A16" s="86" t="s">
        <v>247</v>
      </c>
      <c r="B16" s="60">
        <v>1773982</v>
      </c>
      <c r="C16" s="269">
        <v>1773982</v>
      </c>
      <c r="D16" s="269">
        <f>1773982-5000</f>
        <v>1768982</v>
      </c>
      <c r="E16" s="123">
        <f t="shared" si="1"/>
        <v>-5000</v>
      </c>
    </row>
    <row r="17" spans="1:9" ht="19.7" customHeight="1" x14ac:dyDescent="0.25">
      <c r="A17" s="86" t="s">
        <v>305</v>
      </c>
      <c r="B17" s="60">
        <v>20000</v>
      </c>
      <c r="C17" s="269">
        <f>20000+150000</f>
        <v>170000</v>
      </c>
      <c r="D17" s="269">
        <f>20000+150000</f>
        <v>170000</v>
      </c>
      <c r="E17" s="123">
        <f t="shared" si="1"/>
        <v>0</v>
      </c>
    </row>
    <row r="18" spans="1:9" ht="19.7" customHeight="1" x14ac:dyDescent="0.25">
      <c r="A18" s="86" t="s">
        <v>248</v>
      </c>
      <c r="B18" s="60">
        <v>1494000</v>
      </c>
      <c r="C18" s="269">
        <v>1494000</v>
      </c>
      <c r="D18" s="269">
        <f>1494000+100000+350000</f>
        <v>1944000</v>
      </c>
      <c r="E18" s="123">
        <f t="shared" si="1"/>
        <v>450000</v>
      </c>
    </row>
    <row r="19" spans="1:9" ht="19.7" customHeight="1" x14ac:dyDescent="0.25">
      <c r="A19" s="86" t="s">
        <v>252</v>
      </c>
      <c r="B19" s="60">
        <v>4000000</v>
      </c>
      <c r="C19" s="269">
        <v>4000000</v>
      </c>
      <c r="D19" s="269">
        <f>4000000+30294+500000-20000-100000</f>
        <v>4410294</v>
      </c>
      <c r="E19" s="123">
        <f t="shared" si="1"/>
        <v>410294</v>
      </c>
    </row>
    <row r="20" spans="1:9" ht="19.7" customHeight="1" x14ac:dyDescent="0.25">
      <c r="A20" s="86" t="s">
        <v>271</v>
      </c>
      <c r="B20" s="60">
        <v>60000</v>
      </c>
      <c r="C20" s="269">
        <v>60000</v>
      </c>
      <c r="D20" s="269">
        <v>60000</v>
      </c>
      <c r="E20" s="123">
        <f t="shared" si="1"/>
        <v>0</v>
      </c>
    </row>
    <row r="21" spans="1:9" ht="19.7" customHeight="1" x14ac:dyDescent="0.25">
      <c r="A21" s="86" t="s">
        <v>249</v>
      </c>
      <c r="B21" s="60">
        <v>2121000</v>
      </c>
      <c r="C21" s="269">
        <v>2121000</v>
      </c>
      <c r="D21" s="269">
        <v>2121000</v>
      </c>
      <c r="E21" s="123">
        <f t="shared" si="1"/>
        <v>0</v>
      </c>
    </row>
    <row r="22" spans="1:9" ht="19.7" customHeight="1" x14ac:dyDescent="0.25">
      <c r="A22" s="86" t="s">
        <v>250</v>
      </c>
      <c r="B22" s="60">
        <v>700000</v>
      </c>
      <c r="C22" s="269">
        <f>700000+31890</f>
        <v>731890</v>
      </c>
      <c r="D22" s="269">
        <f>700000+31890</f>
        <v>731890</v>
      </c>
      <c r="E22" s="123">
        <f t="shared" si="1"/>
        <v>0</v>
      </c>
    </row>
    <row r="23" spans="1:9" ht="19.7" customHeight="1" x14ac:dyDescent="0.25">
      <c r="A23" s="86" t="s">
        <v>251</v>
      </c>
      <c r="B23" s="60">
        <v>1078000</v>
      </c>
      <c r="C23" s="269">
        <v>1078000</v>
      </c>
      <c r="D23" s="269">
        <v>1078000</v>
      </c>
      <c r="E23" s="123">
        <f t="shared" si="1"/>
        <v>0</v>
      </c>
    </row>
    <row r="24" spans="1:9" ht="27.75" customHeight="1" x14ac:dyDescent="0.25">
      <c r="A24" s="86" t="s">
        <v>381</v>
      </c>
      <c r="B24" s="269"/>
      <c r="C24" s="269"/>
      <c r="D24" s="269">
        <v>11040004</v>
      </c>
      <c r="E24" s="269">
        <v>11040004</v>
      </c>
    </row>
    <row r="25" spans="1:9" s="174" customFormat="1" x14ac:dyDescent="0.25">
      <c r="A25" s="83" t="s">
        <v>272</v>
      </c>
      <c r="B25" s="77">
        <f>B26</f>
        <v>3795000</v>
      </c>
      <c r="C25" s="77">
        <f>C26</f>
        <v>3795000</v>
      </c>
      <c r="D25" s="270">
        <f>D26</f>
        <v>3795000</v>
      </c>
      <c r="E25" s="123">
        <f t="shared" si="1"/>
        <v>0</v>
      </c>
    </row>
    <row r="26" spans="1:9" ht="19.7" customHeight="1" x14ac:dyDescent="0.25">
      <c r="A26" s="86" t="s">
        <v>287</v>
      </c>
      <c r="B26" s="60">
        <v>3795000</v>
      </c>
      <c r="C26" s="84">
        <v>3795000</v>
      </c>
      <c r="D26" s="84">
        <v>3795000</v>
      </c>
      <c r="E26" s="123">
        <f t="shared" si="1"/>
        <v>0</v>
      </c>
    </row>
    <row r="27" spans="1:9" s="174" customFormat="1" ht="21" customHeight="1" x14ac:dyDescent="0.25">
      <c r="A27" s="80" t="s">
        <v>89</v>
      </c>
      <c r="B27" s="77">
        <f>B28+B30+B31+B32+B33+B34+B35</f>
        <v>13095342</v>
      </c>
      <c r="C27" s="77">
        <f>C28+C30+C31+C32+C33+C34+C35+C36</f>
        <v>13205782</v>
      </c>
      <c r="D27" s="270">
        <f>D28+D30+D31+D32+D33+D34+D35+D36</f>
        <v>13013128</v>
      </c>
      <c r="E27" s="270">
        <f>E28+E30+E31+E32+E33+E34+E35+E36</f>
        <v>-192654</v>
      </c>
      <c r="F27" s="214"/>
      <c r="G27" s="175"/>
      <c r="H27" s="175"/>
      <c r="I27" s="175"/>
    </row>
    <row r="28" spans="1:9" ht="36" customHeight="1" x14ac:dyDescent="0.25">
      <c r="A28" s="87" t="s">
        <v>332</v>
      </c>
      <c r="B28" s="60"/>
      <c r="C28" s="60"/>
      <c r="D28" s="294"/>
      <c r="E28" s="123">
        <f t="shared" si="1"/>
        <v>0</v>
      </c>
      <c r="F28" s="214"/>
      <c r="G28" s="176"/>
      <c r="H28" s="176"/>
      <c r="I28" s="176"/>
    </row>
    <row r="29" spans="1:9" x14ac:dyDescent="0.25">
      <c r="A29" s="88" t="s">
        <v>308</v>
      </c>
      <c r="B29" s="60"/>
      <c r="C29" s="84"/>
      <c r="D29" s="295"/>
      <c r="E29" s="123">
        <f t="shared" si="1"/>
        <v>0</v>
      </c>
      <c r="F29" s="214"/>
      <c r="G29" s="176"/>
      <c r="H29" s="176"/>
      <c r="I29" s="176"/>
    </row>
    <row r="30" spans="1:9" ht="33" customHeight="1" x14ac:dyDescent="0.25">
      <c r="A30" s="87" t="s">
        <v>92</v>
      </c>
      <c r="B30" s="60"/>
      <c r="C30" s="81"/>
      <c r="D30" s="293"/>
      <c r="E30" s="123">
        <f t="shared" si="1"/>
        <v>0</v>
      </c>
      <c r="F30" s="214"/>
      <c r="G30" s="176"/>
      <c r="H30" s="176"/>
      <c r="I30" s="176"/>
    </row>
    <row r="31" spans="1:9" ht="29.25" customHeight="1" x14ac:dyDescent="0.25">
      <c r="A31" s="87" t="s">
        <v>93</v>
      </c>
      <c r="B31" s="60"/>
      <c r="C31" s="81"/>
      <c r="D31" s="293"/>
      <c r="E31" s="123">
        <f t="shared" si="1"/>
        <v>0</v>
      </c>
      <c r="F31" s="214"/>
      <c r="G31" s="176"/>
      <c r="H31" s="176"/>
      <c r="I31" s="176"/>
    </row>
    <row r="32" spans="1:9" ht="29.25" customHeight="1" x14ac:dyDescent="0.25">
      <c r="A32" s="87" t="s">
        <v>330</v>
      </c>
      <c r="B32" s="60">
        <v>12335342</v>
      </c>
      <c r="C32" s="269">
        <f>'4.tábla'!C3</f>
        <v>12335342</v>
      </c>
      <c r="D32" s="269">
        <f>'4.tábla'!D3</f>
        <v>11331288</v>
      </c>
      <c r="E32" s="269">
        <f>'4.tábla'!E3</f>
        <v>-1004054</v>
      </c>
      <c r="F32" s="215"/>
      <c r="G32" s="171"/>
      <c r="H32" s="171"/>
      <c r="I32" s="171"/>
    </row>
    <row r="33" spans="1:9" ht="27" customHeight="1" x14ac:dyDescent="0.25">
      <c r="A33" s="87" t="s">
        <v>94</v>
      </c>
      <c r="B33" s="60"/>
      <c r="C33" s="81"/>
      <c r="D33" s="81"/>
      <c r="E33" s="123">
        <f t="shared" si="1"/>
        <v>0</v>
      </c>
      <c r="F33" s="215"/>
      <c r="G33" s="171"/>
      <c r="H33" s="171"/>
      <c r="I33" s="171"/>
    </row>
    <row r="34" spans="1:9" ht="38.25" customHeight="1" x14ac:dyDescent="0.25">
      <c r="A34" s="87" t="s">
        <v>3</v>
      </c>
      <c r="B34" s="60"/>
      <c r="C34" s="89"/>
      <c r="D34" s="273"/>
      <c r="E34" s="123">
        <f t="shared" si="1"/>
        <v>0</v>
      </c>
      <c r="F34" s="215"/>
      <c r="G34" s="171"/>
      <c r="H34" s="171"/>
      <c r="I34" s="171"/>
    </row>
    <row r="35" spans="1:9" ht="31.5" x14ac:dyDescent="0.25">
      <c r="A35" s="87" t="s">
        <v>331</v>
      </c>
      <c r="B35" s="60">
        <f>'4.tábla'!B9</f>
        <v>760000</v>
      </c>
      <c r="C35" s="269">
        <f>'4.tábla'!C9</f>
        <v>760000</v>
      </c>
      <c r="D35" s="269">
        <f>'4.tábla'!D9</f>
        <v>1571400</v>
      </c>
      <c r="E35" s="123">
        <f t="shared" si="1"/>
        <v>811400</v>
      </c>
      <c r="F35" s="215"/>
      <c r="G35" s="171"/>
      <c r="H35" s="171"/>
      <c r="I35" s="171"/>
    </row>
    <row r="36" spans="1:9" ht="47.25" customHeight="1" x14ac:dyDescent="0.25">
      <c r="A36" s="87" t="s">
        <v>368</v>
      </c>
      <c r="B36" s="60"/>
      <c r="C36" s="269">
        <v>110440</v>
      </c>
      <c r="D36" s="294">
        <v>110440</v>
      </c>
      <c r="E36" s="294">
        <f>D36-C36</f>
        <v>0</v>
      </c>
      <c r="F36" s="215"/>
      <c r="G36" s="171"/>
      <c r="H36" s="171"/>
      <c r="I36" s="171"/>
    </row>
    <row r="37" spans="1:9" s="174" customFormat="1" ht="32.25" thickBot="1" x14ac:dyDescent="0.3">
      <c r="A37" s="90" t="s">
        <v>95</v>
      </c>
      <c r="B37" s="78">
        <f>B6+B7+B8+B25+B27</f>
        <v>47582807</v>
      </c>
      <c r="C37" s="78">
        <f>C6+C7+C8+C25+C27</f>
        <v>48919723</v>
      </c>
      <c r="D37" s="78">
        <f>D6+D7+D8+D25+D27</f>
        <v>61574034</v>
      </c>
      <c r="E37" s="123">
        <f t="shared" si="1"/>
        <v>12654311</v>
      </c>
      <c r="F37" s="216"/>
      <c r="G37" s="172"/>
      <c r="H37" s="172"/>
      <c r="I37" s="172"/>
    </row>
  </sheetData>
  <sheetProtection selectLockedCells="1" selectUnlockedCells="1"/>
  <mergeCells count="1">
    <mergeCell ref="A3:E3"/>
  </mergeCells>
  <phoneticPr fontId="20" type="noConversion"/>
  <printOptions horizontalCentered="1"/>
  <pageMargins left="0.15748031496062992" right="0.15748031496062992" top="0.77692307692307694" bottom="0.19685039370078741" header="0.11811023622047245" footer="0.51181102362204722"/>
  <pageSetup paperSize="9" firstPageNumber="0" orientation="portrait" r:id="rId1"/>
  <headerFooter alignWithMargins="0">
    <oddHeader>&amp;C&amp;"Times New Roman,Normál"&amp;12 3. melléklet
az önkormányzat 2018. évi költségvetéséről szóló 9/2018. (IX. 27.)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33"/>
  <sheetViews>
    <sheetView view="pageLayout" zoomScaleNormal="90" workbookViewId="0">
      <selection activeCell="A4" sqref="A4"/>
    </sheetView>
  </sheetViews>
  <sheetFormatPr defaultColWidth="9" defaultRowHeight="15.75" x14ac:dyDescent="0.25"/>
  <cols>
    <col min="1" max="1" width="35.140625" style="193" customWidth="1"/>
    <col min="2" max="2" width="12.85546875" style="193" customWidth="1"/>
    <col min="3" max="3" width="13.28515625" style="194" customWidth="1"/>
    <col min="4" max="4" width="15.28515625" style="260" customWidth="1"/>
    <col min="5" max="5" width="12" style="194" bestFit="1" customWidth="1"/>
    <col min="6" max="6" width="15.28515625" style="194" customWidth="1"/>
    <col min="7" max="16384" width="9" style="194"/>
  </cols>
  <sheetData>
    <row r="1" spans="1:6" ht="27.75" customHeight="1" thickBot="1" x14ac:dyDescent="0.3">
      <c r="A1" s="341" t="s">
        <v>362</v>
      </c>
      <c r="B1" s="341"/>
      <c r="C1" s="341"/>
      <c r="D1" s="341"/>
      <c r="E1" s="341"/>
    </row>
    <row r="2" spans="1:6" ht="31.5" x14ac:dyDescent="0.25">
      <c r="A2" s="195" t="s">
        <v>84</v>
      </c>
      <c r="B2" s="35" t="s">
        <v>354</v>
      </c>
      <c r="C2" s="279" t="s">
        <v>322</v>
      </c>
      <c r="D2" s="281" t="s">
        <v>372</v>
      </c>
      <c r="E2" s="277" t="s">
        <v>323</v>
      </c>
    </row>
    <row r="3" spans="1:6" ht="31.5" x14ac:dyDescent="0.25">
      <c r="A3" s="196" t="s">
        <v>254</v>
      </c>
      <c r="B3" s="197">
        <f>SUM(B4:B7)</f>
        <v>12335342</v>
      </c>
      <c r="C3" s="197">
        <f>SUM(C4:C7)</f>
        <v>12335342</v>
      </c>
      <c r="D3" s="197">
        <f>SUM(D4:D7)</f>
        <v>11331288</v>
      </c>
      <c r="E3" s="213">
        <f>D3-C3</f>
        <v>-1004054</v>
      </c>
    </row>
    <row r="4" spans="1:6" ht="28.5" customHeight="1" x14ac:dyDescent="0.25">
      <c r="A4" s="198" t="s">
        <v>255</v>
      </c>
      <c r="B4" s="199">
        <v>4863153</v>
      </c>
      <c r="C4" s="271">
        <v>4863153</v>
      </c>
      <c r="D4" s="271">
        <v>3859099</v>
      </c>
      <c r="E4" s="213">
        <f t="shared" ref="E4:E24" si="0">D4-C4</f>
        <v>-1004054</v>
      </c>
    </row>
    <row r="5" spans="1:6" ht="28.5" customHeight="1" x14ac:dyDescent="0.25">
      <c r="A5" s="198" t="s">
        <v>256</v>
      </c>
      <c r="B5" s="199">
        <v>6117300</v>
      </c>
      <c r="C5" s="271">
        <v>6117300</v>
      </c>
      <c r="D5" s="271">
        <v>6117300</v>
      </c>
      <c r="E5" s="213">
        <f t="shared" si="0"/>
        <v>0</v>
      </c>
      <c r="F5" s="201"/>
    </row>
    <row r="6" spans="1:6" ht="28.5" customHeight="1" x14ac:dyDescent="0.25">
      <c r="A6" s="198" t="s">
        <v>261</v>
      </c>
      <c r="B6" s="199">
        <v>954889</v>
      </c>
      <c r="C6" s="271">
        <v>954889</v>
      </c>
      <c r="D6" s="271">
        <v>954889</v>
      </c>
      <c r="E6" s="213">
        <f t="shared" si="0"/>
        <v>0</v>
      </c>
    </row>
    <row r="7" spans="1:6" ht="28.5" customHeight="1" x14ac:dyDescent="0.25">
      <c r="A7" s="203" t="s">
        <v>257</v>
      </c>
      <c r="B7" s="199">
        <v>400000</v>
      </c>
      <c r="C7" s="271">
        <v>400000</v>
      </c>
      <c r="D7" s="271">
        <v>400000</v>
      </c>
      <c r="E7" s="213">
        <f t="shared" si="0"/>
        <v>0</v>
      </c>
    </row>
    <row r="8" spans="1:6" ht="28.5" customHeight="1" x14ac:dyDescent="0.25">
      <c r="A8" s="203" t="s">
        <v>297</v>
      </c>
      <c r="B8" s="199"/>
      <c r="C8" s="202"/>
      <c r="D8" s="202"/>
      <c r="E8" s="213">
        <f t="shared" si="0"/>
        <v>0</v>
      </c>
    </row>
    <row r="9" spans="1:6" ht="31.5" x14ac:dyDescent="0.25">
      <c r="A9" s="196" t="s">
        <v>258</v>
      </c>
      <c r="B9" s="197">
        <f>SUM(B10:B17)</f>
        <v>760000</v>
      </c>
      <c r="C9" s="197">
        <f>SUM(C10:C17)</f>
        <v>760000</v>
      </c>
      <c r="D9" s="197">
        <f>SUM(D10:D17)</f>
        <v>1571400</v>
      </c>
      <c r="E9" s="213">
        <f t="shared" si="0"/>
        <v>811400</v>
      </c>
    </row>
    <row r="10" spans="1:6" ht="28.5" customHeight="1" x14ac:dyDescent="0.25">
      <c r="A10" s="204" t="s">
        <v>299</v>
      </c>
      <c r="B10" s="199">
        <v>0</v>
      </c>
      <c r="C10" s="271">
        <v>0</v>
      </c>
      <c r="D10" s="271">
        <v>0</v>
      </c>
      <c r="E10" s="213">
        <f t="shared" si="0"/>
        <v>0</v>
      </c>
    </row>
    <row r="11" spans="1:6" ht="28.5" customHeight="1" x14ac:dyDescent="0.25">
      <c r="A11" s="204" t="s">
        <v>300</v>
      </c>
      <c r="B11" s="199">
        <v>0</v>
      </c>
      <c r="C11" s="271">
        <v>0</v>
      </c>
      <c r="D11" s="271">
        <v>0</v>
      </c>
      <c r="E11" s="213">
        <f t="shared" si="0"/>
        <v>0</v>
      </c>
    </row>
    <row r="12" spans="1:6" ht="28.5" customHeight="1" x14ac:dyDescent="0.25">
      <c r="A12" s="204" t="s">
        <v>301</v>
      </c>
      <c r="B12" s="199">
        <v>0</v>
      </c>
      <c r="C12" s="271">
        <v>0</v>
      </c>
      <c r="D12" s="271">
        <v>0</v>
      </c>
      <c r="E12" s="213">
        <f t="shared" si="0"/>
        <v>0</v>
      </c>
    </row>
    <row r="13" spans="1:6" ht="28.5" customHeight="1" x14ac:dyDescent="0.25">
      <c r="A13" s="204" t="s">
        <v>303</v>
      </c>
      <c r="B13" s="199">
        <v>150000</v>
      </c>
      <c r="C13" s="271">
        <v>150000</v>
      </c>
      <c r="D13" s="271">
        <v>150000</v>
      </c>
      <c r="E13" s="213">
        <f t="shared" si="0"/>
        <v>0</v>
      </c>
    </row>
    <row r="14" spans="1:6" ht="28.5" customHeight="1" x14ac:dyDescent="0.25">
      <c r="A14" s="204" t="s">
        <v>302</v>
      </c>
      <c r="B14" s="199">
        <v>500000</v>
      </c>
      <c r="C14" s="271">
        <v>500000</v>
      </c>
      <c r="D14" s="271">
        <v>500000</v>
      </c>
      <c r="E14" s="213">
        <f t="shared" si="0"/>
        <v>0</v>
      </c>
    </row>
    <row r="15" spans="1:6" ht="28.5" customHeight="1" x14ac:dyDescent="0.25">
      <c r="A15" s="204" t="s">
        <v>307</v>
      </c>
      <c r="B15" s="199">
        <v>100000</v>
      </c>
      <c r="C15" s="271">
        <v>100000</v>
      </c>
      <c r="D15" s="271">
        <v>100000</v>
      </c>
      <c r="E15" s="213">
        <f t="shared" si="0"/>
        <v>0</v>
      </c>
    </row>
    <row r="16" spans="1:6" ht="28.5" customHeight="1" x14ac:dyDescent="0.25">
      <c r="A16" s="204" t="s">
        <v>309</v>
      </c>
      <c r="B16" s="199"/>
      <c r="C16" s="271"/>
      <c r="D16" s="271">
        <v>811400</v>
      </c>
      <c r="E16" s="311">
        <f t="shared" si="0"/>
        <v>811400</v>
      </c>
    </row>
    <row r="17" spans="1:6" ht="28.5" customHeight="1" x14ac:dyDescent="0.25">
      <c r="A17" s="204" t="s">
        <v>327</v>
      </c>
      <c r="B17" s="199">
        <v>10000</v>
      </c>
      <c r="C17" s="271">
        <v>10000</v>
      </c>
      <c r="D17" s="271">
        <v>10000</v>
      </c>
      <c r="E17" s="213">
        <f t="shared" si="0"/>
        <v>0</v>
      </c>
    </row>
    <row r="18" spans="1:6" ht="42" customHeight="1" x14ac:dyDescent="0.25">
      <c r="A18" s="205" t="s">
        <v>259</v>
      </c>
      <c r="B18" s="206">
        <v>0</v>
      </c>
      <c r="C18" s="202"/>
      <c r="D18" s="202"/>
      <c r="E18" s="213">
        <f t="shared" si="0"/>
        <v>0</v>
      </c>
    </row>
    <row r="19" spans="1:6" x14ac:dyDescent="0.25">
      <c r="A19" s="204"/>
      <c r="B19" s="199"/>
      <c r="C19" s="202"/>
      <c r="D19" s="202"/>
      <c r="E19" s="213">
        <f t="shared" si="0"/>
        <v>0</v>
      </c>
    </row>
    <row r="20" spans="1:6" ht="31.5" x14ac:dyDescent="0.25">
      <c r="A20" s="207" t="s">
        <v>260</v>
      </c>
      <c r="B20" s="199"/>
      <c r="C20" s="202"/>
      <c r="D20" s="202"/>
      <c r="E20" s="213">
        <f t="shared" si="0"/>
        <v>0</v>
      </c>
    </row>
    <row r="21" spans="1:6" x14ac:dyDescent="0.25">
      <c r="A21" s="204"/>
      <c r="B21" s="199"/>
      <c r="C21" s="202"/>
      <c r="D21" s="202"/>
      <c r="E21" s="213">
        <f t="shared" si="0"/>
        <v>0</v>
      </c>
    </row>
    <row r="22" spans="1:6" x14ac:dyDescent="0.25">
      <c r="A22" s="204"/>
      <c r="B22" s="199"/>
      <c r="C22" s="202"/>
      <c r="D22" s="202"/>
      <c r="E22" s="213">
        <f t="shared" si="0"/>
        <v>0</v>
      </c>
    </row>
    <row r="23" spans="1:6" x14ac:dyDescent="0.25">
      <c r="A23" s="204"/>
      <c r="B23" s="199"/>
      <c r="C23" s="202"/>
      <c r="D23" s="202"/>
      <c r="E23" s="213">
        <f t="shared" si="0"/>
        <v>0</v>
      </c>
    </row>
    <row r="24" spans="1:6" ht="16.5" thickBot="1" x14ac:dyDescent="0.3">
      <c r="A24" s="208" t="s">
        <v>85</v>
      </c>
      <c r="B24" s="209">
        <f>B9+B3</f>
        <v>13095342</v>
      </c>
      <c r="C24" s="209">
        <f>C9+C3</f>
        <v>13095342</v>
      </c>
      <c r="D24" s="209">
        <f>D9+D3</f>
        <v>12902688</v>
      </c>
      <c r="E24" s="213">
        <f t="shared" si="0"/>
        <v>-192654</v>
      </c>
      <c r="F24" s="201"/>
    </row>
    <row r="25" spans="1:6" x14ac:dyDescent="0.25">
      <c r="A25" s="210"/>
    </row>
    <row r="26" spans="1:6" x14ac:dyDescent="0.25">
      <c r="B26" s="211"/>
    </row>
    <row r="31" spans="1:6" x14ac:dyDescent="0.25">
      <c r="B31" s="212"/>
    </row>
    <row r="32" spans="1:6" x14ac:dyDescent="0.25">
      <c r="B32" s="212"/>
    </row>
    <row r="33" spans="2:2" x14ac:dyDescent="0.25">
      <c r="B33" s="212"/>
    </row>
  </sheetData>
  <mergeCells count="1">
    <mergeCell ref="A1:E1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&amp;C&amp;"Times New Roman,Normál"&amp;12 4. melléklet
az önkormányzat 2018. évi költségvetéséről szóló 9/2018. (IX. 27.)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38"/>
  <sheetViews>
    <sheetView view="pageLayout" zoomScaleNormal="80" zoomScaleSheetLayoutView="80" workbookViewId="0">
      <selection activeCell="B22" sqref="B22"/>
    </sheetView>
  </sheetViews>
  <sheetFormatPr defaultColWidth="9" defaultRowHeight="18" customHeight="1" x14ac:dyDescent="0.25"/>
  <cols>
    <col min="1" max="1" width="37.140625" style="158" customWidth="1"/>
    <col min="2" max="5" width="15.28515625" style="159" customWidth="1"/>
    <col min="6" max="6" width="15.28515625" style="160" customWidth="1"/>
    <col min="7" max="7" width="23.85546875" style="159" customWidth="1"/>
    <col min="8" max="16384" width="9" style="159"/>
  </cols>
  <sheetData>
    <row r="1" spans="1:6" ht="18" customHeight="1" thickBot="1" x14ac:dyDescent="0.3">
      <c r="A1" s="342" t="s">
        <v>358</v>
      </c>
      <c r="B1" s="342"/>
      <c r="C1" s="342"/>
      <c r="D1" s="342"/>
      <c r="E1" s="342"/>
    </row>
    <row r="2" spans="1:6" ht="39" customHeight="1" x14ac:dyDescent="0.25">
      <c r="A2" s="92" t="s">
        <v>84</v>
      </c>
      <c r="B2" s="35" t="s">
        <v>354</v>
      </c>
      <c r="C2" s="44" t="s">
        <v>322</v>
      </c>
      <c r="D2" s="281" t="s">
        <v>372</v>
      </c>
      <c r="E2" s="45" t="s">
        <v>323</v>
      </c>
    </row>
    <row r="3" spans="1:6" s="189" customFormat="1" ht="24.75" customHeight="1" x14ac:dyDescent="0.2">
      <c r="A3" s="190" t="s">
        <v>262</v>
      </c>
      <c r="B3" s="93">
        <f>B4+B6+B15+B14</f>
        <v>9119196</v>
      </c>
      <c r="C3" s="93">
        <f>C4+C6+C15+C14</f>
        <v>9217399</v>
      </c>
      <c r="D3" s="93">
        <f>D4+D6+D15+D14</f>
        <v>14222020</v>
      </c>
      <c r="E3" s="93">
        <f>E4+E6+E15+E14</f>
        <v>5004621</v>
      </c>
      <c r="F3" s="188"/>
    </row>
    <row r="4" spans="1:6" s="189" customFormat="1" ht="24.75" customHeight="1" x14ac:dyDescent="0.2">
      <c r="A4" s="259" t="s">
        <v>360</v>
      </c>
      <c r="B4" s="267">
        <f>SUM(B5:B5)</f>
        <v>2500000</v>
      </c>
      <c r="C4" s="267">
        <f>SUM(C5:C5)</f>
        <v>2500000</v>
      </c>
      <c r="D4" s="267">
        <f>SUM(D5:D5)</f>
        <v>2500000</v>
      </c>
      <c r="E4" s="267">
        <f>D4-C4</f>
        <v>0</v>
      </c>
      <c r="F4" s="188"/>
    </row>
    <row r="5" spans="1:6" s="189" customFormat="1" ht="24.75" customHeight="1" x14ac:dyDescent="0.2">
      <c r="A5" s="259" t="s">
        <v>361</v>
      </c>
      <c r="B5" s="267">
        <v>2500000</v>
      </c>
      <c r="C5" s="267">
        <v>2500000</v>
      </c>
      <c r="D5" s="267">
        <v>2500000</v>
      </c>
      <c r="E5" s="267">
        <f t="shared" ref="E5:E38" si="0">D5-C5</f>
        <v>0</v>
      </c>
      <c r="F5" s="188"/>
    </row>
    <row r="6" spans="1:6" s="156" customFormat="1" ht="12" customHeight="1" x14ac:dyDescent="0.25">
      <c r="A6" s="95" t="s">
        <v>293</v>
      </c>
      <c r="B6" s="96">
        <f>B7+B8+B10+B11+B13</f>
        <v>4569196</v>
      </c>
      <c r="C6" s="96">
        <f>C7+C8+C10+C11+C13+C12</f>
        <v>4667399</v>
      </c>
      <c r="D6" s="267">
        <f>D7+D8+D9+D11+D13</f>
        <v>8672019</v>
      </c>
      <c r="E6" s="267">
        <f t="shared" si="0"/>
        <v>4004620</v>
      </c>
      <c r="F6" s="161"/>
    </row>
    <row r="7" spans="1:6" s="156" customFormat="1" ht="14.25" customHeight="1" x14ac:dyDescent="0.25">
      <c r="A7" s="97" t="s">
        <v>314</v>
      </c>
      <c r="B7" s="98">
        <v>0</v>
      </c>
      <c r="C7" s="266">
        <v>0</v>
      </c>
      <c r="D7" s="266">
        <v>0</v>
      </c>
      <c r="E7" s="267">
        <f t="shared" si="0"/>
        <v>0</v>
      </c>
      <c r="F7" s="161"/>
    </row>
    <row r="8" spans="1:6" s="156" customFormat="1" ht="29.25" customHeight="1" x14ac:dyDescent="0.25">
      <c r="A8" s="97" t="s">
        <v>374</v>
      </c>
      <c r="B8" s="98">
        <v>0</v>
      </c>
      <c r="C8" s="266">
        <v>0</v>
      </c>
      <c r="D8" s="266">
        <v>1004620</v>
      </c>
      <c r="E8" s="267">
        <f t="shared" si="0"/>
        <v>1004620</v>
      </c>
      <c r="F8" s="161"/>
    </row>
    <row r="9" spans="1:6" s="156" customFormat="1" ht="29.25" customHeight="1" x14ac:dyDescent="0.25">
      <c r="A9" s="97" t="s">
        <v>375</v>
      </c>
      <c r="B9" s="266"/>
      <c r="C9" s="266"/>
      <c r="D9" s="266">
        <v>3000000</v>
      </c>
      <c r="E9" s="267">
        <f t="shared" si="0"/>
        <v>3000000</v>
      </c>
      <c r="F9" s="161"/>
    </row>
    <row r="10" spans="1:6" s="156" customFormat="1" ht="21.2" customHeight="1" x14ac:dyDescent="0.25">
      <c r="A10" s="97" t="s">
        <v>315</v>
      </c>
      <c r="B10" s="98">
        <v>0</v>
      </c>
      <c r="C10" s="266">
        <v>0</v>
      </c>
      <c r="D10" s="266">
        <v>0</v>
      </c>
      <c r="E10" s="267">
        <f t="shared" si="0"/>
        <v>0</v>
      </c>
      <c r="F10" s="161"/>
    </row>
    <row r="11" spans="1:6" s="156" customFormat="1" ht="21.2" customHeight="1" x14ac:dyDescent="0.25">
      <c r="A11" s="97" t="s">
        <v>316</v>
      </c>
      <c r="B11" s="98">
        <v>3228076</v>
      </c>
      <c r="C11" s="266">
        <v>3228076</v>
      </c>
      <c r="D11" s="266">
        <v>3228076</v>
      </c>
      <c r="E11" s="267">
        <f t="shared" si="0"/>
        <v>0</v>
      </c>
      <c r="F11" s="161"/>
    </row>
    <row r="12" spans="1:6" s="156" customFormat="1" ht="21.2" customHeight="1" x14ac:dyDescent="0.25">
      <c r="A12" s="97" t="s">
        <v>343</v>
      </c>
      <c r="B12" s="98">
        <v>0</v>
      </c>
      <c r="C12" s="266">
        <v>0</v>
      </c>
      <c r="D12" s="266">
        <v>0</v>
      </c>
      <c r="E12" s="267">
        <f t="shared" si="0"/>
        <v>0</v>
      </c>
      <c r="F12" s="161"/>
    </row>
    <row r="13" spans="1:6" s="156" customFormat="1" ht="21.2" customHeight="1" x14ac:dyDescent="0.25">
      <c r="A13" s="97" t="s">
        <v>359</v>
      </c>
      <c r="B13" s="98">
        <v>1341120</v>
      </c>
      <c r="C13" s="266">
        <v>1439323</v>
      </c>
      <c r="D13" s="266">
        <v>1439323</v>
      </c>
      <c r="E13" s="267">
        <f t="shared" si="0"/>
        <v>0</v>
      </c>
      <c r="F13" s="161"/>
    </row>
    <row r="14" spans="1:6" s="156" customFormat="1" ht="31.5" customHeight="1" x14ac:dyDescent="0.25">
      <c r="A14" s="95" t="s">
        <v>294</v>
      </c>
      <c r="B14" s="307">
        <v>50000</v>
      </c>
      <c r="C14" s="94">
        <v>50000</v>
      </c>
      <c r="D14" s="94">
        <v>50000</v>
      </c>
      <c r="E14" s="267">
        <f t="shared" si="0"/>
        <v>0</v>
      </c>
      <c r="F14" s="161"/>
    </row>
    <row r="15" spans="1:6" s="156" customFormat="1" ht="20.25" customHeight="1" x14ac:dyDescent="0.25">
      <c r="A15" s="95" t="s">
        <v>295</v>
      </c>
      <c r="B15" s="267">
        <f>B16+B17+B18+B19+B20</f>
        <v>2000000</v>
      </c>
      <c r="C15" s="267">
        <f>C16+C17+C18+C19+C20</f>
        <v>2000000</v>
      </c>
      <c r="D15" s="267">
        <f>D16+D17+D18+D19+D20</f>
        <v>3000001</v>
      </c>
      <c r="E15" s="267">
        <f t="shared" si="0"/>
        <v>1000001</v>
      </c>
      <c r="F15" s="161"/>
    </row>
    <row r="16" spans="1:6" s="156" customFormat="1" ht="21.2" customHeight="1" x14ac:dyDescent="0.25">
      <c r="A16" s="97" t="s">
        <v>317</v>
      </c>
      <c r="B16" s="98">
        <v>0</v>
      </c>
      <c r="C16" s="266">
        <v>0</v>
      </c>
      <c r="D16" s="266">
        <v>0</v>
      </c>
      <c r="E16" s="267">
        <f t="shared" si="0"/>
        <v>0</v>
      </c>
      <c r="F16" s="161"/>
    </row>
    <row r="17" spans="1:6" s="156" customFormat="1" ht="21.2" customHeight="1" x14ac:dyDescent="0.25">
      <c r="A17" s="97" t="s">
        <v>318</v>
      </c>
      <c r="B17" s="98">
        <v>0</v>
      </c>
      <c r="C17" s="266">
        <v>0</v>
      </c>
      <c r="D17" s="266">
        <v>0</v>
      </c>
      <c r="E17" s="267">
        <f t="shared" si="0"/>
        <v>0</v>
      </c>
      <c r="F17" s="161"/>
    </row>
    <row r="18" spans="1:6" s="156" customFormat="1" ht="21.2" customHeight="1" x14ac:dyDescent="0.25">
      <c r="A18" s="97" t="s">
        <v>319</v>
      </c>
      <c r="B18" s="98">
        <v>0</v>
      </c>
      <c r="C18" s="266">
        <v>0</v>
      </c>
      <c r="D18" s="266">
        <v>0</v>
      </c>
      <c r="E18" s="267">
        <f t="shared" si="0"/>
        <v>0</v>
      </c>
      <c r="F18" s="161"/>
    </row>
    <row r="19" spans="1:6" s="157" customFormat="1" ht="21.2" customHeight="1" x14ac:dyDescent="0.25">
      <c r="A19" s="182" t="s">
        <v>328</v>
      </c>
      <c r="B19" s="183">
        <v>0</v>
      </c>
      <c r="C19" s="183">
        <v>0</v>
      </c>
      <c r="D19" s="183">
        <v>1000001</v>
      </c>
      <c r="E19" s="267">
        <f t="shared" si="0"/>
        <v>1000001</v>
      </c>
      <c r="F19" s="162"/>
    </row>
    <row r="20" spans="1:6" s="157" customFormat="1" ht="21.2" customHeight="1" x14ac:dyDescent="0.25">
      <c r="A20" s="182" t="s">
        <v>329</v>
      </c>
      <c r="B20" s="183">
        <v>2000000</v>
      </c>
      <c r="C20" s="183">
        <v>2000000</v>
      </c>
      <c r="D20" s="183">
        <v>2000000</v>
      </c>
      <c r="E20" s="267">
        <f t="shared" si="0"/>
        <v>0</v>
      </c>
      <c r="F20" s="162"/>
    </row>
    <row r="21" spans="1:6" s="156" customFormat="1" ht="23.25" customHeight="1" x14ac:dyDescent="0.25">
      <c r="A21" s="95" t="s">
        <v>265</v>
      </c>
      <c r="B21" s="96"/>
      <c r="C21" s="267"/>
      <c r="D21" s="267"/>
      <c r="E21" s="267">
        <f t="shared" si="0"/>
        <v>0</v>
      </c>
      <c r="F21" s="161"/>
    </row>
    <row r="22" spans="1:6" s="157" customFormat="1" ht="22.7" customHeight="1" x14ac:dyDescent="0.25">
      <c r="A22" s="99" t="s">
        <v>263</v>
      </c>
      <c r="B22" s="100">
        <f>B23</f>
        <v>5316875</v>
      </c>
      <c r="C22" s="100">
        <f>C23</f>
        <v>15865511</v>
      </c>
      <c r="D22" s="100">
        <f>D23</f>
        <v>17318511</v>
      </c>
      <c r="E22" s="267">
        <f t="shared" si="0"/>
        <v>1453000</v>
      </c>
      <c r="F22" s="162"/>
    </row>
    <row r="23" spans="1:6" s="157" customFormat="1" ht="19.5" customHeight="1" x14ac:dyDescent="0.25">
      <c r="A23" s="101" t="s">
        <v>296</v>
      </c>
      <c r="B23" s="102">
        <f>B24+B25+B26+B27+B31</f>
        <v>5316875</v>
      </c>
      <c r="C23" s="102">
        <f>C24+C25+C26+C27+C31+C28</f>
        <v>15865511</v>
      </c>
      <c r="D23" s="102">
        <f>D24+D25+D26+D27+D31+D28+D29+D30</f>
        <v>17318511</v>
      </c>
      <c r="E23" s="102">
        <f>E24+E25+E26+E27+E31+E28+E29+E30</f>
        <v>1453000</v>
      </c>
      <c r="F23" s="162"/>
    </row>
    <row r="24" spans="1:6" s="157" customFormat="1" ht="15" customHeight="1" x14ac:dyDescent="0.25">
      <c r="A24" s="103" t="s">
        <v>320</v>
      </c>
      <c r="B24" s="104">
        <v>314112</v>
      </c>
      <c r="C24" s="104">
        <v>314112</v>
      </c>
      <c r="D24" s="104">
        <v>314112</v>
      </c>
      <c r="E24" s="267">
        <f t="shared" si="0"/>
        <v>0</v>
      </c>
      <c r="F24" s="162"/>
    </row>
    <row r="25" spans="1:6" s="157" customFormat="1" ht="26.25" customHeight="1" x14ac:dyDescent="0.25">
      <c r="A25" s="306" t="s">
        <v>365</v>
      </c>
      <c r="B25" s="104">
        <v>0</v>
      </c>
      <c r="C25" s="104">
        <v>1580622</v>
      </c>
      <c r="D25" s="104">
        <v>1580622</v>
      </c>
      <c r="E25" s="267">
        <f t="shared" si="0"/>
        <v>0</v>
      </c>
      <c r="F25" s="162"/>
    </row>
    <row r="26" spans="1:6" s="157" customFormat="1" ht="30.75" customHeight="1" x14ac:dyDescent="0.25">
      <c r="A26" s="103" t="s">
        <v>366</v>
      </c>
      <c r="B26" s="104">
        <v>0</v>
      </c>
      <c r="C26" s="104">
        <v>8956854</v>
      </c>
      <c r="D26" s="104">
        <v>8956854</v>
      </c>
      <c r="E26" s="267">
        <f t="shared" si="0"/>
        <v>0</v>
      </c>
      <c r="F26" s="162"/>
    </row>
    <row r="27" spans="1:6" s="157" customFormat="1" ht="30" customHeight="1" x14ac:dyDescent="0.25">
      <c r="A27" s="103" t="s">
        <v>321</v>
      </c>
      <c r="B27" s="104">
        <v>4034832</v>
      </c>
      <c r="C27" s="104">
        <v>4034832</v>
      </c>
      <c r="D27" s="104">
        <v>4034832</v>
      </c>
      <c r="E27" s="267">
        <f t="shared" si="0"/>
        <v>0</v>
      </c>
      <c r="F27" s="162"/>
    </row>
    <row r="28" spans="1:6" s="157" customFormat="1" ht="30" customHeight="1" x14ac:dyDescent="0.25">
      <c r="A28" s="103" t="s">
        <v>344</v>
      </c>
      <c r="B28" s="104">
        <v>0</v>
      </c>
      <c r="C28" s="104">
        <v>0</v>
      </c>
      <c r="D28" s="104">
        <v>0</v>
      </c>
      <c r="E28" s="267">
        <f t="shared" si="0"/>
        <v>0</v>
      </c>
      <c r="F28" s="162"/>
    </row>
    <row r="29" spans="1:6" s="157" customFormat="1" ht="30" customHeight="1" x14ac:dyDescent="0.25">
      <c r="A29" s="103" t="s">
        <v>376</v>
      </c>
      <c r="B29" s="104"/>
      <c r="C29" s="104"/>
      <c r="D29" s="104">
        <v>393000</v>
      </c>
      <c r="E29" s="308">
        <f>D29-C29</f>
        <v>393000</v>
      </c>
      <c r="F29" s="162"/>
    </row>
    <row r="30" spans="1:6" s="157" customFormat="1" ht="30" customHeight="1" x14ac:dyDescent="0.25">
      <c r="A30" s="103" t="s">
        <v>377</v>
      </c>
      <c r="B30" s="104"/>
      <c r="C30" s="104"/>
      <c r="D30" s="104">
        <v>1060000</v>
      </c>
      <c r="E30" s="308">
        <f>D30-C30</f>
        <v>1060000</v>
      </c>
      <c r="F30" s="162"/>
    </row>
    <row r="31" spans="1:6" s="157" customFormat="1" ht="31.7" customHeight="1" x14ac:dyDescent="0.25">
      <c r="A31" s="103" t="s">
        <v>326</v>
      </c>
      <c r="B31" s="104">
        <v>967931</v>
      </c>
      <c r="C31" s="104">
        <f>967931+11160</f>
        <v>979091</v>
      </c>
      <c r="D31" s="104">
        <f>967931+11160</f>
        <v>979091</v>
      </c>
      <c r="E31" s="267">
        <f>D31-C31</f>
        <v>0</v>
      </c>
      <c r="F31" s="162"/>
    </row>
    <row r="32" spans="1:6" s="157" customFormat="1" ht="26.45" customHeight="1" x14ac:dyDescent="0.25">
      <c r="A32" s="99" t="s">
        <v>264</v>
      </c>
      <c r="B32" s="105">
        <f>B33</f>
        <v>30885</v>
      </c>
      <c r="C32" s="168">
        <f>C33</f>
        <v>30885</v>
      </c>
      <c r="D32" s="168">
        <f>D33</f>
        <v>30885</v>
      </c>
      <c r="E32" s="267">
        <f t="shared" si="0"/>
        <v>0</v>
      </c>
      <c r="F32" s="162"/>
    </row>
    <row r="33" spans="1:6" s="157" customFormat="1" ht="27" customHeight="1" x14ac:dyDescent="0.25">
      <c r="A33" s="101" t="s">
        <v>266</v>
      </c>
      <c r="B33" s="107">
        <v>30885</v>
      </c>
      <c r="C33" s="106">
        <v>30885</v>
      </c>
      <c r="D33" s="106">
        <v>30885</v>
      </c>
      <c r="E33" s="267">
        <f t="shared" si="0"/>
        <v>0</v>
      </c>
      <c r="F33" s="162"/>
    </row>
    <row r="34" spans="1:6" s="165" customFormat="1" ht="18" customHeight="1" x14ac:dyDescent="0.25">
      <c r="A34" s="108" t="s">
        <v>97</v>
      </c>
      <c r="B34" s="109">
        <f>B35+B36+B37</f>
        <v>2399591</v>
      </c>
      <c r="C34" s="109">
        <f>C35+C36+C37</f>
        <v>2399591</v>
      </c>
      <c r="D34" s="109">
        <f>D35+D36+D37</f>
        <v>2455354</v>
      </c>
      <c r="E34" s="267">
        <f t="shared" si="0"/>
        <v>55763</v>
      </c>
      <c r="F34" s="163"/>
    </row>
    <row r="35" spans="1:6" s="167" customFormat="1" ht="21" customHeight="1" x14ac:dyDescent="0.25">
      <c r="A35" s="47" t="s">
        <v>311</v>
      </c>
      <c r="B35" s="110"/>
      <c r="C35" s="166"/>
      <c r="D35" s="292"/>
      <c r="E35" s="267">
        <f t="shared" si="0"/>
        <v>0</v>
      </c>
      <c r="F35" s="164"/>
    </row>
    <row r="36" spans="1:6" s="167" customFormat="1" ht="17.25" customHeight="1" x14ac:dyDescent="0.25">
      <c r="A36" s="47" t="s">
        <v>96</v>
      </c>
      <c r="B36" s="110"/>
      <c r="C36" s="166"/>
      <c r="D36" s="292"/>
      <c r="E36" s="267">
        <f t="shared" si="0"/>
        <v>0</v>
      </c>
      <c r="F36" s="164"/>
    </row>
    <row r="37" spans="1:6" s="167" customFormat="1" ht="26.25" customHeight="1" x14ac:dyDescent="0.25">
      <c r="A37" s="47" t="s">
        <v>225</v>
      </c>
      <c r="B37" s="110">
        <v>2399591</v>
      </c>
      <c r="C37" s="169">
        <v>2399591</v>
      </c>
      <c r="D37" s="169">
        <f>2399591+55763</f>
        <v>2455354</v>
      </c>
      <c r="E37" s="308">
        <f t="shared" si="0"/>
        <v>55763</v>
      </c>
      <c r="F37" s="164"/>
    </row>
    <row r="38" spans="1:6" s="187" customFormat="1" ht="31.7" customHeight="1" thickBot="1" x14ac:dyDescent="0.25">
      <c r="A38" s="184" t="s">
        <v>98</v>
      </c>
      <c r="B38" s="185">
        <f>B3+B22+B34+B32</f>
        <v>16866547</v>
      </c>
      <c r="C38" s="185">
        <f>C3+C22+C34+C32</f>
        <v>27513386</v>
      </c>
      <c r="D38" s="185">
        <f>D3+D22+D34+D32</f>
        <v>34026770</v>
      </c>
      <c r="E38" s="267">
        <f t="shared" si="0"/>
        <v>6513384</v>
      </c>
      <c r="F38" s="186">
        <f>E3+E22+E32+E34</f>
        <v>6513384</v>
      </c>
    </row>
  </sheetData>
  <sheetProtection selectLockedCells="1" selectUnlockedCells="1"/>
  <mergeCells count="1">
    <mergeCell ref="A1:E1"/>
  </mergeCells>
  <phoneticPr fontId="20" type="noConversion"/>
  <printOptions horizontalCentered="1"/>
  <pageMargins left="0.23622047244094491" right="0.23622047244094491" top="1.0615384615384615" bottom="0.11811023622047245" header="0.19685039370078741" footer="0.51181102362204722"/>
  <pageSetup paperSize="9" firstPageNumber="0" orientation="portrait" r:id="rId1"/>
  <headerFooter alignWithMargins="0">
    <oddHeader>&amp;C&amp;"Times New Roman,Normál"&amp;12 5. melléklet
az önkormányzat 2018. évi költségvetéséről szóló 9/2018. (IX. 27.)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J60"/>
  <sheetViews>
    <sheetView view="pageLayout" zoomScaleNormal="100" zoomScaleSheetLayoutView="89" workbookViewId="0">
      <selection activeCell="D1" sqref="D1"/>
    </sheetView>
  </sheetViews>
  <sheetFormatPr defaultColWidth="9.140625" defaultRowHeight="15.75" x14ac:dyDescent="0.25"/>
  <cols>
    <col min="1" max="1" width="31.42578125" style="112" customWidth="1"/>
    <col min="2" max="2" width="12.42578125" style="111" bestFit="1" customWidth="1"/>
    <col min="3" max="4" width="12.140625" style="111" customWidth="1"/>
    <col min="5" max="5" width="12.42578125" style="111" customWidth="1"/>
    <col min="6" max="6" width="32.140625" style="112" customWidth="1"/>
    <col min="7" max="7" width="12.85546875" style="111" customWidth="1"/>
    <col min="8" max="9" width="13.140625" style="111" customWidth="1"/>
    <col min="10" max="10" width="12.5703125" style="111" customWidth="1"/>
    <col min="11" max="11" width="9.140625" style="111"/>
    <col min="12" max="12" width="12.28515625" style="111" customWidth="1"/>
    <col min="13" max="16384" width="9.140625" style="111"/>
  </cols>
  <sheetData>
    <row r="2" spans="1:10" ht="15.75" customHeight="1" x14ac:dyDescent="0.25">
      <c r="A2" s="343" t="s">
        <v>363</v>
      </c>
      <c r="B2" s="343"/>
      <c r="C2" s="343"/>
      <c r="D2" s="343"/>
      <c r="E2" s="343"/>
      <c r="F2" s="343"/>
      <c r="G2" s="343"/>
      <c r="H2" s="343"/>
      <c r="I2" s="343"/>
      <c r="J2" s="343"/>
    </row>
    <row r="3" spans="1:10" ht="16.5" thickBot="1" x14ac:dyDescent="0.3"/>
    <row r="4" spans="1:10" s="112" customFormat="1" ht="39.75" customHeight="1" x14ac:dyDescent="0.25">
      <c r="A4" s="251" t="s">
        <v>99</v>
      </c>
      <c r="B4" s="35" t="s">
        <v>354</v>
      </c>
      <c r="C4" s="44" t="s">
        <v>322</v>
      </c>
      <c r="D4" s="279" t="s">
        <v>372</v>
      </c>
      <c r="E4" s="44" t="s">
        <v>323</v>
      </c>
      <c r="F4" s="252" t="s">
        <v>100</v>
      </c>
      <c r="G4" s="35" t="s">
        <v>354</v>
      </c>
      <c r="H4" s="44" t="s">
        <v>322</v>
      </c>
      <c r="I4" s="281" t="s">
        <v>372</v>
      </c>
      <c r="J4" s="45" t="s">
        <v>323</v>
      </c>
    </row>
    <row r="5" spans="1:10" ht="29.25" customHeight="1" x14ac:dyDescent="0.25">
      <c r="A5" s="115" t="s">
        <v>101</v>
      </c>
      <c r="B5" s="89">
        <f>'1.tábla '!B6</f>
        <v>31474348</v>
      </c>
      <c r="C5" s="89">
        <f>'1.tábla '!C6</f>
        <v>31561828</v>
      </c>
      <c r="D5" s="273">
        <f>'1.tábla '!D6</f>
        <v>44660661</v>
      </c>
      <c r="E5" s="89">
        <f>D5-C5</f>
        <v>13098833</v>
      </c>
      <c r="F5" s="116" t="s">
        <v>90</v>
      </c>
      <c r="G5" s="89">
        <f>'3.tábla '!B6</f>
        <v>11351918</v>
      </c>
      <c r="H5" s="89">
        <f>'3.tábla '!C6</f>
        <v>12486198</v>
      </c>
      <c r="I5" s="273">
        <f>'3.tábla '!D6</f>
        <v>12748689</v>
      </c>
      <c r="J5" s="117">
        <f>I5-H5</f>
        <v>262491</v>
      </c>
    </row>
    <row r="6" spans="1:10" x14ac:dyDescent="0.25">
      <c r="A6" s="115" t="s">
        <v>102</v>
      </c>
      <c r="B6" s="89">
        <f>'1.tábla '!B8</f>
        <v>11333000</v>
      </c>
      <c r="C6" s="89">
        <f>'1.tábla '!C8</f>
        <v>11333000</v>
      </c>
      <c r="D6" s="273">
        <f>'1.tábla '!D8</f>
        <v>11333000</v>
      </c>
      <c r="E6" s="273">
        <f t="shared" ref="E6:E23" si="0">D6-C6</f>
        <v>0</v>
      </c>
      <c r="F6" s="116" t="s">
        <v>335</v>
      </c>
      <c r="G6" s="116">
        <f>'3.tábla '!B7</f>
        <v>2307565</v>
      </c>
      <c r="H6" s="116">
        <f>'3.tábla '!C7</f>
        <v>2217871</v>
      </c>
      <c r="I6" s="116">
        <f>'3.tábla '!D7</f>
        <v>2432047</v>
      </c>
      <c r="J6" s="117">
        <f t="shared" ref="J6:J14" si="1">I6-H6</f>
        <v>214176</v>
      </c>
    </row>
    <row r="7" spans="1:10" x14ac:dyDescent="0.25">
      <c r="A7" s="118" t="s">
        <v>103</v>
      </c>
      <c r="B7" s="89">
        <f>'1.tábla '!B9</f>
        <v>3140000</v>
      </c>
      <c r="C7" s="89">
        <f>'1.tábla '!C9</f>
        <v>3290000</v>
      </c>
      <c r="D7" s="273">
        <f>'1.tábla '!D9</f>
        <v>4350000</v>
      </c>
      <c r="E7" s="273">
        <f t="shared" si="0"/>
        <v>1060000</v>
      </c>
      <c r="F7" s="116" t="s">
        <v>104</v>
      </c>
      <c r="G7" s="89">
        <f>'3.tábla '!B8</f>
        <v>17032982</v>
      </c>
      <c r="H7" s="89">
        <f>'3.tábla '!C8</f>
        <v>17214872</v>
      </c>
      <c r="I7" s="273">
        <f>'3.tábla '!D8</f>
        <v>29585170</v>
      </c>
      <c r="J7" s="117">
        <f t="shared" si="1"/>
        <v>12370298</v>
      </c>
    </row>
    <row r="8" spans="1:10" ht="47.25" x14ac:dyDescent="0.25">
      <c r="A8" s="115" t="s">
        <v>105</v>
      </c>
      <c r="B8" s="89"/>
      <c r="C8" s="89"/>
      <c r="D8" s="273"/>
      <c r="E8" s="273">
        <f t="shared" si="0"/>
        <v>0</v>
      </c>
      <c r="F8" s="116" t="s">
        <v>91</v>
      </c>
      <c r="G8" s="89">
        <f>'3.tábla '!B25</f>
        <v>3795000</v>
      </c>
      <c r="H8" s="89">
        <f>'3.tábla '!C25</f>
        <v>3795000</v>
      </c>
      <c r="I8" s="273">
        <f>'3.tábla '!D25</f>
        <v>3795000</v>
      </c>
      <c r="J8" s="117">
        <f t="shared" si="1"/>
        <v>0</v>
      </c>
    </row>
    <row r="9" spans="1:10" x14ac:dyDescent="0.25">
      <c r="A9" s="118"/>
      <c r="B9" s="89"/>
      <c r="C9" s="89"/>
      <c r="D9" s="273"/>
      <c r="E9" s="273">
        <f t="shared" si="0"/>
        <v>0</v>
      </c>
      <c r="F9" s="116" t="s">
        <v>89</v>
      </c>
      <c r="G9" s="89">
        <f>G10+G11+G12+G13</f>
        <v>13095342</v>
      </c>
      <c r="H9" s="89">
        <f>H10+H11+H12+H13</f>
        <v>13205782</v>
      </c>
      <c r="I9" s="273">
        <f>I10+I11+I12+I13</f>
        <v>13013128</v>
      </c>
      <c r="J9" s="117">
        <f t="shared" si="1"/>
        <v>-192654</v>
      </c>
    </row>
    <row r="10" spans="1:10" x14ac:dyDescent="0.25">
      <c r="A10" s="118"/>
      <c r="B10" s="89"/>
      <c r="C10" s="89"/>
      <c r="D10" s="273"/>
      <c r="E10" s="273">
        <f t="shared" si="0"/>
        <v>0</v>
      </c>
      <c r="F10" s="116" t="s">
        <v>226</v>
      </c>
      <c r="G10" s="89"/>
      <c r="H10" s="89"/>
      <c r="I10" s="290"/>
      <c r="J10" s="117">
        <f t="shared" si="1"/>
        <v>0</v>
      </c>
    </row>
    <row r="11" spans="1:10" ht="31.5" x14ac:dyDescent="0.25">
      <c r="A11" s="115"/>
      <c r="B11" s="89"/>
      <c r="C11" s="89"/>
      <c r="D11" s="273"/>
      <c r="E11" s="273">
        <f t="shared" si="0"/>
        <v>0</v>
      </c>
      <c r="F11" s="116" t="s">
        <v>336</v>
      </c>
      <c r="G11" s="89">
        <f>'4.tábla'!B3</f>
        <v>12335342</v>
      </c>
      <c r="H11" s="89">
        <f>'4.tábla'!C3</f>
        <v>12335342</v>
      </c>
      <c r="I11" s="273">
        <f>'4.tábla'!D3</f>
        <v>11331288</v>
      </c>
      <c r="J11" s="117">
        <f t="shared" si="1"/>
        <v>-1004054</v>
      </c>
    </row>
    <row r="12" spans="1:10" ht="31.5" x14ac:dyDescent="0.25">
      <c r="A12" s="119"/>
      <c r="B12" s="89"/>
      <c r="C12" s="89"/>
      <c r="D12" s="273"/>
      <c r="E12" s="273">
        <f t="shared" si="0"/>
        <v>0</v>
      </c>
      <c r="F12" s="116" t="s">
        <v>337</v>
      </c>
      <c r="G12" s="116">
        <f>'4.tábla'!B9</f>
        <v>760000</v>
      </c>
      <c r="H12" s="116">
        <f>'4.tábla'!C9</f>
        <v>760000</v>
      </c>
      <c r="I12" s="116">
        <f>'4.tábla'!D9</f>
        <v>1571400</v>
      </c>
      <c r="J12" s="117">
        <f t="shared" si="1"/>
        <v>811400</v>
      </c>
    </row>
    <row r="13" spans="1:10" ht="31.5" x14ac:dyDescent="0.25">
      <c r="A13" s="115"/>
      <c r="B13" s="89"/>
      <c r="C13" s="89"/>
      <c r="D13" s="273"/>
      <c r="E13" s="273">
        <f t="shared" si="0"/>
        <v>0</v>
      </c>
      <c r="F13" s="116" t="s">
        <v>338</v>
      </c>
      <c r="G13" s="89"/>
      <c r="H13" s="89">
        <f>'3.tábla '!C36</f>
        <v>110440</v>
      </c>
      <c r="I13" s="273">
        <f>'3.tábla '!D36</f>
        <v>110440</v>
      </c>
      <c r="J13" s="117">
        <f t="shared" si="1"/>
        <v>0</v>
      </c>
    </row>
    <row r="14" spans="1:10" ht="18.75" customHeight="1" x14ac:dyDescent="0.25">
      <c r="A14" s="118"/>
      <c r="B14" s="89"/>
      <c r="C14" s="89"/>
      <c r="D14" s="273"/>
      <c r="E14" s="273">
        <f t="shared" si="0"/>
        <v>0</v>
      </c>
      <c r="F14" s="116" t="s">
        <v>221</v>
      </c>
      <c r="G14" s="89">
        <f>'1.tábla '!B26</f>
        <v>7405470</v>
      </c>
      <c r="H14" s="89">
        <f>'1.tábla '!C26</f>
        <v>13264590</v>
      </c>
      <c r="I14" s="273">
        <f>'1.tábla '!D26</f>
        <v>11311491</v>
      </c>
      <c r="J14" s="117">
        <f t="shared" si="1"/>
        <v>-1953099</v>
      </c>
    </row>
    <row r="15" spans="1:10" s="124" customFormat="1" ht="31.5" x14ac:dyDescent="0.25">
      <c r="A15" s="120" t="s">
        <v>106</v>
      </c>
      <c r="B15" s="121">
        <f>SUM(B5:B14)</f>
        <v>45947348</v>
      </c>
      <c r="C15" s="121">
        <f>SUM(C5:C14)</f>
        <v>46184828</v>
      </c>
      <c r="D15" s="121">
        <f>SUM(D5:D14)</f>
        <v>60343661</v>
      </c>
      <c r="E15" s="273">
        <f t="shared" si="0"/>
        <v>14158833</v>
      </c>
      <c r="F15" s="122" t="s">
        <v>107</v>
      </c>
      <c r="G15" s="121">
        <f>G5+G6+G7+G8+G9+G14</f>
        <v>54988277</v>
      </c>
      <c r="H15" s="121">
        <f>H5+H6+H7+H8+H9+H14</f>
        <v>62184313</v>
      </c>
      <c r="I15" s="121">
        <f>I5+I6+I7+I8+I9+I14</f>
        <v>72885525</v>
      </c>
      <c r="J15" s="123">
        <f t="shared" ref="J15:J16" si="2">H15-G15</f>
        <v>7196036</v>
      </c>
    </row>
    <row r="16" spans="1:10" s="124" customFormat="1" x14ac:dyDescent="0.25">
      <c r="A16" s="120" t="s">
        <v>108</v>
      </c>
      <c r="B16" s="121"/>
      <c r="C16" s="121"/>
      <c r="D16" s="121"/>
      <c r="E16" s="273">
        <f t="shared" si="0"/>
        <v>0</v>
      </c>
      <c r="F16" s="122" t="s">
        <v>109</v>
      </c>
      <c r="G16" s="121">
        <f>G15-B15</f>
        <v>9040929</v>
      </c>
      <c r="H16" s="121">
        <f>H15-C15</f>
        <v>15999485</v>
      </c>
      <c r="I16" s="121">
        <f>I15-D15</f>
        <v>12541864</v>
      </c>
      <c r="J16" s="123">
        <f t="shared" si="2"/>
        <v>6958556</v>
      </c>
    </row>
    <row r="17" spans="1:10" s="124" customFormat="1" ht="31.5" x14ac:dyDescent="0.25">
      <c r="A17" s="120" t="s">
        <v>110</v>
      </c>
      <c r="B17" s="121">
        <f>SUM(B18)</f>
        <v>20000000</v>
      </c>
      <c r="C17" s="121">
        <f>SUM(C18)</f>
        <v>28648541</v>
      </c>
      <c r="D17" s="121">
        <f>SUM(D18)</f>
        <v>28648541</v>
      </c>
      <c r="E17" s="273">
        <f t="shared" si="0"/>
        <v>0</v>
      </c>
      <c r="F17" s="122" t="s">
        <v>111</v>
      </c>
      <c r="G17" s="121">
        <f>G18+G19+G20+G21</f>
        <v>2399591</v>
      </c>
      <c r="H17" s="121">
        <f>H18+H19+H20+H21</f>
        <v>2399591</v>
      </c>
      <c r="I17" s="121">
        <f>I18+I19+I20+I21</f>
        <v>2455354</v>
      </c>
      <c r="J17" s="123">
        <f>I17-H17</f>
        <v>55763</v>
      </c>
    </row>
    <row r="18" spans="1:10" ht="31.5" x14ac:dyDescent="0.25">
      <c r="A18" s="118" t="s">
        <v>112</v>
      </c>
      <c r="B18" s="89">
        <f>'2.tábla'!B71</f>
        <v>20000000</v>
      </c>
      <c r="C18" s="89">
        <f>'2.tábla'!C71</f>
        <v>28648541</v>
      </c>
      <c r="D18" s="273">
        <f>'2.tábla'!D71</f>
        <v>28648541</v>
      </c>
      <c r="E18" s="273">
        <f t="shared" si="0"/>
        <v>0</v>
      </c>
      <c r="F18" s="116" t="s">
        <v>231</v>
      </c>
      <c r="G18" s="89">
        <f>'5.tábla'!B37</f>
        <v>2399591</v>
      </c>
      <c r="H18" s="89">
        <f>'5.tábla'!C37</f>
        <v>2399591</v>
      </c>
      <c r="I18" s="273">
        <f>'5.tábla'!D37</f>
        <v>2455354</v>
      </c>
      <c r="J18" s="123">
        <f t="shared" ref="J18:J23" si="3">I18-H18</f>
        <v>55763</v>
      </c>
    </row>
    <row r="19" spans="1:10" s="124" customFormat="1" ht="31.5" x14ac:dyDescent="0.25">
      <c r="A19" s="120" t="s">
        <v>113</v>
      </c>
      <c r="B19" s="122">
        <f>SUM(B20:B22)</f>
        <v>907476</v>
      </c>
      <c r="C19" s="122">
        <f>SUM(C20:C22)</f>
        <v>907476</v>
      </c>
      <c r="D19" s="122">
        <f>SUM(D20:D22)</f>
        <v>963239</v>
      </c>
      <c r="E19" s="273">
        <f t="shared" si="0"/>
        <v>55763</v>
      </c>
      <c r="F19" s="116" t="s">
        <v>313</v>
      </c>
      <c r="G19" s="89"/>
      <c r="H19" s="121"/>
      <c r="I19" s="291"/>
      <c r="J19" s="123">
        <f t="shared" si="3"/>
        <v>0</v>
      </c>
    </row>
    <row r="20" spans="1:10" x14ac:dyDescent="0.25">
      <c r="A20" s="118" t="s">
        <v>298</v>
      </c>
      <c r="B20" s="89">
        <f>'2.tábla'!B74</f>
        <v>0</v>
      </c>
      <c r="C20" s="89">
        <f>'2.tábla'!C74</f>
        <v>0</v>
      </c>
      <c r="D20" s="273">
        <f>'2.tábla'!D74</f>
        <v>0</v>
      </c>
      <c r="E20" s="273">
        <f t="shared" si="0"/>
        <v>0</v>
      </c>
      <c r="F20" s="116" t="s">
        <v>233</v>
      </c>
      <c r="G20" s="89"/>
      <c r="H20" s="89"/>
      <c r="I20" s="290"/>
      <c r="J20" s="123">
        <f t="shared" si="3"/>
        <v>0</v>
      </c>
    </row>
    <row r="21" spans="1:10" ht="18" customHeight="1" x14ac:dyDescent="0.25">
      <c r="A21" s="118" t="s">
        <v>312</v>
      </c>
      <c r="B21" s="89"/>
      <c r="C21" s="89"/>
      <c r="D21" s="273"/>
      <c r="E21" s="273">
        <f t="shared" si="0"/>
        <v>0</v>
      </c>
      <c r="F21" s="116" t="s">
        <v>290</v>
      </c>
      <c r="G21" s="116">
        <f>'5.tábla'!B36</f>
        <v>0</v>
      </c>
      <c r="H21" s="89"/>
      <c r="I21" s="290"/>
      <c r="J21" s="123">
        <f t="shared" si="3"/>
        <v>0</v>
      </c>
    </row>
    <row r="22" spans="1:10" ht="31.5" x14ac:dyDescent="0.25">
      <c r="A22" s="118" t="s">
        <v>232</v>
      </c>
      <c r="B22" s="89">
        <f>'2.tábla'!B75</f>
        <v>907476</v>
      </c>
      <c r="C22" s="89">
        <f>'2.tábla'!C75</f>
        <v>907476</v>
      </c>
      <c r="D22" s="273">
        <f>'2.tábla'!D75</f>
        <v>963239</v>
      </c>
      <c r="E22" s="273">
        <f t="shared" si="0"/>
        <v>55763</v>
      </c>
      <c r="F22" s="116"/>
      <c r="G22" s="89"/>
      <c r="H22" s="89"/>
      <c r="I22" s="290"/>
      <c r="J22" s="123">
        <f t="shared" si="3"/>
        <v>0</v>
      </c>
    </row>
    <row r="23" spans="1:10" ht="16.5" thickBot="1" x14ac:dyDescent="0.3">
      <c r="A23" s="125" t="s">
        <v>114</v>
      </c>
      <c r="B23" s="91">
        <f>B15+B17+B19</f>
        <v>66854824</v>
      </c>
      <c r="C23" s="91">
        <f>C15+C17+C19</f>
        <v>75740845</v>
      </c>
      <c r="D23" s="91">
        <f>D15+D17+D19</f>
        <v>89955441</v>
      </c>
      <c r="E23" s="273">
        <f t="shared" si="0"/>
        <v>14214596</v>
      </c>
      <c r="F23" s="126" t="s">
        <v>115</v>
      </c>
      <c r="G23" s="91">
        <f>G17+G15</f>
        <v>57387868</v>
      </c>
      <c r="H23" s="91">
        <f>H17+H15</f>
        <v>64583904</v>
      </c>
      <c r="I23" s="91">
        <f>I17+I15</f>
        <v>75340879</v>
      </c>
      <c r="J23" s="123">
        <f t="shared" si="3"/>
        <v>10756975</v>
      </c>
    </row>
    <row r="25" spans="1:10" ht="15.75" customHeight="1" x14ac:dyDescent="0.25">
      <c r="A25" s="343" t="s">
        <v>349</v>
      </c>
      <c r="B25" s="343"/>
      <c r="C25" s="343"/>
      <c r="D25" s="343"/>
      <c r="E25" s="343"/>
      <c r="F25" s="343"/>
      <c r="G25" s="343"/>
      <c r="H25" s="343"/>
      <c r="I25" s="343"/>
      <c r="J25" s="343"/>
    </row>
    <row r="26" spans="1:10" ht="16.5" thickBot="1" x14ac:dyDescent="0.3"/>
    <row r="27" spans="1:10" s="112" customFormat="1" ht="31.5" x14ac:dyDescent="0.25">
      <c r="A27" s="113" t="s">
        <v>116</v>
      </c>
      <c r="B27" s="35" t="s">
        <v>354</v>
      </c>
      <c r="C27" s="44" t="s">
        <v>322</v>
      </c>
      <c r="D27" s="279" t="s">
        <v>372</v>
      </c>
      <c r="E27" s="44" t="s">
        <v>323</v>
      </c>
      <c r="F27" s="114" t="s">
        <v>117</v>
      </c>
      <c r="G27" s="35" t="s">
        <v>354</v>
      </c>
      <c r="H27" s="44" t="s">
        <v>322</v>
      </c>
      <c r="I27" s="281" t="s">
        <v>372</v>
      </c>
      <c r="J27" s="45" t="s">
        <v>323</v>
      </c>
    </row>
    <row r="28" spans="1:10" ht="31.5" x14ac:dyDescent="0.25">
      <c r="A28" s="115" t="s">
        <v>118</v>
      </c>
      <c r="B28" s="89">
        <f>'2.tábla'!B20</f>
        <v>5000000</v>
      </c>
      <c r="C28" s="89">
        <f>'2.tábla'!C20</f>
        <v>13956854</v>
      </c>
      <c r="D28" s="273">
        <f>'2.tábla'!D20</f>
        <v>13956854</v>
      </c>
      <c r="E28" s="89">
        <f>D28-C28</f>
        <v>0</v>
      </c>
      <c r="F28" s="116" t="s">
        <v>119</v>
      </c>
      <c r="G28" s="89">
        <f>'5.tábla'!B3</f>
        <v>9119196</v>
      </c>
      <c r="H28" s="89">
        <f>'5.tábla'!C3</f>
        <v>9217399</v>
      </c>
      <c r="I28" s="273">
        <f>'5.tábla'!D3</f>
        <v>14222020</v>
      </c>
      <c r="J28" s="117">
        <f>I28-H28</f>
        <v>5004621</v>
      </c>
    </row>
    <row r="29" spans="1:10" x14ac:dyDescent="0.25">
      <c r="A29" s="118" t="s">
        <v>120</v>
      </c>
      <c r="B29" s="89">
        <f>'2.tábla'!B55</f>
        <v>0</v>
      </c>
      <c r="C29" s="89">
        <f>'2.tábla'!C55</f>
        <v>0</v>
      </c>
      <c r="D29" s="273">
        <f>'2.tábla'!D55</f>
        <v>0</v>
      </c>
      <c r="E29" s="273">
        <f t="shared" ref="E29:E43" si="4">D29-C29</f>
        <v>0</v>
      </c>
      <c r="F29" s="116" t="s">
        <v>121</v>
      </c>
      <c r="G29" s="89"/>
      <c r="H29" s="89"/>
      <c r="I29" s="290"/>
      <c r="J29" s="117">
        <f t="shared" ref="J29:J35" si="5">I29-H29</f>
        <v>0</v>
      </c>
    </row>
    <row r="30" spans="1:10" ht="31.5" x14ac:dyDescent="0.25">
      <c r="A30" s="118" t="s">
        <v>122</v>
      </c>
      <c r="B30" s="89">
        <f>'2.tábla'!B64</f>
        <v>0</v>
      </c>
      <c r="C30" s="89">
        <f>'2.tábla'!C64</f>
        <v>0</v>
      </c>
      <c r="D30" s="273">
        <f>'2.tábla'!D64</f>
        <v>3000000</v>
      </c>
      <c r="E30" s="273">
        <f t="shared" si="4"/>
        <v>3000000</v>
      </c>
      <c r="F30" s="116" t="s">
        <v>123</v>
      </c>
      <c r="G30" s="89">
        <f>'5.tábla'!B22</f>
        <v>5316875</v>
      </c>
      <c r="H30" s="89">
        <f>'5.tábla'!C22</f>
        <v>15865511</v>
      </c>
      <c r="I30" s="273">
        <f>'5.tábla'!D22</f>
        <v>17318511</v>
      </c>
      <c r="J30" s="117">
        <f t="shared" si="5"/>
        <v>1453000</v>
      </c>
    </row>
    <row r="31" spans="1:10" x14ac:dyDescent="0.25">
      <c r="A31" s="118"/>
      <c r="B31" s="89"/>
      <c r="C31" s="89"/>
      <c r="D31" s="273"/>
      <c r="E31" s="273">
        <f t="shared" si="4"/>
        <v>0</v>
      </c>
      <c r="F31" s="116" t="s">
        <v>124</v>
      </c>
      <c r="G31" s="89">
        <f>G32+G33+G34+G35</f>
        <v>30885</v>
      </c>
      <c r="H31" s="89">
        <f>H32+H33+H34+H35</f>
        <v>30885</v>
      </c>
      <c r="I31" s="273">
        <f>I32+I33+I34+I35</f>
        <v>30885</v>
      </c>
      <c r="J31" s="117">
        <f t="shared" si="5"/>
        <v>0</v>
      </c>
    </row>
    <row r="32" spans="1:10" ht="31.5" x14ac:dyDescent="0.25">
      <c r="A32" s="118"/>
      <c r="B32" s="89"/>
      <c r="C32" s="89"/>
      <c r="D32" s="273"/>
      <c r="E32" s="273">
        <f t="shared" si="4"/>
        <v>0</v>
      </c>
      <c r="F32" s="116" t="s">
        <v>125</v>
      </c>
      <c r="G32" s="89"/>
      <c r="H32" s="89"/>
      <c r="I32" s="290"/>
      <c r="J32" s="117">
        <f t="shared" si="5"/>
        <v>0</v>
      </c>
    </row>
    <row r="33" spans="1:10" ht="27" customHeight="1" x14ac:dyDescent="0.25">
      <c r="A33" s="118"/>
      <c r="B33" s="89"/>
      <c r="C33" s="89"/>
      <c r="D33" s="273"/>
      <c r="E33" s="273">
        <f t="shared" si="4"/>
        <v>0</v>
      </c>
      <c r="F33" s="127" t="s">
        <v>126</v>
      </c>
      <c r="G33" s="89">
        <f>'5.tábla'!B33</f>
        <v>30885</v>
      </c>
      <c r="H33" s="89">
        <f>'5.tábla'!C33</f>
        <v>30885</v>
      </c>
      <c r="I33" s="273">
        <f>'5.tábla'!D33</f>
        <v>30885</v>
      </c>
      <c r="J33" s="117">
        <f t="shared" si="5"/>
        <v>0</v>
      </c>
    </row>
    <row r="34" spans="1:10" ht="47.25" x14ac:dyDescent="0.25">
      <c r="A34" s="118"/>
      <c r="B34" s="89"/>
      <c r="C34" s="89"/>
      <c r="D34" s="273"/>
      <c r="E34" s="273">
        <f t="shared" si="4"/>
        <v>0</v>
      </c>
      <c r="F34" s="116" t="s">
        <v>234</v>
      </c>
      <c r="G34" s="89"/>
      <c r="H34" s="89"/>
      <c r="I34" s="290"/>
      <c r="J34" s="117">
        <f t="shared" si="5"/>
        <v>0</v>
      </c>
    </row>
    <row r="35" spans="1:10" ht="47.25" x14ac:dyDescent="0.25">
      <c r="A35" s="118"/>
      <c r="B35" s="89"/>
      <c r="C35" s="89"/>
      <c r="D35" s="273"/>
      <c r="E35" s="273">
        <f t="shared" si="4"/>
        <v>0</v>
      </c>
      <c r="F35" s="116" t="s">
        <v>127</v>
      </c>
      <c r="G35" s="89"/>
      <c r="H35" s="89"/>
      <c r="I35" s="290"/>
      <c r="J35" s="117">
        <f t="shared" si="5"/>
        <v>0</v>
      </c>
    </row>
    <row r="36" spans="1:10" s="124" customFormat="1" ht="31.5" x14ac:dyDescent="0.25">
      <c r="A36" s="120" t="s">
        <v>128</v>
      </c>
      <c r="B36" s="121">
        <f>SUM(B28:B34)</f>
        <v>5000000</v>
      </c>
      <c r="C36" s="121">
        <f>SUM(C28:C34)</f>
        <v>13956854</v>
      </c>
      <c r="D36" s="121">
        <f>SUM(D28:D34)</f>
        <v>16956854</v>
      </c>
      <c r="E36" s="273">
        <f t="shared" si="4"/>
        <v>3000000</v>
      </c>
      <c r="F36" s="122" t="s">
        <v>129</v>
      </c>
      <c r="G36" s="121">
        <f>SUM(G28:G31)</f>
        <v>14466956</v>
      </c>
      <c r="H36" s="121">
        <f>SUM(H28:H31)</f>
        <v>25113795</v>
      </c>
      <c r="I36" s="121">
        <f>SUM(I28:I31)</f>
        <v>31571416</v>
      </c>
      <c r="J36" s="121">
        <f>SUM(J28:J31)</f>
        <v>6457621</v>
      </c>
    </row>
    <row r="37" spans="1:10" s="124" customFormat="1" x14ac:dyDescent="0.25">
      <c r="A37" s="120" t="s">
        <v>130</v>
      </c>
      <c r="B37" s="121">
        <v>-9466956</v>
      </c>
      <c r="C37" s="121">
        <v>-9466956</v>
      </c>
      <c r="D37" s="121">
        <v>-9466956</v>
      </c>
      <c r="E37" s="273">
        <f t="shared" si="4"/>
        <v>0</v>
      </c>
      <c r="F37" s="122" t="s">
        <v>132</v>
      </c>
      <c r="G37" s="121">
        <f>G36-B36</f>
        <v>9466956</v>
      </c>
      <c r="H37" s="121">
        <f>H36-C36</f>
        <v>11156941</v>
      </c>
      <c r="I37" s="121">
        <f>I36-D36</f>
        <v>14614562</v>
      </c>
      <c r="J37" s="121">
        <f>SUM(J29:J32)</f>
        <v>1453000</v>
      </c>
    </row>
    <row r="38" spans="1:10" s="124" customFormat="1" ht="47.25" x14ac:dyDescent="0.25">
      <c r="A38" s="120" t="s">
        <v>133</v>
      </c>
      <c r="B38" s="121">
        <f>SUM(B39)</f>
        <v>0</v>
      </c>
      <c r="C38" s="121">
        <f>SUM(C39)</f>
        <v>0</v>
      </c>
      <c r="D38" s="121"/>
      <c r="E38" s="273">
        <f t="shared" si="4"/>
        <v>0</v>
      </c>
      <c r="F38" s="122" t="s">
        <v>134</v>
      </c>
      <c r="G38" s="121">
        <f>SUM(G39:G41)</f>
        <v>0</v>
      </c>
      <c r="H38" s="121">
        <f>SUM(H39:H41)</f>
        <v>0</v>
      </c>
      <c r="I38" s="121">
        <f>SUM(I39:I41)</f>
        <v>0</v>
      </c>
      <c r="J38" s="117">
        <f t="shared" ref="J38:J42" si="6">H38-G38</f>
        <v>0</v>
      </c>
    </row>
    <row r="39" spans="1:10" x14ac:dyDescent="0.25">
      <c r="A39" s="118" t="s">
        <v>135</v>
      </c>
      <c r="B39" s="89">
        <f>'2.tábla'!B72</f>
        <v>0</v>
      </c>
      <c r="C39" s="89">
        <f>'2.tábla'!C72</f>
        <v>0</v>
      </c>
      <c r="D39" s="273"/>
      <c r="E39" s="273">
        <f t="shared" si="4"/>
        <v>0</v>
      </c>
      <c r="F39" s="116" t="s">
        <v>136</v>
      </c>
      <c r="G39" s="89"/>
      <c r="H39" s="89"/>
      <c r="I39" s="290"/>
      <c r="J39" s="117">
        <f t="shared" si="6"/>
        <v>0</v>
      </c>
    </row>
    <row r="40" spans="1:10" ht="47.25" x14ac:dyDescent="0.25">
      <c r="A40" s="120" t="s">
        <v>137</v>
      </c>
      <c r="B40" s="121">
        <f>SUM(B41:B42)</f>
        <v>0</v>
      </c>
      <c r="C40" s="121">
        <f>SUM(C41:C42)</f>
        <v>0</v>
      </c>
      <c r="D40" s="121"/>
      <c r="E40" s="273">
        <f t="shared" si="4"/>
        <v>0</v>
      </c>
      <c r="F40" s="116" t="s">
        <v>138</v>
      </c>
      <c r="G40" s="89"/>
      <c r="H40" s="89"/>
      <c r="I40" s="290"/>
      <c r="J40" s="117">
        <f t="shared" si="6"/>
        <v>0</v>
      </c>
    </row>
    <row r="41" spans="1:10" ht="31.5" x14ac:dyDescent="0.25">
      <c r="A41" s="118" t="s">
        <v>139</v>
      </c>
      <c r="B41" s="89"/>
      <c r="C41" s="89"/>
      <c r="D41" s="273"/>
      <c r="E41" s="273">
        <f t="shared" si="4"/>
        <v>0</v>
      </c>
      <c r="F41" s="116" t="s">
        <v>230</v>
      </c>
      <c r="G41" s="89"/>
      <c r="H41" s="89"/>
      <c r="I41" s="290"/>
      <c r="J41" s="117">
        <f t="shared" si="6"/>
        <v>0</v>
      </c>
    </row>
    <row r="42" spans="1:10" x14ac:dyDescent="0.25">
      <c r="A42" s="118" t="s">
        <v>140</v>
      </c>
      <c r="B42" s="89"/>
      <c r="C42" s="89"/>
      <c r="D42" s="273"/>
      <c r="E42" s="273">
        <f t="shared" si="4"/>
        <v>0</v>
      </c>
      <c r="F42" s="116"/>
      <c r="G42" s="89"/>
      <c r="H42" s="89"/>
      <c r="I42" s="290"/>
      <c r="J42" s="117">
        <f t="shared" si="6"/>
        <v>0</v>
      </c>
    </row>
    <row r="43" spans="1:10" s="124" customFormat="1" ht="16.5" thickBot="1" x14ac:dyDescent="0.3">
      <c r="A43" s="125" t="s">
        <v>141</v>
      </c>
      <c r="B43" s="91">
        <f>B36+B38+B40</f>
        <v>5000000</v>
      </c>
      <c r="C43" s="91">
        <f>C36+C38+C40</f>
        <v>13956854</v>
      </c>
      <c r="D43" s="91">
        <f>D36+D38+D40</f>
        <v>16956854</v>
      </c>
      <c r="E43" s="273">
        <f t="shared" si="4"/>
        <v>3000000</v>
      </c>
      <c r="F43" s="126" t="s">
        <v>142</v>
      </c>
      <c r="G43" s="91">
        <f>G36+G38</f>
        <v>14466956</v>
      </c>
      <c r="H43" s="91">
        <f>H36+H38</f>
        <v>25113795</v>
      </c>
      <c r="I43" s="91">
        <f>I36+I38</f>
        <v>31571416</v>
      </c>
      <c r="J43" s="91">
        <f>J36+J38</f>
        <v>6457621</v>
      </c>
    </row>
    <row r="44" spans="1:10" x14ac:dyDescent="0.25">
      <c r="A44" s="128"/>
      <c r="B44" s="129"/>
      <c r="C44" s="129"/>
      <c r="D44" s="129"/>
      <c r="E44" s="129"/>
      <c r="F44" s="128"/>
      <c r="G44" s="129"/>
    </row>
    <row r="45" spans="1:10" x14ac:dyDescent="0.25">
      <c r="A45" s="128"/>
      <c r="B45" s="129"/>
      <c r="C45" s="129"/>
      <c r="D45" s="129"/>
      <c r="E45" s="129"/>
      <c r="F45" s="128"/>
      <c r="G45" s="129"/>
    </row>
    <row r="46" spans="1:10" ht="15.75" customHeight="1" x14ac:dyDescent="0.25">
      <c r="A46" s="343" t="s">
        <v>350</v>
      </c>
      <c r="B46" s="343"/>
      <c r="C46" s="343"/>
      <c r="D46" s="343"/>
      <c r="E46" s="343"/>
      <c r="F46" s="343"/>
      <c r="G46" s="343"/>
      <c r="H46" s="343"/>
      <c r="I46" s="343"/>
      <c r="J46" s="343"/>
    </row>
    <row r="47" spans="1:10" ht="16.5" thickBot="1" x14ac:dyDescent="0.3"/>
    <row r="48" spans="1:10" s="112" customFormat="1" ht="31.5" x14ac:dyDescent="0.25">
      <c r="A48" s="113" t="s">
        <v>143</v>
      </c>
      <c r="B48" s="35" t="s">
        <v>325</v>
      </c>
      <c r="C48" s="44" t="s">
        <v>322</v>
      </c>
      <c r="D48" s="279" t="s">
        <v>372</v>
      </c>
      <c r="E48" s="44" t="s">
        <v>323</v>
      </c>
      <c r="F48" s="114" t="s">
        <v>144</v>
      </c>
      <c r="G48" s="35" t="s">
        <v>325</v>
      </c>
      <c r="H48" s="44" t="s">
        <v>322</v>
      </c>
      <c r="I48" s="281" t="s">
        <v>372</v>
      </c>
      <c r="J48" s="45" t="s">
        <v>323</v>
      </c>
    </row>
    <row r="49" spans="1:10" x14ac:dyDescent="0.25">
      <c r="A49" s="118" t="s">
        <v>145</v>
      </c>
      <c r="B49" s="89">
        <f>B15</f>
        <v>45947348</v>
      </c>
      <c r="C49" s="89">
        <f>C15</f>
        <v>46184828</v>
      </c>
      <c r="D49" s="273">
        <f>D15</f>
        <v>60343661</v>
      </c>
      <c r="E49" s="121">
        <f>D49-C49</f>
        <v>14158833</v>
      </c>
      <c r="F49" s="116" t="s">
        <v>146</v>
      </c>
      <c r="G49" s="89">
        <f>G15</f>
        <v>54988277</v>
      </c>
      <c r="H49" s="273">
        <f>H15</f>
        <v>62184313</v>
      </c>
      <c r="I49" s="273">
        <f>I15</f>
        <v>72885525</v>
      </c>
      <c r="J49" s="117">
        <f>I49-H49</f>
        <v>10701212</v>
      </c>
    </row>
    <row r="50" spans="1:10" ht="31.5" x14ac:dyDescent="0.25">
      <c r="A50" s="118" t="s">
        <v>147</v>
      </c>
      <c r="B50" s="89">
        <f>B36</f>
        <v>5000000</v>
      </c>
      <c r="C50" s="89">
        <f>C36</f>
        <v>13956854</v>
      </c>
      <c r="D50" s="273">
        <f>D36</f>
        <v>16956854</v>
      </c>
      <c r="E50" s="121">
        <f t="shared" ref="E50:E59" si="7">D50-C50</f>
        <v>3000000</v>
      </c>
      <c r="F50" s="116" t="s">
        <v>148</v>
      </c>
      <c r="G50" s="89">
        <f>G36</f>
        <v>14466956</v>
      </c>
      <c r="H50" s="89">
        <f>H36</f>
        <v>25113795</v>
      </c>
      <c r="I50" s="273">
        <f>I36</f>
        <v>31571416</v>
      </c>
      <c r="J50" s="117">
        <f t="shared" ref="J50:J59" si="8">I50-H50</f>
        <v>6457621</v>
      </c>
    </row>
    <row r="51" spans="1:10" s="124" customFormat="1" ht="31.5" x14ac:dyDescent="0.25">
      <c r="A51" s="120" t="s">
        <v>11</v>
      </c>
      <c r="B51" s="121">
        <f>SUM(B49:B50)</f>
        <v>50947348</v>
      </c>
      <c r="C51" s="121">
        <f>SUM(C49:C50)</f>
        <v>60141682</v>
      </c>
      <c r="D51" s="121">
        <f>SUM(D49:D50)</f>
        <v>77300515</v>
      </c>
      <c r="E51" s="121">
        <f t="shared" si="7"/>
        <v>17158833</v>
      </c>
      <c r="F51" s="122" t="s">
        <v>20</v>
      </c>
      <c r="G51" s="121">
        <f>SUM(G49:G50)</f>
        <v>69455233</v>
      </c>
      <c r="H51" s="121">
        <f>SUM(H49:H50)</f>
        <v>87298108</v>
      </c>
      <c r="I51" s="121">
        <f>SUM(I49:I50)</f>
        <v>104456941</v>
      </c>
      <c r="J51" s="117">
        <f t="shared" si="8"/>
        <v>17158833</v>
      </c>
    </row>
    <row r="52" spans="1:10" s="124" customFormat="1" x14ac:dyDescent="0.25">
      <c r="A52" s="120" t="s">
        <v>149</v>
      </c>
      <c r="B52" s="121"/>
      <c r="C52" s="121"/>
      <c r="D52" s="121"/>
      <c r="E52" s="121">
        <f t="shared" si="7"/>
        <v>0</v>
      </c>
      <c r="F52" s="122" t="s">
        <v>150</v>
      </c>
      <c r="G52" s="121">
        <f>G51-B51</f>
        <v>18507885</v>
      </c>
      <c r="H52" s="121">
        <f>H51-C51</f>
        <v>27156426</v>
      </c>
      <c r="I52" s="121">
        <f>I51-D51</f>
        <v>27156426</v>
      </c>
      <c r="J52" s="117">
        <f t="shared" si="8"/>
        <v>0</v>
      </c>
    </row>
    <row r="53" spans="1:10" s="124" customFormat="1" ht="31.5" x14ac:dyDescent="0.25">
      <c r="A53" s="120" t="s">
        <v>151</v>
      </c>
      <c r="B53" s="121">
        <f>SUM(B54:B55)</f>
        <v>20000000</v>
      </c>
      <c r="C53" s="121">
        <f>SUM(C54:C55)</f>
        <v>28648541</v>
      </c>
      <c r="D53" s="121">
        <f>SUM(D54:D55)</f>
        <v>28648541</v>
      </c>
      <c r="E53" s="121">
        <f t="shared" si="7"/>
        <v>0</v>
      </c>
      <c r="F53" s="122" t="s">
        <v>152</v>
      </c>
      <c r="G53" s="121">
        <f>SUM(G54:G55)</f>
        <v>2399591</v>
      </c>
      <c r="H53" s="121">
        <f>SUM(H54:H55)</f>
        <v>2399591</v>
      </c>
      <c r="I53" s="121">
        <f>SUM(I54:I55)</f>
        <v>2455354</v>
      </c>
      <c r="J53" s="121">
        <f>SUM(J54:J55)</f>
        <v>55763</v>
      </c>
    </row>
    <row r="54" spans="1:10" ht="31.5" x14ac:dyDescent="0.25">
      <c r="A54" s="118" t="s">
        <v>110</v>
      </c>
      <c r="B54" s="89">
        <f>B17</f>
        <v>20000000</v>
      </c>
      <c r="C54" s="89">
        <f>C17</f>
        <v>28648541</v>
      </c>
      <c r="D54" s="273">
        <f>D17</f>
        <v>28648541</v>
      </c>
      <c r="E54" s="121">
        <f t="shared" si="7"/>
        <v>0</v>
      </c>
      <c r="F54" s="116" t="s">
        <v>153</v>
      </c>
      <c r="G54" s="89">
        <f>G17</f>
        <v>2399591</v>
      </c>
      <c r="H54" s="89">
        <f>H17</f>
        <v>2399591</v>
      </c>
      <c r="I54" s="273">
        <f>I17</f>
        <v>2455354</v>
      </c>
      <c r="J54" s="273">
        <f>J17</f>
        <v>55763</v>
      </c>
    </row>
    <row r="55" spans="1:10" ht="31.5" x14ac:dyDescent="0.25">
      <c r="A55" s="118" t="s">
        <v>133</v>
      </c>
      <c r="B55" s="89">
        <f>B38</f>
        <v>0</v>
      </c>
      <c r="C55" s="89">
        <f>C38</f>
        <v>0</v>
      </c>
      <c r="D55" s="273">
        <f>D38</f>
        <v>0</v>
      </c>
      <c r="E55" s="121">
        <f t="shared" si="7"/>
        <v>0</v>
      </c>
      <c r="F55" s="116" t="s">
        <v>154</v>
      </c>
      <c r="G55" s="89">
        <f>G38</f>
        <v>0</v>
      </c>
      <c r="H55" s="89">
        <f>H38</f>
        <v>0</v>
      </c>
      <c r="I55" s="273">
        <f>I38</f>
        <v>0</v>
      </c>
      <c r="J55" s="117">
        <f t="shared" si="8"/>
        <v>0</v>
      </c>
    </row>
    <row r="56" spans="1:10" s="124" customFormat="1" ht="31.5" x14ac:dyDescent="0.25">
      <c r="A56" s="120" t="s">
        <v>155</v>
      </c>
      <c r="B56" s="121">
        <f>SUM(B57:B58)</f>
        <v>907476</v>
      </c>
      <c r="C56" s="121">
        <f>SUM(C57:C58)</f>
        <v>907476</v>
      </c>
      <c r="D56" s="121">
        <f>SUM(D57:D58)</f>
        <v>963239</v>
      </c>
      <c r="E56" s="121">
        <f t="shared" si="7"/>
        <v>55763</v>
      </c>
      <c r="F56" s="122"/>
      <c r="G56" s="122"/>
      <c r="H56" s="121"/>
      <c r="I56" s="291"/>
      <c r="J56" s="117">
        <f t="shared" si="8"/>
        <v>0</v>
      </c>
    </row>
    <row r="57" spans="1:10" ht="31.5" x14ac:dyDescent="0.25">
      <c r="A57" s="118" t="s">
        <v>113</v>
      </c>
      <c r="B57" s="89">
        <f>B19</f>
        <v>907476</v>
      </c>
      <c r="C57" s="89">
        <f>C19</f>
        <v>907476</v>
      </c>
      <c r="D57" s="273">
        <f>D19</f>
        <v>963239</v>
      </c>
      <c r="E57" s="121">
        <f t="shared" si="7"/>
        <v>55763</v>
      </c>
      <c r="F57" s="116"/>
      <c r="G57" s="89"/>
      <c r="H57" s="89"/>
      <c r="I57" s="290"/>
      <c r="J57" s="117">
        <f t="shared" si="8"/>
        <v>0</v>
      </c>
    </row>
    <row r="58" spans="1:10" ht="31.5" x14ac:dyDescent="0.25">
      <c r="A58" s="118" t="s">
        <v>137</v>
      </c>
      <c r="B58" s="89">
        <f>B40</f>
        <v>0</v>
      </c>
      <c r="C58" s="89">
        <f>C40</f>
        <v>0</v>
      </c>
      <c r="D58" s="273">
        <f>D40</f>
        <v>0</v>
      </c>
      <c r="E58" s="121">
        <f t="shared" si="7"/>
        <v>0</v>
      </c>
      <c r="F58" s="122"/>
      <c r="G58" s="121"/>
      <c r="H58" s="89"/>
      <c r="I58" s="290"/>
      <c r="J58" s="117">
        <f t="shared" si="8"/>
        <v>0</v>
      </c>
    </row>
    <row r="59" spans="1:10" s="124" customFormat="1" ht="16.5" thickBot="1" x14ac:dyDescent="0.3">
      <c r="A59" s="125" t="s">
        <v>65</v>
      </c>
      <c r="B59" s="91">
        <f>B51+B53+B56</f>
        <v>71854824</v>
      </c>
      <c r="C59" s="91">
        <f>C51+C53+C56</f>
        <v>89697699</v>
      </c>
      <c r="D59" s="91">
        <f>D51+D53+D56</f>
        <v>106912295</v>
      </c>
      <c r="E59" s="121">
        <f t="shared" si="7"/>
        <v>17214596</v>
      </c>
      <c r="F59" s="126" t="s">
        <v>156</v>
      </c>
      <c r="G59" s="91">
        <f>G51+G53</f>
        <v>71854824</v>
      </c>
      <c r="H59" s="91">
        <f>H51+H53</f>
        <v>89697699</v>
      </c>
      <c r="I59" s="91">
        <f>I51+I53</f>
        <v>106912295</v>
      </c>
      <c r="J59" s="117">
        <f t="shared" si="8"/>
        <v>17214596</v>
      </c>
    </row>
    <row r="60" spans="1:10" x14ac:dyDescent="0.25">
      <c r="A60" s="112" t="s">
        <v>157</v>
      </c>
    </row>
  </sheetData>
  <sheetProtection selectLockedCells="1" selectUnlockedCells="1"/>
  <mergeCells count="3">
    <mergeCell ref="A2:J2"/>
    <mergeCell ref="A25:J25"/>
    <mergeCell ref="A46:J46"/>
  </mergeCells>
  <phoneticPr fontId="20" type="noConversion"/>
  <printOptions horizontalCentered="1" verticalCentered="1"/>
  <pageMargins left="0.15748031496062992" right="0.15748031496062992" top="0.39261538461538459" bottom="0.59055118110236227" header="0.31496062992125984" footer="0.51181102362204722"/>
  <pageSetup paperSize="9" scale="88" firstPageNumber="0" orientation="landscape" r:id="rId1"/>
  <headerFooter alignWithMargins="0">
    <oddHeader>&amp;C&amp;"Times New Roman,Normál"&amp;12 6. melléklet
az önkormányzat 2018. évi költségvetéséről szóló 9/2018. (IX. 27.) önkormányzati rendelethez</oddHeader>
  </headerFooter>
  <rowBreaks count="3" manualBreakCount="3">
    <brk id="23" max="7" man="1"/>
    <brk id="45" max="7" man="1"/>
    <brk id="60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84"/>
  <sheetViews>
    <sheetView showWhiteSpace="0" view="pageLayout" zoomScaleNormal="100" zoomScaleSheetLayoutView="89" workbookViewId="0">
      <selection sqref="A1:J1"/>
    </sheetView>
  </sheetViews>
  <sheetFormatPr defaultColWidth="9.140625" defaultRowHeight="15.75" x14ac:dyDescent="0.25"/>
  <cols>
    <col min="1" max="1" width="41.28515625" style="130" customWidth="1"/>
    <col min="2" max="2" width="12.140625" style="131" customWidth="1"/>
    <col min="3" max="4" width="12.5703125" style="131" customWidth="1"/>
    <col min="5" max="5" width="12.140625" style="131" customWidth="1"/>
    <col min="6" max="6" width="37.28515625" style="131" customWidth="1"/>
    <col min="7" max="7" width="13.7109375" style="131" customWidth="1"/>
    <col min="8" max="8" width="14.28515625" style="131" customWidth="1"/>
    <col min="9" max="9" width="15.42578125" style="131" customWidth="1"/>
    <col min="10" max="10" width="11" style="131" customWidth="1"/>
    <col min="11" max="11" width="11" style="131" bestFit="1" customWidth="1"/>
    <col min="12" max="16384" width="9.140625" style="131"/>
  </cols>
  <sheetData>
    <row r="1" spans="1:10" ht="15.75" customHeight="1" thickBot="1" x14ac:dyDescent="0.3">
      <c r="A1" s="344" t="s">
        <v>364</v>
      </c>
      <c r="B1" s="344"/>
      <c r="C1" s="344"/>
      <c r="D1" s="344"/>
      <c r="E1" s="344"/>
      <c r="F1" s="344"/>
      <c r="G1" s="344"/>
      <c r="H1" s="344"/>
      <c r="I1" s="344"/>
      <c r="J1" s="344"/>
    </row>
    <row r="2" spans="1:10" s="130" customFormat="1" ht="31.5" x14ac:dyDescent="0.25">
      <c r="A2" s="132" t="s">
        <v>99</v>
      </c>
      <c r="B2" s="35" t="s">
        <v>354</v>
      </c>
      <c r="C2" s="35" t="s">
        <v>322</v>
      </c>
      <c r="D2" s="35" t="s">
        <v>372</v>
      </c>
      <c r="E2" s="44" t="s">
        <v>323</v>
      </c>
      <c r="F2" s="133" t="s">
        <v>100</v>
      </c>
      <c r="G2" s="35" t="s">
        <v>354</v>
      </c>
      <c r="H2" s="35" t="s">
        <v>322</v>
      </c>
      <c r="I2" s="289" t="s">
        <v>372</v>
      </c>
      <c r="J2" s="45" t="s">
        <v>323</v>
      </c>
    </row>
    <row r="3" spans="1:10" s="130" customFormat="1" x14ac:dyDescent="0.25">
      <c r="A3" s="134" t="s">
        <v>158</v>
      </c>
      <c r="B3" s="135"/>
      <c r="C3" s="135"/>
      <c r="D3" s="135"/>
      <c r="E3" s="135"/>
      <c r="F3" s="136" t="s">
        <v>15</v>
      </c>
      <c r="G3" s="148"/>
      <c r="H3" s="148"/>
      <c r="I3" s="282"/>
      <c r="J3" s="137"/>
    </row>
    <row r="4" spans="1:10" ht="31.5" x14ac:dyDescent="0.25">
      <c r="A4" s="138" t="s">
        <v>159</v>
      </c>
      <c r="B4" s="139">
        <f>'6.tábla '!B5</f>
        <v>31474348</v>
      </c>
      <c r="C4" s="139">
        <f>'6.tábla '!C5</f>
        <v>31561828</v>
      </c>
      <c r="D4" s="139">
        <f>'6.tábla '!D5</f>
        <v>44660661</v>
      </c>
      <c r="E4" s="139">
        <f>D4-C4</f>
        <v>13098833</v>
      </c>
      <c r="F4" s="140" t="s">
        <v>90</v>
      </c>
      <c r="G4" s="139">
        <f>'6.tábla '!G5</f>
        <v>11351918</v>
      </c>
      <c r="H4" s="139">
        <f>'6.tábla '!H5</f>
        <v>12486198</v>
      </c>
      <c r="I4" s="139">
        <f>'6.tábla '!I5</f>
        <v>12748689</v>
      </c>
      <c r="J4" s="141">
        <f>I4-H4</f>
        <v>262491</v>
      </c>
    </row>
    <row r="5" spans="1:10" ht="17.45" customHeight="1" x14ac:dyDescent="0.25">
      <c r="A5" s="142" t="s">
        <v>102</v>
      </c>
      <c r="B5" s="89">
        <f>'6.tábla '!B6</f>
        <v>11333000</v>
      </c>
      <c r="C5" s="89">
        <f>'6.tábla '!C6</f>
        <v>11333000</v>
      </c>
      <c r="D5" s="273">
        <f>'6.tábla '!D6</f>
        <v>11333000</v>
      </c>
      <c r="E5" s="139">
        <f t="shared" ref="E5:E28" si="0">D5-C5</f>
        <v>0</v>
      </c>
      <c r="F5" s="140" t="s">
        <v>87</v>
      </c>
      <c r="G5" s="139">
        <f>'6.tábla '!G6</f>
        <v>2307565</v>
      </c>
      <c r="H5" s="139">
        <f>'6.tábla '!H6</f>
        <v>2217871</v>
      </c>
      <c r="I5" s="139">
        <f>'6.tábla '!I6</f>
        <v>2432047</v>
      </c>
      <c r="J5" s="141">
        <f t="shared" ref="J5:J28" si="1">I5-H5</f>
        <v>214176</v>
      </c>
    </row>
    <row r="6" spans="1:10" x14ac:dyDescent="0.25">
      <c r="A6" s="142" t="s">
        <v>103</v>
      </c>
      <c r="B6" s="139">
        <f>'6.tábla '!B7-B34</f>
        <v>3140000</v>
      </c>
      <c r="C6" s="139">
        <f>'6.tábla '!C7-C34</f>
        <v>3290000</v>
      </c>
      <c r="D6" s="139">
        <f>'6.tábla '!D7-D34</f>
        <v>4350000</v>
      </c>
      <c r="E6" s="139">
        <f t="shared" si="0"/>
        <v>1060000</v>
      </c>
      <c r="F6" s="140" t="s">
        <v>88</v>
      </c>
      <c r="G6" s="139">
        <f>'6.tábla '!G7-G34</f>
        <v>17032982</v>
      </c>
      <c r="H6" s="139">
        <f>'6.tábla '!H7-H34</f>
        <v>17214872</v>
      </c>
      <c r="I6" s="139">
        <f>'6.tábla '!I7-I34</f>
        <v>29585170</v>
      </c>
      <c r="J6" s="141">
        <f t="shared" si="1"/>
        <v>12370298</v>
      </c>
    </row>
    <row r="7" spans="1:10" x14ac:dyDescent="0.25">
      <c r="A7" s="115" t="s">
        <v>342</v>
      </c>
      <c r="B7" s="139">
        <f>'6.tábla '!B8</f>
        <v>0</v>
      </c>
      <c r="C7" s="139">
        <f>'6.tábla '!C8</f>
        <v>0</v>
      </c>
      <c r="D7" s="139">
        <f>'6.tábla '!D8</f>
        <v>0</v>
      </c>
      <c r="E7" s="139">
        <f t="shared" si="0"/>
        <v>0</v>
      </c>
      <c r="F7" s="140" t="s">
        <v>91</v>
      </c>
      <c r="G7" s="139">
        <f>'6.tábla '!G8</f>
        <v>3795000</v>
      </c>
      <c r="H7" s="139">
        <f>'6.tábla '!H8</f>
        <v>3795000</v>
      </c>
      <c r="I7" s="139">
        <f>'6.tábla '!I8</f>
        <v>3795000</v>
      </c>
      <c r="J7" s="141">
        <f t="shared" si="1"/>
        <v>0</v>
      </c>
    </row>
    <row r="8" spans="1:10" x14ac:dyDescent="0.25">
      <c r="A8" s="142"/>
      <c r="B8" s="139"/>
      <c r="C8" s="139"/>
      <c r="D8" s="139"/>
      <c r="E8" s="139">
        <f t="shared" si="0"/>
        <v>0</v>
      </c>
      <c r="F8" s="140" t="s">
        <v>89</v>
      </c>
      <c r="G8" s="139">
        <f>G10+G11+G12</f>
        <v>12335342</v>
      </c>
      <c r="H8" s="139">
        <f>H10+H11+H12</f>
        <v>12445782</v>
      </c>
      <c r="I8" s="139">
        <f>I10+I11+I12</f>
        <v>12253128</v>
      </c>
      <c r="J8" s="141">
        <f t="shared" si="1"/>
        <v>-192654</v>
      </c>
    </row>
    <row r="9" spans="1:10" x14ac:dyDescent="0.25">
      <c r="A9" s="142"/>
      <c r="B9" s="139"/>
      <c r="C9" s="139"/>
      <c r="D9" s="139"/>
      <c r="E9" s="139">
        <f t="shared" si="0"/>
        <v>0</v>
      </c>
      <c r="F9" s="116" t="s">
        <v>226</v>
      </c>
      <c r="G9" s="139">
        <f>'6.tábla '!G10</f>
        <v>0</v>
      </c>
      <c r="H9" s="139">
        <f>'6.tábla '!H10</f>
        <v>0</v>
      </c>
      <c r="I9" s="283"/>
      <c r="J9" s="141">
        <f t="shared" si="1"/>
        <v>0</v>
      </c>
    </row>
    <row r="10" spans="1:10" ht="31.5" x14ac:dyDescent="0.25">
      <c r="A10" s="142"/>
      <c r="B10" s="139"/>
      <c r="C10" s="139"/>
      <c r="D10" s="139"/>
      <c r="E10" s="139">
        <f t="shared" si="0"/>
        <v>0</v>
      </c>
      <c r="F10" s="116" t="s">
        <v>227</v>
      </c>
      <c r="G10" s="139">
        <f>'6.tábla '!G11</f>
        <v>12335342</v>
      </c>
      <c r="H10" s="139">
        <f>'6.tábla '!H11</f>
        <v>12335342</v>
      </c>
      <c r="I10" s="139">
        <f>'6.tábla '!I11</f>
        <v>11331288</v>
      </c>
      <c r="J10" s="141">
        <f t="shared" si="1"/>
        <v>-1004054</v>
      </c>
    </row>
    <row r="11" spans="1:10" ht="31.5" x14ac:dyDescent="0.25">
      <c r="A11" s="138"/>
      <c r="B11" s="143"/>
      <c r="C11" s="143"/>
      <c r="D11" s="143"/>
      <c r="E11" s="139">
        <f t="shared" si="0"/>
        <v>0</v>
      </c>
      <c r="F11" s="116" t="s">
        <v>228</v>
      </c>
      <c r="G11" s="139">
        <f>'6.tábla '!G12-G40</f>
        <v>0</v>
      </c>
      <c r="H11" s="139">
        <f>'6.tábla '!H12-H40</f>
        <v>0</v>
      </c>
      <c r="I11" s="139">
        <f>'6.tábla '!I12-I40</f>
        <v>811400</v>
      </c>
      <c r="J11" s="141">
        <f t="shared" si="1"/>
        <v>811400</v>
      </c>
    </row>
    <row r="12" spans="1:10" ht="30.75" customHeight="1" x14ac:dyDescent="0.25">
      <c r="A12" s="115"/>
      <c r="B12" s="139"/>
      <c r="C12" s="139"/>
      <c r="D12" s="139"/>
      <c r="E12" s="139">
        <f t="shared" si="0"/>
        <v>0</v>
      </c>
      <c r="F12" s="116" t="s">
        <v>229</v>
      </c>
      <c r="G12" s="139">
        <f>'6.tábla '!G13</f>
        <v>0</v>
      </c>
      <c r="H12" s="139">
        <f>'6.tábla '!H13</f>
        <v>110440</v>
      </c>
      <c r="I12" s="139">
        <f>'6.tábla '!I13</f>
        <v>110440</v>
      </c>
      <c r="J12" s="141">
        <f t="shared" si="1"/>
        <v>0</v>
      </c>
    </row>
    <row r="13" spans="1:10" ht="31.5" x14ac:dyDescent="0.25">
      <c r="A13" s="142"/>
      <c r="B13" s="139"/>
      <c r="C13" s="139"/>
      <c r="D13" s="139"/>
      <c r="E13" s="139">
        <f t="shared" si="0"/>
        <v>0</v>
      </c>
      <c r="F13" s="116" t="s">
        <v>221</v>
      </c>
      <c r="G13" s="139">
        <f>'6.tábla '!G14</f>
        <v>7405470</v>
      </c>
      <c r="H13" s="139">
        <f>'6.tábla '!H14</f>
        <v>13264590</v>
      </c>
      <c r="I13" s="139">
        <f>'6.tábla '!I14</f>
        <v>11311491</v>
      </c>
      <c r="J13" s="141">
        <f t="shared" si="1"/>
        <v>-1953099</v>
      </c>
    </row>
    <row r="14" spans="1:10" s="146" customFormat="1" ht="31.5" x14ac:dyDescent="0.25">
      <c r="A14" s="134" t="s">
        <v>160</v>
      </c>
      <c r="B14" s="144">
        <f>SUM(B4:B13)</f>
        <v>45947348</v>
      </c>
      <c r="C14" s="144">
        <f>SUM(C4:C13)</f>
        <v>46184828</v>
      </c>
      <c r="D14" s="144">
        <f>SUM(D4:D13)</f>
        <v>60343661</v>
      </c>
      <c r="E14" s="139">
        <f t="shared" si="0"/>
        <v>14158833</v>
      </c>
      <c r="F14" s="136" t="s">
        <v>161</v>
      </c>
      <c r="G14" s="144">
        <f>G4+G5+G6+G7+G8+G13</f>
        <v>54228277</v>
      </c>
      <c r="H14" s="144">
        <f>H4+H5+H6+H7+H8+H13</f>
        <v>61424313</v>
      </c>
      <c r="I14" s="144">
        <f>I4+I5+I6+I7+I8+I13</f>
        <v>72125525</v>
      </c>
      <c r="J14" s="141">
        <f t="shared" si="1"/>
        <v>10701212</v>
      </c>
    </row>
    <row r="15" spans="1:10" x14ac:dyDescent="0.25">
      <c r="A15" s="147" t="s">
        <v>162</v>
      </c>
      <c r="B15" s="139">
        <f>'6.tábla '!B53</f>
        <v>20000000</v>
      </c>
      <c r="C15" s="139">
        <f>'6.tábla '!C53</f>
        <v>28648541</v>
      </c>
      <c r="D15" s="139">
        <f>'6.tábla '!D53</f>
        <v>28648541</v>
      </c>
      <c r="E15" s="139">
        <f t="shared" si="0"/>
        <v>0</v>
      </c>
      <c r="F15" s="148" t="s">
        <v>163</v>
      </c>
      <c r="G15" s="139">
        <f>'6.tábla '!G17-G55</f>
        <v>2399591</v>
      </c>
      <c r="H15" s="139">
        <f>'6.tábla '!H17-H55</f>
        <v>2399591</v>
      </c>
      <c r="I15" s="139">
        <f>'6.tábla '!I17-I55</f>
        <v>2455354</v>
      </c>
      <c r="J15" s="139">
        <f>'6.tábla '!J17-J55</f>
        <v>55763</v>
      </c>
    </row>
    <row r="16" spans="1:10" ht="47.25" x14ac:dyDescent="0.25">
      <c r="A16" s="134" t="s">
        <v>164</v>
      </c>
      <c r="B16" s="144">
        <f>B14+B15</f>
        <v>65947348</v>
      </c>
      <c r="C16" s="144">
        <f>C14+C15</f>
        <v>74833369</v>
      </c>
      <c r="D16" s="144">
        <f>D14+D15</f>
        <v>88992202</v>
      </c>
      <c r="E16" s="139">
        <f t="shared" si="0"/>
        <v>14158833</v>
      </c>
      <c r="F16" s="136" t="s">
        <v>165</v>
      </c>
      <c r="G16" s="144">
        <f>G14+G15</f>
        <v>56627868</v>
      </c>
      <c r="H16" s="144">
        <f>H14+H15</f>
        <v>63823904</v>
      </c>
      <c r="I16" s="144">
        <f>I14+I15</f>
        <v>74580879</v>
      </c>
      <c r="J16" s="141">
        <f t="shared" si="1"/>
        <v>10756975</v>
      </c>
    </row>
    <row r="17" spans="1:10" x14ac:dyDescent="0.25">
      <c r="A17" s="134" t="s">
        <v>166</v>
      </c>
      <c r="B17" s="144"/>
      <c r="C17" s="144"/>
      <c r="D17" s="144"/>
      <c r="E17" s="139">
        <f t="shared" si="0"/>
        <v>0</v>
      </c>
      <c r="F17" s="144" t="s">
        <v>16</v>
      </c>
      <c r="G17" s="139"/>
      <c r="H17" s="139"/>
      <c r="I17" s="283"/>
      <c r="J17" s="141">
        <f t="shared" si="1"/>
        <v>0</v>
      </c>
    </row>
    <row r="18" spans="1:10" x14ac:dyDescent="0.25">
      <c r="A18" s="115" t="s">
        <v>339</v>
      </c>
      <c r="B18" s="139">
        <f>'1.tábla '!B7</f>
        <v>5000000</v>
      </c>
      <c r="C18" s="139">
        <f>'1.tábla '!C7</f>
        <v>13956854</v>
      </c>
      <c r="D18" s="139">
        <f>'1.tábla '!D7</f>
        <v>13956854</v>
      </c>
      <c r="E18" s="139">
        <f t="shared" si="0"/>
        <v>0</v>
      </c>
      <c r="F18" s="140" t="s">
        <v>119</v>
      </c>
      <c r="G18" s="139">
        <f>'6.tábla '!G28-G46</f>
        <v>9119196</v>
      </c>
      <c r="H18" s="139">
        <f>'6.tábla '!H28-H46</f>
        <v>9217399</v>
      </c>
      <c r="I18" s="139">
        <f>'6.tábla '!I28-I46</f>
        <v>14222020</v>
      </c>
      <c r="J18" s="141">
        <f t="shared" si="1"/>
        <v>5004621</v>
      </c>
    </row>
    <row r="19" spans="1:10" x14ac:dyDescent="0.25">
      <c r="A19" s="118" t="s">
        <v>167</v>
      </c>
      <c r="B19" s="139">
        <f>'6.tábla '!B29-B47</f>
        <v>0</v>
      </c>
      <c r="C19" s="139"/>
      <c r="D19" s="139"/>
      <c r="E19" s="139">
        <f t="shared" si="0"/>
        <v>0</v>
      </c>
      <c r="F19" s="140" t="s">
        <v>121</v>
      </c>
      <c r="G19" s="139"/>
      <c r="H19" s="139"/>
      <c r="I19" s="283"/>
      <c r="J19" s="141">
        <f t="shared" si="1"/>
        <v>0</v>
      </c>
    </row>
    <row r="20" spans="1:10" x14ac:dyDescent="0.25">
      <c r="A20" s="118" t="s">
        <v>340</v>
      </c>
      <c r="B20" s="139">
        <f>'6.tábla '!B30-B48</f>
        <v>0</v>
      </c>
      <c r="C20" s="139"/>
      <c r="D20" s="139">
        <f>'6.tábla '!D30</f>
        <v>3000000</v>
      </c>
      <c r="E20" s="139">
        <f t="shared" si="0"/>
        <v>3000000</v>
      </c>
      <c r="F20" s="140" t="s">
        <v>123</v>
      </c>
      <c r="G20" s="139">
        <f>'6.tábla '!G30</f>
        <v>5316875</v>
      </c>
      <c r="H20" s="139">
        <f>'6.tábla '!H30</f>
        <v>15865511</v>
      </c>
      <c r="I20" s="139">
        <f>'6.tábla '!I30</f>
        <v>17318511</v>
      </c>
      <c r="J20" s="141">
        <f t="shared" si="1"/>
        <v>1453000</v>
      </c>
    </row>
    <row r="21" spans="1:10" x14ac:dyDescent="0.25">
      <c r="A21" s="142"/>
      <c r="B21" s="139"/>
      <c r="C21" s="139"/>
      <c r="D21" s="139"/>
      <c r="E21" s="139">
        <f t="shared" si="0"/>
        <v>0</v>
      </c>
      <c r="F21" s="140" t="s">
        <v>169</v>
      </c>
      <c r="G21" s="139">
        <f>'6.tábla '!G31</f>
        <v>30885</v>
      </c>
      <c r="H21" s="139">
        <f>'6.tábla '!H31</f>
        <v>30885</v>
      </c>
      <c r="I21" s="139">
        <f>'6.tábla '!I31</f>
        <v>30885</v>
      </c>
      <c r="J21" s="141">
        <f t="shared" si="1"/>
        <v>0</v>
      </c>
    </row>
    <row r="22" spans="1:10" ht="31.5" x14ac:dyDescent="0.25">
      <c r="A22" s="142"/>
      <c r="B22" s="139"/>
      <c r="C22" s="139"/>
      <c r="D22" s="139"/>
      <c r="E22" s="139">
        <f t="shared" si="0"/>
        <v>0</v>
      </c>
      <c r="F22" s="140" t="s">
        <v>341</v>
      </c>
      <c r="G22" s="139"/>
      <c r="H22" s="139"/>
      <c r="I22" s="283"/>
      <c r="J22" s="141">
        <f t="shared" si="1"/>
        <v>0</v>
      </c>
    </row>
    <row r="23" spans="1:10" ht="31.5" x14ac:dyDescent="0.25">
      <c r="A23" s="142"/>
      <c r="B23" s="139"/>
      <c r="C23" s="139"/>
      <c r="D23" s="139"/>
      <c r="E23" s="139">
        <f t="shared" si="0"/>
        <v>0</v>
      </c>
      <c r="F23" s="149" t="s">
        <v>171</v>
      </c>
      <c r="G23" s="139"/>
      <c r="H23" s="139"/>
      <c r="I23" s="283"/>
      <c r="J23" s="141">
        <f t="shared" si="1"/>
        <v>0</v>
      </c>
    </row>
    <row r="24" spans="1:10" ht="30.75" customHeight="1" x14ac:dyDescent="0.25">
      <c r="A24" s="147"/>
      <c r="B24" s="139"/>
      <c r="C24" s="139"/>
      <c r="D24" s="139"/>
      <c r="E24" s="139">
        <f t="shared" si="0"/>
        <v>0</v>
      </c>
      <c r="F24" s="140" t="s">
        <v>172</v>
      </c>
      <c r="G24" s="139"/>
      <c r="H24" s="139"/>
      <c r="I24" s="283"/>
      <c r="J24" s="141">
        <f t="shared" si="1"/>
        <v>0</v>
      </c>
    </row>
    <row r="25" spans="1:10" s="146" customFormat="1" ht="31.5" x14ac:dyDescent="0.25">
      <c r="A25" s="134" t="s">
        <v>173</v>
      </c>
      <c r="B25" s="144">
        <f>SUM(B18:B24)</f>
        <v>5000000</v>
      </c>
      <c r="C25" s="144">
        <f>SUM(C18:C24)</f>
        <v>13956854</v>
      </c>
      <c r="D25" s="144">
        <f>SUM(D18:D24)</f>
        <v>16956854</v>
      </c>
      <c r="E25" s="139">
        <f t="shared" si="0"/>
        <v>3000000</v>
      </c>
      <c r="F25" s="136" t="s">
        <v>161</v>
      </c>
      <c r="G25" s="144">
        <f>SUM(G18:G24)</f>
        <v>14466956</v>
      </c>
      <c r="H25" s="144">
        <f>SUM(H18:H24)</f>
        <v>25113795</v>
      </c>
      <c r="I25" s="144">
        <f>SUM(I18:I24)</f>
        <v>31571416</v>
      </c>
      <c r="J25" s="141">
        <f t="shared" si="1"/>
        <v>6457621</v>
      </c>
    </row>
    <row r="26" spans="1:10" ht="15" customHeight="1" x14ac:dyDescent="0.25">
      <c r="A26" s="147" t="s">
        <v>162</v>
      </c>
      <c r="B26" s="139">
        <f>'6.tábla '!B19-B55</f>
        <v>907476</v>
      </c>
      <c r="C26" s="139">
        <f>'6.tábla '!C19-C55</f>
        <v>907476</v>
      </c>
      <c r="D26" s="139">
        <f>'6.tábla '!D19-D55</f>
        <v>963239</v>
      </c>
      <c r="E26" s="139">
        <f t="shared" si="0"/>
        <v>55763</v>
      </c>
      <c r="F26" s="148" t="s">
        <v>163</v>
      </c>
      <c r="G26" s="139">
        <f>'6.tábla '!G38</f>
        <v>0</v>
      </c>
      <c r="H26" s="139">
        <f>'6.tábla '!H38</f>
        <v>0</v>
      </c>
      <c r="I26" s="283"/>
      <c r="J26" s="141">
        <f t="shared" si="1"/>
        <v>0</v>
      </c>
    </row>
    <row r="27" spans="1:10" ht="48" thickBot="1" x14ac:dyDescent="0.3">
      <c r="A27" s="150" t="s">
        <v>174</v>
      </c>
      <c r="B27" s="151">
        <f>B25+B26</f>
        <v>5907476</v>
      </c>
      <c r="C27" s="151">
        <f>C25+C26</f>
        <v>14864330</v>
      </c>
      <c r="D27" s="151">
        <f>D25+D26</f>
        <v>17920093</v>
      </c>
      <c r="E27" s="139">
        <f t="shared" si="0"/>
        <v>3055763</v>
      </c>
      <c r="F27" s="152" t="s">
        <v>175</v>
      </c>
      <c r="G27" s="151">
        <f>G25+G26</f>
        <v>14466956</v>
      </c>
      <c r="H27" s="151">
        <f>H25+H26</f>
        <v>25113795</v>
      </c>
      <c r="I27" s="151">
        <f>I25+I26</f>
        <v>31571416</v>
      </c>
      <c r="J27" s="151">
        <f>J25+J26</f>
        <v>6457621</v>
      </c>
    </row>
    <row r="28" spans="1:10" x14ac:dyDescent="0.25">
      <c r="B28" s="131">
        <f>B27+B16</f>
        <v>71854824</v>
      </c>
      <c r="C28" s="131">
        <f>C27+C16</f>
        <v>89697699</v>
      </c>
      <c r="D28" s="131">
        <f>D27+D16</f>
        <v>106912295</v>
      </c>
      <c r="E28" s="139">
        <f t="shared" si="0"/>
        <v>17214596</v>
      </c>
      <c r="G28" s="131">
        <f>G27+G16</f>
        <v>71094824</v>
      </c>
      <c r="H28" s="131">
        <f>H27+H16</f>
        <v>88937699</v>
      </c>
      <c r="I28" s="131">
        <f>I27+I16</f>
        <v>106152295</v>
      </c>
      <c r="J28" s="141">
        <f t="shared" si="1"/>
        <v>17214596</v>
      </c>
    </row>
    <row r="29" spans="1:10" ht="15.75" customHeight="1" thickBot="1" x14ac:dyDescent="0.3">
      <c r="A29" s="344" t="s">
        <v>351</v>
      </c>
      <c r="B29" s="344"/>
      <c r="C29" s="344"/>
      <c r="D29" s="344"/>
      <c r="E29" s="344"/>
      <c r="F29" s="344"/>
      <c r="G29" s="344"/>
      <c r="H29" s="344"/>
      <c r="I29" s="344"/>
      <c r="J29" s="344"/>
    </row>
    <row r="30" spans="1:10" s="130" customFormat="1" ht="31.5" x14ac:dyDescent="0.25">
      <c r="A30" s="132" t="s">
        <v>99</v>
      </c>
      <c r="B30" s="35" t="s">
        <v>354</v>
      </c>
      <c r="C30" s="44" t="s">
        <v>322</v>
      </c>
      <c r="D30" s="279" t="s">
        <v>372</v>
      </c>
      <c r="E30" s="44" t="s">
        <v>323</v>
      </c>
      <c r="F30" s="133" t="s">
        <v>100</v>
      </c>
      <c r="G30" s="35" t="s">
        <v>354</v>
      </c>
      <c r="H30" s="44" t="s">
        <v>322</v>
      </c>
      <c r="I30" s="281" t="s">
        <v>372</v>
      </c>
      <c r="J30" s="45" t="s">
        <v>323</v>
      </c>
    </row>
    <row r="31" spans="1:10" x14ac:dyDescent="0.25">
      <c r="A31" s="134" t="s">
        <v>158</v>
      </c>
      <c r="B31" s="135"/>
      <c r="C31" s="135"/>
      <c r="D31" s="135"/>
      <c r="E31" s="135"/>
      <c r="F31" s="136" t="s">
        <v>15</v>
      </c>
      <c r="G31" s="139"/>
      <c r="H31" s="139"/>
      <c r="I31" s="283"/>
      <c r="J31" s="141"/>
    </row>
    <row r="32" spans="1:10" ht="31.5" x14ac:dyDescent="0.25">
      <c r="A32" s="138" t="s">
        <v>159</v>
      </c>
      <c r="B32" s="139"/>
      <c r="C32" s="139"/>
      <c r="D32" s="139"/>
      <c r="E32" s="139"/>
      <c r="F32" s="140" t="s">
        <v>90</v>
      </c>
      <c r="G32" s="139"/>
      <c r="H32" s="139"/>
      <c r="I32" s="283"/>
      <c r="J32" s="141"/>
    </row>
    <row r="33" spans="1:10" x14ac:dyDescent="0.25">
      <c r="A33" s="142" t="s">
        <v>102</v>
      </c>
      <c r="B33" s="139"/>
      <c r="C33" s="139"/>
      <c r="D33" s="139"/>
      <c r="E33" s="139"/>
      <c r="F33" s="140" t="s">
        <v>87</v>
      </c>
      <c r="G33" s="139"/>
      <c r="H33" s="139"/>
      <c r="I33" s="283"/>
      <c r="J33" s="141"/>
    </row>
    <row r="34" spans="1:10" x14ac:dyDescent="0.25">
      <c r="A34" s="142" t="s">
        <v>103</v>
      </c>
      <c r="B34" s="139">
        <f>'2.tábla'!B46</f>
        <v>0</v>
      </c>
      <c r="C34" s="139"/>
      <c r="D34" s="139"/>
      <c r="E34" s="139"/>
      <c r="F34" s="140" t="s">
        <v>88</v>
      </c>
      <c r="G34" s="139"/>
      <c r="H34" s="139"/>
      <c r="I34" s="283"/>
      <c r="J34" s="141"/>
    </row>
    <row r="35" spans="1:10" ht="31.5" x14ac:dyDescent="0.25">
      <c r="A35" s="115" t="s">
        <v>105</v>
      </c>
      <c r="B35" s="139"/>
      <c r="C35" s="139"/>
      <c r="D35" s="139"/>
      <c r="E35" s="139"/>
      <c r="F35" s="140" t="s">
        <v>91</v>
      </c>
      <c r="G35" s="139"/>
      <c r="H35" s="139"/>
      <c r="I35" s="283"/>
      <c r="J35" s="141"/>
    </row>
    <row r="36" spans="1:10" x14ac:dyDescent="0.25">
      <c r="A36" s="142"/>
      <c r="B36" s="139"/>
      <c r="C36" s="139"/>
      <c r="D36" s="139"/>
      <c r="E36" s="139"/>
      <c r="F36" s="140" t="s">
        <v>89</v>
      </c>
      <c r="G36" s="139"/>
      <c r="H36" s="139"/>
      <c r="I36" s="283"/>
      <c r="J36" s="141"/>
    </row>
    <row r="37" spans="1:10" x14ac:dyDescent="0.25">
      <c r="A37" s="142"/>
      <c r="B37" s="139"/>
      <c r="C37" s="139"/>
      <c r="D37" s="139"/>
      <c r="E37" s="139"/>
      <c r="F37" s="116" t="s">
        <v>226</v>
      </c>
      <c r="G37" s="139"/>
      <c r="H37" s="139"/>
      <c r="I37" s="283"/>
      <c r="J37" s="141"/>
    </row>
    <row r="38" spans="1:10" ht="31.5" x14ac:dyDescent="0.25">
      <c r="A38" s="142"/>
      <c r="B38" s="139"/>
      <c r="C38" s="139"/>
      <c r="D38" s="139"/>
      <c r="E38" s="139"/>
      <c r="F38" s="116" t="s">
        <v>336</v>
      </c>
      <c r="G38" s="139"/>
      <c r="H38" s="139"/>
      <c r="I38" s="283"/>
      <c r="J38" s="141"/>
    </row>
    <row r="39" spans="1:10" ht="31.5" x14ac:dyDescent="0.25">
      <c r="A39" s="138"/>
      <c r="B39" s="143"/>
      <c r="C39" s="143"/>
      <c r="D39" s="143"/>
      <c r="E39" s="143"/>
      <c r="F39" s="116" t="s">
        <v>337</v>
      </c>
      <c r="G39" s="139"/>
      <c r="H39" s="139"/>
      <c r="I39" s="283"/>
      <c r="J39" s="141"/>
    </row>
    <row r="40" spans="1:10" ht="30" customHeight="1" x14ac:dyDescent="0.25">
      <c r="A40" s="115"/>
      <c r="B40" s="139"/>
      <c r="C40" s="139"/>
      <c r="D40" s="139"/>
      <c r="E40" s="139"/>
      <c r="F40" s="116" t="s">
        <v>229</v>
      </c>
      <c r="G40" s="139">
        <f>'4.tábla'!B9</f>
        <v>760000</v>
      </c>
      <c r="H40" s="139">
        <v>760000</v>
      </c>
      <c r="I40" s="139">
        <v>760000</v>
      </c>
      <c r="J40" s="141">
        <f>I40-H40</f>
        <v>0</v>
      </c>
    </row>
    <row r="41" spans="1:10" ht="31.5" x14ac:dyDescent="0.25">
      <c r="A41" s="142"/>
      <c r="B41" s="139"/>
      <c r="C41" s="139"/>
      <c r="D41" s="139"/>
      <c r="E41" s="139"/>
      <c r="F41" s="116" t="s">
        <v>221</v>
      </c>
      <c r="G41" s="139"/>
      <c r="H41" s="139"/>
      <c r="I41" s="283"/>
      <c r="J41" s="141">
        <f t="shared" ref="J41:J44" si="2">I41-H41</f>
        <v>0</v>
      </c>
    </row>
    <row r="42" spans="1:10" ht="47.25" x14ac:dyDescent="0.25">
      <c r="A42" s="134" t="s">
        <v>176</v>
      </c>
      <c r="B42" s="144">
        <f>SUM(B32:B41)</f>
        <v>0</v>
      </c>
      <c r="C42" s="144"/>
      <c r="D42" s="144"/>
      <c r="E42" s="144"/>
      <c r="F42" s="136" t="s">
        <v>177</v>
      </c>
      <c r="G42" s="144">
        <f>SUM(G32:G41)</f>
        <v>760000</v>
      </c>
      <c r="H42" s="144">
        <f>SUM(H32:H41)</f>
        <v>760000</v>
      </c>
      <c r="I42" s="144">
        <f>SUM(I32:I41)</f>
        <v>760000</v>
      </c>
      <c r="J42" s="141">
        <f t="shared" si="2"/>
        <v>0</v>
      </c>
    </row>
    <row r="43" spans="1:10" x14ac:dyDescent="0.25">
      <c r="A43" s="147" t="s">
        <v>162</v>
      </c>
      <c r="B43" s="139"/>
      <c r="C43" s="139"/>
      <c r="D43" s="139"/>
      <c r="E43" s="139"/>
      <c r="F43" s="148" t="s">
        <v>163</v>
      </c>
      <c r="G43" s="139"/>
      <c r="H43" s="139"/>
      <c r="I43" s="283"/>
      <c r="J43" s="141">
        <f t="shared" si="2"/>
        <v>0</v>
      </c>
    </row>
    <row r="44" spans="1:10" ht="47.25" x14ac:dyDescent="0.25">
      <c r="A44" s="134" t="s">
        <v>178</v>
      </c>
      <c r="B44" s="144">
        <f>B42+B43</f>
        <v>0</v>
      </c>
      <c r="C44" s="144"/>
      <c r="D44" s="144"/>
      <c r="E44" s="144"/>
      <c r="F44" s="136" t="s">
        <v>179</v>
      </c>
      <c r="G44" s="144">
        <f>G42+G43</f>
        <v>760000</v>
      </c>
      <c r="H44" s="144">
        <f>H42+H43</f>
        <v>760000</v>
      </c>
      <c r="I44" s="144">
        <f>I42+I43</f>
        <v>760000</v>
      </c>
      <c r="J44" s="141">
        <f t="shared" si="2"/>
        <v>0</v>
      </c>
    </row>
    <row r="45" spans="1:10" x14ac:dyDescent="0.25">
      <c r="A45" s="134" t="s">
        <v>166</v>
      </c>
      <c r="B45" s="144"/>
      <c r="C45" s="144"/>
      <c r="D45" s="144"/>
      <c r="E45" s="144"/>
      <c r="F45" s="144" t="s">
        <v>16</v>
      </c>
      <c r="G45" s="139"/>
      <c r="H45" s="139"/>
      <c r="I45" s="283"/>
      <c r="J45" s="141">
        <f t="shared" ref="J45:J56" si="3">H45-G45</f>
        <v>0</v>
      </c>
    </row>
    <row r="46" spans="1:10" ht="31.5" x14ac:dyDescent="0.25">
      <c r="A46" s="115" t="s">
        <v>118</v>
      </c>
      <c r="B46" s="139"/>
      <c r="C46" s="139"/>
      <c r="D46" s="139"/>
      <c r="E46" s="139"/>
      <c r="F46" s="140" t="s">
        <v>119</v>
      </c>
      <c r="G46" s="139"/>
      <c r="H46" s="139"/>
      <c r="I46" s="283"/>
      <c r="J46" s="141">
        <f t="shared" si="3"/>
        <v>0</v>
      </c>
    </row>
    <row r="47" spans="1:10" x14ac:dyDescent="0.25">
      <c r="A47" s="118" t="s">
        <v>167</v>
      </c>
      <c r="B47" s="139">
        <f>'2.tábla'!B57</f>
        <v>0</v>
      </c>
      <c r="C47" s="139"/>
      <c r="D47" s="139"/>
      <c r="E47" s="139"/>
      <c r="F47" s="140" t="s">
        <v>121</v>
      </c>
      <c r="G47" s="139"/>
      <c r="H47" s="139"/>
      <c r="I47" s="283"/>
      <c r="J47" s="141">
        <f t="shared" si="3"/>
        <v>0</v>
      </c>
    </row>
    <row r="48" spans="1:10" ht="31.5" x14ac:dyDescent="0.25">
      <c r="A48" s="118" t="s">
        <v>168</v>
      </c>
      <c r="B48" s="139">
        <f>'2.tábla'!B66</f>
        <v>0</v>
      </c>
      <c r="C48" s="139"/>
      <c r="D48" s="139"/>
      <c r="E48" s="139"/>
      <c r="F48" s="140" t="s">
        <v>123</v>
      </c>
      <c r="G48" s="139"/>
      <c r="H48" s="139"/>
      <c r="I48" s="283"/>
      <c r="J48" s="141">
        <f t="shared" si="3"/>
        <v>0</v>
      </c>
    </row>
    <row r="49" spans="1:10" x14ac:dyDescent="0.25">
      <c r="A49" s="142"/>
      <c r="B49" s="139"/>
      <c r="C49" s="139"/>
      <c r="D49" s="139"/>
      <c r="E49" s="139"/>
      <c r="F49" s="140" t="s">
        <v>169</v>
      </c>
      <c r="G49" s="139"/>
      <c r="H49" s="139"/>
      <c r="I49" s="283"/>
      <c r="J49" s="141">
        <f t="shared" si="3"/>
        <v>0</v>
      </c>
    </row>
    <row r="50" spans="1:10" ht="31.5" x14ac:dyDescent="0.25">
      <c r="A50" s="142"/>
      <c r="B50" s="139"/>
      <c r="C50" s="139"/>
      <c r="D50" s="139"/>
      <c r="E50" s="139"/>
      <c r="F50" s="140" t="s">
        <v>170</v>
      </c>
      <c r="G50" s="139"/>
      <c r="H50" s="139"/>
      <c r="I50" s="283"/>
      <c r="J50" s="141">
        <f t="shared" si="3"/>
        <v>0</v>
      </c>
    </row>
    <row r="51" spans="1:10" ht="31.5" x14ac:dyDescent="0.25">
      <c r="A51" s="142"/>
      <c r="B51" s="139"/>
      <c r="C51" s="139"/>
      <c r="D51" s="139"/>
      <c r="E51" s="139"/>
      <c r="F51" s="149" t="s">
        <v>171</v>
      </c>
      <c r="G51" s="139"/>
      <c r="H51" s="139"/>
      <c r="I51" s="283"/>
      <c r="J51" s="141">
        <f t="shared" si="3"/>
        <v>0</v>
      </c>
    </row>
    <row r="52" spans="1:10" ht="28.5" customHeight="1" x14ac:dyDescent="0.25">
      <c r="A52" s="147"/>
      <c r="B52" s="139"/>
      <c r="C52" s="139"/>
      <c r="D52" s="139"/>
      <c r="E52" s="139"/>
      <c r="F52" s="116" t="s">
        <v>234</v>
      </c>
      <c r="G52" s="139"/>
      <c r="H52" s="139"/>
      <c r="I52" s="283"/>
      <c r="J52" s="141">
        <f t="shared" si="3"/>
        <v>0</v>
      </c>
    </row>
    <row r="53" spans="1:10" ht="27" customHeight="1" x14ac:dyDescent="0.25">
      <c r="A53" s="147"/>
      <c r="B53" s="139"/>
      <c r="C53" s="139"/>
      <c r="D53" s="139"/>
      <c r="E53" s="139"/>
      <c r="F53" s="116" t="s">
        <v>172</v>
      </c>
      <c r="G53" s="139"/>
      <c r="H53" s="139"/>
      <c r="I53" s="283"/>
      <c r="J53" s="141">
        <f t="shared" si="3"/>
        <v>0</v>
      </c>
    </row>
    <row r="54" spans="1:10" ht="47.25" x14ac:dyDescent="0.25">
      <c r="A54" s="134" t="s">
        <v>180</v>
      </c>
      <c r="B54" s="144">
        <f>SUM(B46:B52)</f>
        <v>0</v>
      </c>
      <c r="C54" s="144"/>
      <c r="D54" s="144"/>
      <c r="E54" s="144"/>
      <c r="F54" s="136" t="s">
        <v>181</v>
      </c>
      <c r="G54" s="144">
        <f>SUM(G46:G53)</f>
        <v>0</v>
      </c>
      <c r="H54" s="144">
        <f>SUM(H46:H53)</f>
        <v>0</v>
      </c>
      <c r="I54" s="284"/>
      <c r="J54" s="145">
        <f t="shared" si="3"/>
        <v>0</v>
      </c>
    </row>
    <row r="55" spans="1:10" x14ac:dyDescent="0.25">
      <c r="A55" s="147" t="s">
        <v>162</v>
      </c>
      <c r="B55" s="139">
        <f>'2.tábla'!B74</f>
        <v>0</v>
      </c>
      <c r="C55" s="139"/>
      <c r="D55" s="139"/>
      <c r="E55" s="139"/>
      <c r="F55" s="148" t="s">
        <v>163</v>
      </c>
      <c r="G55" s="139"/>
      <c r="H55" s="139"/>
      <c r="I55" s="283"/>
      <c r="J55" s="141">
        <f t="shared" si="3"/>
        <v>0</v>
      </c>
    </row>
    <row r="56" spans="1:10" ht="48" thickBot="1" x14ac:dyDescent="0.3">
      <c r="A56" s="150" t="s">
        <v>182</v>
      </c>
      <c r="B56" s="151">
        <f>B54+B55</f>
        <v>0</v>
      </c>
      <c r="C56" s="151"/>
      <c r="D56" s="151"/>
      <c r="E56" s="151"/>
      <c r="F56" s="152" t="s">
        <v>183</v>
      </c>
      <c r="G56" s="151">
        <f>G54+G55</f>
        <v>0</v>
      </c>
      <c r="H56" s="151">
        <f>H54+H55</f>
        <v>0</v>
      </c>
      <c r="I56" s="285"/>
      <c r="J56" s="145">
        <f t="shared" si="3"/>
        <v>0</v>
      </c>
    </row>
    <row r="57" spans="1:10" ht="15.75" customHeight="1" thickBot="1" x14ac:dyDescent="0.3">
      <c r="A57" s="344" t="s">
        <v>352</v>
      </c>
      <c r="B57" s="344"/>
      <c r="C57" s="344"/>
      <c r="D57" s="344"/>
      <c r="E57" s="344"/>
      <c r="F57" s="344"/>
      <c r="G57" s="344"/>
      <c r="H57" s="344"/>
      <c r="I57" s="344"/>
      <c r="J57" s="344"/>
    </row>
    <row r="58" spans="1:10" x14ac:dyDescent="0.25">
      <c r="A58" s="253"/>
      <c r="B58" s="254"/>
      <c r="C58" s="254"/>
      <c r="D58" s="254"/>
      <c r="E58" s="254"/>
      <c r="F58" s="254"/>
      <c r="G58" s="254"/>
      <c r="H58" s="254"/>
      <c r="I58" s="286"/>
      <c r="J58" s="255"/>
    </row>
    <row r="59" spans="1:10" s="130" customFormat="1" ht="31.5" x14ac:dyDescent="0.25">
      <c r="A59" s="134" t="s">
        <v>99</v>
      </c>
      <c r="B59" s="191" t="s">
        <v>354</v>
      </c>
      <c r="C59" s="192" t="s">
        <v>322</v>
      </c>
      <c r="D59" s="280" t="s">
        <v>372</v>
      </c>
      <c r="E59" s="192" t="s">
        <v>323</v>
      </c>
      <c r="F59" s="136" t="s">
        <v>100</v>
      </c>
      <c r="G59" s="191" t="s">
        <v>354</v>
      </c>
      <c r="H59" s="192" t="s">
        <v>322</v>
      </c>
      <c r="I59" s="287" t="s">
        <v>372</v>
      </c>
      <c r="J59" s="256" t="s">
        <v>323</v>
      </c>
    </row>
    <row r="60" spans="1:10" x14ac:dyDescent="0.25">
      <c r="A60" s="134" t="s">
        <v>158</v>
      </c>
      <c r="B60" s="135"/>
      <c r="C60" s="135"/>
      <c r="D60" s="135"/>
      <c r="E60" s="135"/>
      <c r="F60" s="136"/>
      <c r="G60" s="139"/>
      <c r="H60" s="139"/>
      <c r="I60" s="283"/>
      <c r="J60" s="141"/>
    </row>
    <row r="61" spans="1:10" ht="31.5" x14ac:dyDescent="0.25">
      <c r="A61" s="138" t="s">
        <v>159</v>
      </c>
      <c r="B61" s="139"/>
      <c r="C61" s="139"/>
      <c r="D61" s="139"/>
      <c r="E61" s="135"/>
      <c r="F61" s="140" t="s">
        <v>90</v>
      </c>
      <c r="G61" s="139"/>
      <c r="H61" s="139"/>
      <c r="I61" s="283"/>
      <c r="J61" s="141"/>
    </row>
    <row r="62" spans="1:10" x14ac:dyDescent="0.25">
      <c r="A62" s="142" t="s">
        <v>102</v>
      </c>
      <c r="B62" s="139"/>
      <c r="C62" s="139"/>
      <c r="D62" s="139"/>
      <c r="E62" s="135"/>
      <c r="F62" s="140" t="s">
        <v>87</v>
      </c>
      <c r="G62" s="139"/>
      <c r="H62" s="139"/>
      <c r="I62" s="283"/>
      <c r="J62" s="141"/>
    </row>
    <row r="63" spans="1:10" x14ac:dyDescent="0.25">
      <c r="A63" s="142" t="s">
        <v>103</v>
      </c>
      <c r="B63" s="139"/>
      <c r="C63" s="139"/>
      <c r="D63" s="139"/>
      <c r="E63" s="135"/>
      <c r="F63" s="140" t="s">
        <v>104</v>
      </c>
      <c r="G63" s="139"/>
      <c r="H63" s="139"/>
      <c r="I63" s="283"/>
      <c r="J63" s="141"/>
    </row>
    <row r="64" spans="1:10" ht="31.5" x14ac:dyDescent="0.25">
      <c r="A64" s="115" t="s">
        <v>105</v>
      </c>
      <c r="B64" s="139"/>
      <c r="C64" s="139"/>
      <c r="D64" s="139"/>
      <c r="E64" s="135"/>
      <c r="F64" s="140" t="s">
        <v>91</v>
      </c>
      <c r="G64" s="139"/>
      <c r="H64" s="139"/>
      <c r="I64" s="283"/>
      <c r="J64" s="141"/>
    </row>
    <row r="65" spans="1:10" x14ac:dyDescent="0.25">
      <c r="A65" s="142"/>
      <c r="B65" s="139"/>
      <c r="C65" s="139"/>
      <c r="D65" s="139"/>
      <c r="E65" s="135"/>
      <c r="F65" s="140" t="s">
        <v>89</v>
      </c>
      <c r="G65" s="139"/>
      <c r="H65" s="139"/>
      <c r="I65" s="283"/>
      <c r="J65" s="141"/>
    </row>
    <row r="66" spans="1:10" x14ac:dyDescent="0.25">
      <c r="A66" s="142"/>
      <c r="B66" s="139"/>
      <c r="C66" s="139"/>
      <c r="D66" s="139"/>
      <c r="E66" s="135"/>
      <c r="F66" s="116" t="s">
        <v>226</v>
      </c>
      <c r="G66" s="139"/>
      <c r="H66" s="139"/>
      <c r="I66" s="283"/>
      <c r="J66" s="141"/>
    </row>
    <row r="67" spans="1:10" ht="31.5" x14ac:dyDescent="0.25">
      <c r="A67" s="142"/>
      <c r="B67" s="139"/>
      <c r="C67" s="139"/>
      <c r="D67" s="139"/>
      <c r="E67" s="135"/>
      <c r="F67" s="116" t="s">
        <v>227</v>
      </c>
      <c r="G67" s="139"/>
      <c r="H67" s="139"/>
      <c r="I67" s="283"/>
      <c r="J67" s="141"/>
    </row>
    <row r="68" spans="1:10" ht="31.5" x14ac:dyDescent="0.25">
      <c r="A68" s="138"/>
      <c r="B68" s="143"/>
      <c r="C68" s="143"/>
      <c r="D68" s="143"/>
      <c r="E68" s="135"/>
      <c r="F68" s="116" t="s">
        <v>228</v>
      </c>
      <c r="G68" s="139"/>
      <c r="H68" s="139"/>
      <c r="I68" s="283"/>
      <c r="J68" s="141"/>
    </row>
    <row r="69" spans="1:10" ht="47.25" x14ac:dyDescent="0.25">
      <c r="A69" s="115"/>
      <c r="B69" s="139"/>
      <c r="C69" s="139"/>
      <c r="D69" s="139"/>
      <c r="E69" s="135"/>
      <c r="F69" s="116" t="s">
        <v>229</v>
      </c>
      <c r="G69" s="139"/>
      <c r="H69" s="139"/>
      <c r="I69" s="283"/>
      <c r="J69" s="141"/>
    </row>
    <row r="70" spans="1:10" ht="31.5" x14ac:dyDescent="0.25">
      <c r="A70" s="142"/>
      <c r="B70" s="139"/>
      <c r="C70" s="139"/>
      <c r="D70" s="139"/>
      <c r="E70" s="135"/>
      <c r="F70" s="116" t="s">
        <v>221</v>
      </c>
      <c r="G70" s="139"/>
      <c r="H70" s="139"/>
      <c r="I70" s="283"/>
      <c r="J70" s="141"/>
    </row>
    <row r="71" spans="1:10" ht="47.25" x14ac:dyDescent="0.25">
      <c r="A71" s="134" t="s">
        <v>184</v>
      </c>
      <c r="B71" s="144"/>
      <c r="C71" s="144"/>
      <c r="D71" s="144"/>
      <c r="E71" s="135"/>
      <c r="F71" s="136" t="s">
        <v>185</v>
      </c>
      <c r="G71" s="144">
        <f>SUM(G61:G70)</f>
        <v>0</v>
      </c>
      <c r="H71" s="139"/>
      <c r="I71" s="283"/>
      <c r="J71" s="141"/>
    </row>
    <row r="72" spans="1:10" x14ac:dyDescent="0.25">
      <c r="A72" s="147" t="s">
        <v>162</v>
      </c>
      <c r="B72" s="139"/>
      <c r="C72" s="139"/>
      <c r="D72" s="139"/>
      <c r="E72" s="135"/>
      <c r="F72" s="148" t="s">
        <v>163</v>
      </c>
      <c r="G72" s="139"/>
      <c r="H72" s="139"/>
      <c r="I72" s="283"/>
      <c r="J72" s="141"/>
    </row>
    <row r="73" spans="1:10" ht="63" x14ac:dyDescent="0.25">
      <c r="A73" s="134" t="s">
        <v>186</v>
      </c>
      <c r="B73" s="144"/>
      <c r="C73" s="144"/>
      <c r="D73" s="144"/>
      <c r="E73" s="135"/>
      <c r="F73" s="136" t="s">
        <v>187</v>
      </c>
      <c r="G73" s="144">
        <f>G71+G72</f>
        <v>0</v>
      </c>
      <c r="H73" s="139"/>
      <c r="I73" s="283"/>
      <c r="J73" s="141"/>
    </row>
    <row r="74" spans="1:10" x14ac:dyDescent="0.25">
      <c r="A74" s="134" t="s">
        <v>166</v>
      </c>
      <c r="B74" s="144"/>
      <c r="C74" s="144"/>
      <c r="D74" s="144"/>
      <c r="E74" s="135"/>
      <c r="F74" s="144" t="s">
        <v>16</v>
      </c>
      <c r="G74" s="139"/>
      <c r="H74" s="139"/>
      <c r="I74" s="283"/>
      <c r="J74" s="141"/>
    </row>
    <row r="75" spans="1:10" ht="31.5" x14ac:dyDescent="0.25">
      <c r="A75" s="115" t="s">
        <v>118</v>
      </c>
      <c r="B75" s="144"/>
      <c r="C75" s="144"/>
      <c r="D75" s="144"/>
      <c r="E75" s="135"/>
      <c r="F75" s="140" t="s">
        <v>119</v>
      </c>
      <c r="G75" s="139"/>
      <c r="H75" s="139"/>
      <c r="I75" s="283"/>
      <c r="J75" s="141"/>
    </row>
    <row r="76" spans="1:10" x14ac:dyDescent="0.25">
      <c r="A76" s="118" t="s">
        <v>167</v>
      </c>
      <c r="B76" s="139"/>
      <c r="C76" s="139"/>
      <c r="D76" s="139"/>
      <c r="E76" s="135"/>
      <c r="F76" s="140" t="s">
        <v>121</v>
      </c>
      <c r="G76" s="139"/>
      <c r="H76" s="139"/>
      <c r="I76" s="283"/>
      <c r="J76" s="141"/>
    </row>
    <row r="77" spans="1:10" ht="31.5" x14ac:dyDescent="0.25">
      <c r="A77" s="118" t="s">
        <v>168</v>
      </c>
      <c r="B77" s="136"/>
      <c r="C77" s="136"/>
      <c r="D77" s="136"/>
      <c r="E77" s="135"/>
      <c r="F77" s="140" t="s">
        <v>123</v>
      </c>
      <c r="G77" s="139"/>
      <c r="H77" s="139"/>
      <c r="I77" s="283"/>
      <c r="J77" s="141"/>
    </row>
    <row r="78" spans="1:10" x14ac:dyDescent="0.25">
      <c r="A78" s="142"/>
      <c r="B78" s="139"/>
      <c r="C78" s="139"/>
      <c r="D78" s="139"/>
      <c r="E78" s="135"/>
      <c r="F78" s="140" t="s">
        <v>169</v>
      </c>
      <c r="G78" s="139"/>
      <c r="H78" s="139"/>
      <c r="I78" s="283"/>
      <c r="J78" s="141"/>
    </row>
    <row r="79" spans="1:10" ht="47.25" x14ac:dyDescent="0.25">
      <c r="A79" s="134" t="s">
        <v>180</v>
      </c>
      <c r="B79" s="144"/>
      <c r="C79" s="144"/>
      <c r="D79" s="144"/>
      <c r="E79" s="135"/>
      <c r="F79" s="140" t="s">
        <v>170</v>
      </c>
      <c r="G79" s="139"/>
      <c r="H79" s="139"/>
      <c r="I79" s="283"/>
      <c r="J79" s="141"/>
    </row>
    <row r="80" spans="1:10" ht="31.5" x14ac:dyDescent="0.25">
      <c r="A80" s="147" t="s">
        <v>162</v>
      </c>
      <c r="B80" s="139"/>
      <c r="C80" s="139"/>
      <c r="D80" s="139"/>
      <c r="E80" s="135"/>
      <c r="F80" s="149" t="s">
        <v>171</v>
      </c>
      <c r="G80" s="139"/>
      <c r="H80" s="139"/>
      <c r="I80" s="283"/>
      <c r="J80" s="141"/>
    </row>
    <row r="81" spans="1:10" ht="47.25" x14ac:dyDescent="0.25">
      <c r="A81" s="147"/>
      <c r="B81" s="139"/>
      <c r="C81" s="139"/>
      <c r="D81" s="139"/>
      <c r="E81" s="135"/>
      <c r="F81" s="116" t="s">
        <v>127</v>
      </c>
      <c r="G81" s="139"/>
      <c r="H81" s="139"/>
      <c r="I81" s="283"/>
      <c r="J81" s="141"/>
    </row>
    <row r="82" spans="1:10" ht="63.75" thickBot="1" x14ac:dyDescent="0.3">
      <c r="A82" s="150" t="s">
        <v>188</v>
      </c>
      <c r="B82" s="151"/>
      <c r="C82" s="151"/>
      <c r="D82" s="151"/>
      <c r="E82" s="257"/>
      <c r="F82" s="152" t="s">
        <v>189</v>
      </c>
      <c r="G82" s="151">
        <f>SUM(G75:G81)</f>
        <v>0</v>
      </c>
      <c r="H82" s="153"/>
      <c r="I82" s="288"/>
      <c r="J82" s="154"/>
    </row>
    <row r="83" spans="1:10" x14ac:dyDescent="0.25">
      <c r="B83" s="131">
        <f>B82+B73+B56+B44+B27+B16</f>
        <v>71854824</v>
      </c>
      <c r="C83" s="131">
        <f>C82+C73+C56+C44+C27+C16</f>
        <v>89697699</v>
      </c>
      <c r="D83" s="131">
        <f>D82+D73+D56+D44+D27+D16</f>
        <v>106912295</v>
      </c>
      <c r="E83" s="131">
        <f>E82+E73+E56+E44+E27+E16</f>
        <v>17214596</v>
      </c>
      <c r="G83" s="131">
        <f>G82+G73+G56+G44+G27+G16</f>
        <v>71854824</v>
      </c>
      <c r="H83" s="131">
        <f>H82+H73+H56+H44+H27+H16</f>
        <v>89697699</v>
      </c>
      <c r="I83" s="131">
        <f>I82+I73+I56+I44+I27+I16</f>
        <v>106912295</v>
      </c>
      <c r="J83" s="131">
        <f>J82+J73+J56+J44+J27+J16</f>
        <v>17214596</v>
      </c>
    </row>
    <row r="84" spans="1:10" x14ac:dyDescent="0.25">
      <c r="A84" s="130" t="s">
        <v>235</v>
      </c>
      <c r="B84" s="131">
        <f>G83-B83</f>
        <v>0</v>
      </c>
    </row>
  </sheetData>
  <sheetProtection selectLockedCells="1" selectUnlockedCells="1"/>
  <mergeCells count="3">
    <mergeCell ref="A1:J1"/>
    <mergeCell ref="A29:J29"/>
    <mergeCell ref="A57:J57"/>
  </mergeCells>
  <phoneticPr fontId="20" type="noConversion"/>
  <printOptions horizontalCentered="1"/>
  <pageMargins left="0.15748031496062992" right="0.15748031496062992" top="0.75076923076923074" bottom="0.19685039370078741" header="0.11811023622047245" footer="0.51181102362204722"/>
  <pageSetup paperSize="9" scale="80" firstPageNumber="0" orientation="landscape" r:id="rId1"/>
  <headerFooter alignWithMargins="0">
    <oddHeader xml:space="preserve">&amp;C&amp;"Times New Roman,Normál"&amp;12 7. melléklet a 7/2018. (VI. 29.) önkormányzati rendelethez
Az önkormányzat 2018. évi költségvetéséről szóló 5/2016. (II.16.) önkormányzati rendelet 7. mellékletének helyébe a következő 7. melléklet lép: 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view="pageLayout" zoomScale="89" zoomScaleNormal="84" zoomScalePageLayoutView="89" workbookViewId="0">
      <selection activeCell="C17" sqref="C17"/>
    </sheetView>
  </sheetViews>
  <sheetFormatPr defaultRowHeight="12.75" x14ac:dyDescent="0.2"/>
  <cols>
    <col min="1" max="1" width="33.85546875" style="33" customWidth="1"/>
    <col min="2" max="2" width="13.140625" style="1" customWidth="1"/>
    <col min="3" max="11" width="11.140625" style="1" bestFit="1" customWidth="1"/>
    <col min="12" max="13" width="10.5703125" style="1" bestFit="1" customWidth="1"/>
    <col min="14" max="14" width="11.140625" style="2" bestFit="1" customWidth="1"/>
    <col min="15" max="15" width="13.5703125" style="1" customWidth="1"/>
    <col min="16" max="16" width="14.42578125" style="1" customWidth="1"/>
    <col min="17" max="17" width="11.7109375" style="1" bestFit="1" customWidth="1"/>
    <col min="18" max="256" width="9.140625" style="1"/>
    <col min="257" max="257" width="51" style="1" customWidth="1"/>
    <col min="258" max="259" width="11.85546875" style="1" bestFit="1" customWidth="1"/>
    <col min="260" max="265" width="13.28515625" style="1" bestFit="1" customWidth="1"/>
    <col min="266" max="266" width="16.140625" style="1" bestFit="1" customWidth="1"/>
    <col min="267" max="269" width="13.28515625" style="1" bestFit="1" customWidth="1"/>
    <col min="270" max="270" width="14.140625" style="1" bestFit="1" customWidth="1"/>
    <col min="271" max="512" width="9.140625" style="1"/>
    <col min="513" max="513" width="51" style="1" customWidth="1"/>
    <col min="514" max="515" width="11.85546875" style="1" bestFit="1" customWidth="1"/>
    <col min="516" max="521" width="13.28515625" style="1" bestFit="1" customWidth="1"/>
    <col min="522" max="522" width="16.140625" style="1" bestFit="1" customWidth="1"/>
    <col min="523" max="525" width="13.28515625" style="1" bestFit="1" customWidth="1"/>
    <col min="526" max="526" width="14.140625" style="1" bestFit="1" customWidth="1"/>
    <col min="527" max="768" width="9.140625" style="1"/>
    <col min="769" max="769" width="51" style="1" customWidth="1"/>
    <col min="770" max="771" width="11.85546875" style="1" bestFit="1" customWidth="1"/>
    <col min="772" max="777" width="13.28515625" style="1" bestFit="1" customWidth="1"/>
    <col min="778" max="778" width="16.140625" style="1" bestFit="1" customWidth="1"/>
    <col min="779" max="781" width="13.28515625" style="1" bestFit="1" customWidth="1"/>
    <col min="782" max="782" width="14.140625" style="1" bestFit="1" customWidth="1"/>
    <col min="783" max="1024" width="9.140625" style="1"/>
    <col min="1025" max="1025" width="51" style="1" customWidth="1"/>
    <col min="1026" max="1027" width="11.85546875" style="1" bestFit="1" customWidth="1"/>
    <col min="1028" max="1033" width="13.28515625" style="1" bestFit="1" customWidth="1"/>
    <col min="1034" max="1034" width="16.140625" style="1" bestFit="1" customWidth="1"/>
    <col min="1035" max="1037" width="13.28515625" style="1" bestFit="1" customWidth="1"/>
    <col min="1038" max="1038" width="14.140625" style="1" bestFit="1" customWidth="1"/>
    <col min="1039" max="1280" width="9.140625" style="1"/>
    <col min="1281" max="1281" width="51" style="1" customWidth="1"/>
    <col min="1282" max="1283" width="11.85546875" style="1" bestFit="1" customWidth="1"/>
    <col min="1284" max="1289" width="13.28515625" style="1" bestFit="1" customWidth="1"/>
    <col min="1290" max="1290" width="16.140625" style="1" bestFit="1" customWidth="1"/>
    <col min="1291" max="1293" width="13.28515625" style="1" bestFit="1" customWidth="1"/>
    <col min="1294" max="1294" width="14.140625" style="1" bestFit="1" customWidth="1"/>
    <col min="1295" max="1536" width="9.140625" style="1"/>
    <col min="1537" max="1537" width="51" style="1" customWidth="1"/>
    <col min="1538" max="1539" width="11.85546875" style="1" bestFit="1" customWidth="1"/>
    <col min="1540" max="1545" width="13.28515625" style="1" bestFit="1" customWidth="1"/>
    <col min="1546" max="1546" width="16.140625" style="1" bestFit="1" customWidth="1"/>
    <col min="1547" max="1549" width="13.28515625" style="1" bestFit="1" customWidth="1"/>
    <col min="1550" max="1550" width="14.140625" style="1" bestFit="1" customWidth="1"/>
    <col min="1551" max="1792" width="9.140625" style="1"/>
    <col min="1793" max="1793" width="51" style="1" customWidth="1"/>
    <col min="1794" max="1795" width="11.85546875" style="1" bestFit="1" customWidth="1"/>
    <col min="1796" max="1801" width="13.28515625" style="1" bestFit="1" customWidth="1"/>
    <col min="1802" max="1802" width="16.140625" style="1" bestFit="1" customWidth="1"/>
    <col min="1803" max="1805" width="13.28515625" style="1" bestFit="1" customWidth="1"/>
    <col min="1806" max="1806" width="14.140625" style="1" bestFit="1" customWidth="1"/>
    <col min="1807" max="2048" width="9.140625" style="1"/>
    <col min="2049" max="2049" width="51" style="1" customWidth="1"/>
    <col min="2050" max="2051" width="11.85546875" style="1" bestFit="1" customWidth="1"/>
    <col min="2052" max="2057" width="13.28515625" style="1" bestFit="1" customWidth="1"/>
    <col min="2058" max="2058" width="16.140625" style="1" bestFit="1" customWidth="1"/>
    <col min="2059" max="2061" width="13.28515625" style="1" bestFit="1" customWidth="1"/>
    <col min="2062" max="2062" width="14.140625" style="1" bestFit="1" customWidth="1"/>
    <col min="2063" max="2304" width="9.140625" style="1"/>
    <col min="2305" max="2305" width="51" style="1" customWidth="1"/>
    <col min="2306" max="2307" width="11.85546875" style="1" bestFit="1" customWidth="1"/>
    <col min="2308" max="2313" width="13.28515625" style="1" bestFit="1" customWidth="1"/>
    <col min="2314" max="2314" width="16.140625" style="1" bestFit="1" customWidth="1"/>
    <col min="2315" max="2317" width="13.28515625" style="1" bestFit="1" customWidth="1"/>
    <col min="2318" max="2318" width="14.140625" style="1" bestFit="1" customWidth="1"/>
    <col min="2319" max="2560" width="9.140625" style="1"/>
    <col min="2561" max="2561" width="51" style="1" customWidth="1"/>
    <col min="2562" max="2563" width="11.85546875" style="1" bestFit="1" customWidth="1"/>
    <col min="2564" max="2569" width="13.28515625" style="1" bestFit="1" customWidth="1"/>
    <col min="2570" max="2570" width="16.140625" style="1" bestFit="1" customWidth="1"/>
    <col min="2571" max="2573" width="13.28515625" style="1" bestFit="1" customWidth="1"/>
    <col min="2574" max="2574" width="14.140625" style="1" bestFit="1" customWidth="1"/>
    <col min="2575" max="2816" width="9.140625" style="1"/>
    <col min="2817" max="2817" width="51" style="1" customWidth="1"/>
    <col min="2818" max="2819" width="11.85546875" style="1" bestFit="1" customWidth="1"/>
    <col min="2820" max="2825" width="13.28515625" style="1" bestFit="1" customWidth="1"/>
    <col min="2826" max="2826" width="16.140625" style="1" bestFit="1" customWidth="1"/>
    <col min="2827" max="2829" width="13.28515625" style="1" bestFit="1" customWidth="1"/>
    <col min="2830" max="2830" width="14.140625" style="1" bestFit="1" customWidth="1"/>
    <col min="2831" max="3072" width="9.140625" style="1"/>
    <col min="3073" max="3073" width="51" style="1" customWidth="1"/>
    <col min="3074" max="3075" width="11.85546875" style="1" bestFit="1" customWidth="1"/>
    <col min="3076" max="3081" width="13.28515625" style="1" bestFit="1" customWidth="1"/>
    <col min="3082" max="3082" width="16.140625" style="1" bestFit="1" customWidth="1"/>
    <col min="3083" max="3085" width="13.28515625" style="1" bestFit="1" customWidth="1"/>
    <col min="3086" max="3086" width="14.140625" style="1" bestFit="1" customWidth="1"/>
    <col min="3087" max="3328" width="9.140625" style="1"/>
    <col min="3329" max="3329" width="51" style="1" customWidth="1"/>
    <col min="3330" max="3331" width="11.85546875" style="1" bestFit="1" customWidth="1"/>
    <col min="3332" max="3337" width="13.28515625" style="1" bestFit="1" customWidth="1"/>
    <col min="3338" max="3338" width="16.140625" style="1" bestFit="1" customWidth="1"/>
    <col min="3339" max="3341" width="13.28515625" style="1" bestFit="1" customWidth="1"/>
    <col min="3342" max="3342" width="14.140625" style="1" bestFit="1" customWidth="1"/>
    <col min="3343" max="3584" width="9.140625" style="1"/>
    <col min="3585" max="3585" width="51" style="1" customWidth="1"/>
    <col min="3586" max="3587" width="11.85546875" style="1" bestFit="1" customWidth="1"/>
    <col min="3588" max="3593" width="13.28515625" style="1" bestFit="1" customWidth="1"/>
    <col min="3594" max="3594" width="16.140625" style="1" bestFit="1" customWidth="1"/>
    <col min="3595" max="3597" width="13.28515625" style="1" bestFit="1" customWidth="1"/>
    <col min="3598" max="3598" width="14.140625" style="1" bestFit="1" customWidth="1"/>
    <col min="3599" max="3840" width="9.140625" style="1"/>
    <col min="3841" max="3841" width="51" style="1" customWidth="1"/>
    <col min="3842" max="3843" width="11.85546875" style="1" bestFit="1" customWidth="1"/>
    <col min="3844" max="3849" width="13.28515625" style="1" bestFit="1" customWidth="1"/>
    <col min="3850" max="3850" width="16.140625" style="1" bestFit="1" customWidth="1"/>
    <col min="3851" max="3853" width="13.28515625" style="1" bestFit="1" customWidth="1"/>
    <col min="3854" max="3854" width="14.140625" style="1" bestFit="1" customWidth="1"/>
    <col min="3855" max="4096" width="9.140625" style="1"/>
    <col min="4097" max="4097" width="51" style="1" customWidth="1"/>
    <col min="4098" max="4099" width="11.85546875" style="1" bestFit="1" customWidth="1"/>
    <col min="4100" max="4105" width="13.28515625" style="1" bestFit="1" customWidth="1"/>
    <col min="4106" max="4106" width="16.140625" style="1" bestFit="1" customWidth="1"/>
    <col min="4107" max="4109" width="13.28515625" style="1" bestFit="1" customWidth="1"/>
    <col min="4110" max="4110" width="14.140625" style="1" bestFit="1" customWidth="1"/>
    <col min="4111" max="4352" width="9.140625" style="1"/>
    <col min="4353" max="4353" width="51" style="1" customWidth="1"/>
    <col min="4354" max="4355" width="11.85546875" style="1" bestFit="1" customWidth="1"/>
    <col min="4356" max="4361" width="13.28515625" style="1" bestFit="1" customWidth="1"/>
    <col min="4362" max="4362" width="16.140625" style="1" bestFit="1" customWidth="1"/>
    <col min="4363" max="4365" width="13.28515625" style="1" bestFit="1" customWidth="1"/>
    <col min="4366" max="4366" width="14.140625" style="1" bestFit="1" customWidth="1"/>
    <col min="4367" max="4608" width="9.140625" style="1"/>
    <col min="4609" max="4609" width="51" style="1" customWidth="1"/>
    <col min="4610" max="4611" width="11.85546875" style="1" bestFit="1" customWidth="1"/>
    <col min="4612" max="4617" width="13.28515625" style="1" bestFit="1" customWidth="1"/>
    <col min="4618" max="4618" width="16.140625" style="1" bestFit="1" customWidth="1"/>
    <col min="4619" max="4621" width="13.28515625" style="1" bestFit="1" customWidth="1"/>
    <col min="4622" max="4622" width="14.140625" style="1" bestFit="1" customWidth="1"/>
    <col min="4623" max="4864" width="9.140625" style="1"/>
    <col min="4865" max="4865" width="51" style="1" customWidth="1"/>
    <col min="4866" max="4867" width="11.85546875" style="1" bestFit="1" customWidth="1"/>
    <col min="4868" max="4873" width="13.28515625" style="1" bestFit="1" customWidth="1"/>
    <col min="4874" max="4874" width="16.140625" style="1" bestFit="1" customWidth="1"/>
    <col min="4875" max="4877" width="13.28515625" style="1" bestFit="1" customWidth="1"/>
    <col min="4878" max="4878" width="14.140625" style="1" bestFit="1" customWidth="1"/>
    <col min="4879" max="5120" width="9.140625" style="1"/>
    <col min="5121" max="5121" width="51" style="1" customWidth="1"/>
    <col min="5122" max="5123" width="11.85546875" style="1" bestFit="1" customWidth="1"/>
    <col min="5124" max="5129" width="13.28515625" style="1" bestFit="1" customWidth="1"/>
    <col min="5130" max="5130" width="16.140625" style="1" bestFit="1" customWidth="1"/>
    <col min="5131" max="5133" width="13.28515625" style="1" bestFit="1" customWidth="1"/>
    <col min="5134" max="5134" width="14.140625" style="1" bestFit="1" customWidth="1"/>
    <col min="5135" max="5376" width="9.140625" style="1"/>
    <col min="5377" max="5377" width="51" style="1" customWidth="1"/>
    <col min="5378" max="5379" width="11.85546875" style="1" bestFit="1" customWidth="1"/>
    <col min="5380" max="5385" width="13.28515625" style="1" bestFit="1" customWidth="1"/>
    <col min="5386" max="5386" width="16.140625" style="1" bestFit="1" customWidth="1"/>
    <col min="5387" max="5389" width="13.28515625" style="1" bestFit="1" customWidth="1"/>
    <col min="5390" max="5390" width="14.140625" style="1" bestFit="1" customWidth="1"/>
    <col min="5391" max="5632" width="9.140625" style="1"/>
    <col min="5633" max="5633" width="51" style="1" customWidth="1"/>
    <col min="5634" max="5635" width="11.85546875" style="1" bestFit="1" customWidth="1"/>
    <col min="5636" max="5641" width="13.28515625" style="1" bestFit="1" customWidth="1"/>
    <col min="5642" max="5642" width="16.140625" style="1" bestFit="1" customWidth="1"/>
    <col min="5643" max="5645" width="13.28515625" style="1" bestFit="1" customWidth="1"/>
    <col min="5646" max="5646" width="14.140625" style="1" bestFit="1" customWidth="1"/>
    <col min="5647" max="5888" width="9.140625" style="1"/>
    <col min="5889" max="5889" width="51" style="1" customWidth="1"/>
    <col min="5890" max="5891" width="11.85546875" style="1" bestFit="1" customWidth="1"/>
    <col min="5892" max="5897" width="13.28515625" style="1" bestFit="1" customWidth="1"/>
    <col min="5898" max="5898" width="16.140625" style="1" bestFit="1" customWidth="1"/>
    <col min="5899" max="5901" width="13.28515625" style="1" bestFit="1" customWidth="1"/>
    <col min="5902" max="5902" width="14.140625" style="1" bestFit="1" customWidth="1"/>
    <col min="5903" max="6144" width="9.140625" style="1"/>
    <col min="6145" max="6145" width="51" style="1" customWidth="1"/>
    <col min="6146" max="6147" width="11.85546875" style="1" bestFit="1" customWidth="1"/>
    <col min="6148" max="6153" width="13.28515625" style="1" bestFit="1" customWidth="1"/>
    <col min="6154" max="6154" width="16.140625" style="1" bestFit="1" customWidth="1"/>
    <col min="6155" max="6157" width="13.28515625" style="1" bestFit="1" customWidth="1"/>
    <col min="6158" max="6158" width="14.140625" style="1" bestFit="1" customWidth="1"/>
    <col min="6159" max="6400" width="9.140625" style="1"/>
    <col min="6401" max="6401" width="51" style="1" customWidth="1"/>
    <col min="6402" max="6403" width="11.85546875" style="1" bestFit="1" customWidth="1"/>
    <col min="6404" max="6409" width="13.28515625" style="1" bestFit="1" customWidth="1"/>
    <col min="6410" max="6410" width="16.140625" style="1" bestFit="1" customWidth="1"/>
    <col min="6411" max="6413" width="13.28515625" style="1" bestFit="1" customWidth="1"/>
    <col min="6414" max="6414" width="14.140625" style="1" bestFit="1" customWidth="1"/>
    <col min="6415" max="6656" width="9.140625" style="1"/>
    <col min="6657" max="6657" width="51" style="1" customWidth="1"/>
    <col min="6658" max="6659" width="11.85546875" style="1" bestFit="1" customWidth="1"/>
    <col min="6660" max="6665" width="13.28515625" style="1" bestFit="1" customWidth="1"/>
    <col min="6666" max="6666" width="16.140625" style="1" bestFit="1" customWidth="1"/>
    <col min="6667" max="6669" width="13.28515625" style="1" bestFit="1" customWidth="1"/>
    <col min="6670" max="6670" width="14.140625" style="1" bestFit="1" customWidth="1"/>
    <col min="6671" max="6912" width="9.140625" style="1"/>
    <col min="6913" max="6913" width="51" style="1" customWidth="1"/>
    <col min="6914" max="6915" width="11.85546875" style="1" bestFit="1" customWidth="1"/>
    <col min="6916" max="6921" width="13.28515625" style="1" bestFit="1" customWidth="1"/>
    <col min="6922" max="6922" width="16.140625" style="1" bestFit="1" customWidth="1"/>
    <col min="6923" max="6925" width="13.28515625" style="1" bestFit="1" customWidth="1"/>
    <col min="6926" max="6926" width="14.140625" style="1" bestFit="1" customWidth="1"/>
    <col min="6927" max="7168" width="9.140625" style="1"/>
    <col min="7169" max="7169" width="51" style="1" customWidth="1"/>
    <col min="7170" max="7171" width="11.85546875" style="1" bestFit="1" customWidth="1"/>
    <col min="7172" max="7177" width="13.28515625" style="1" bestFit="1" customWidth="1"/>
    <col min="7178" max="7178" width="16.140625" style="1" bestFit="1" customWidth="1"/>
    <col min="7179" max="7181" width="13.28515625" style="1" bestFit="1" customWidth="1"/>
    <col min="7182" max="7182" width="14.140625" style="1" bestFit="1" customWidth="1"/>
    <col min="7183" max="7424" width="9.140625" style="1"/>
    <col min="7425" max="7425" width="51" style="1" customWidth="1"/>
    <col min="7426" max="7427" width="11.85546875" style="1" bestFit="1" customWidth="1"/>
    <col min="7428" max="7433" width="13.28515625" style="1" bestFit="1" customWidth="1"/>
    <col min="7434" max="7434" width="16.140625" style="1" bestFit="1" customWidth="1"/>
    <col min="7435" max="7437" width="13.28515625" style="1" bestFit="1" customWidth="1"/>
    <col min="7438" max="7438" width="14.140625" style="1" bestFit="1" customWidth="1"/>
    <col min="7439" max="7680" width="9.140625" style="1"/>
    <col min="7681" max="7681" width="51" style="1" customWidth="1"/>
    <col min="7682" max="7683" width="11.85546875" style="1" bestFit="1" customWidth="1"/>
    <col min="7684" max="7689" width="13.28515625" style="1" bestFit="1" customWidth="1"/>
    <col min="7690" max="7690" width="16.140625" style="1" bestFit="1" customWidth="1"/>
    <col min="7691" max="7693" width="13.28515625" style="1" bestFit="1" customWidth="1"/>
    <col min="7694" max="7694" width="14.140625" style="1" bestFit="1" customWidth="1"/>
    <col min="7695" max="7936" width="9.140625" style="1"/>
    <col min="7937" max="7937" width="51" style="1" customWidth="1"/>
    <col min="7938" max="7939" width="11.85546875" style="1" bestFit="1" customWidth="1"/>
    <col min="7940" max="7945" width="13.28515625" style="1" bestFit="1" customWidth="1"/>
    <col min="7946" max="7946" width="16.140625" style="1" bestFit="1" customWidth="1"/>
    <col min="7947" max="7949" width="13.28515625" style="1" bestFit="1" customWidth="1"/>
    <col min="7950" max="7950" width="14.140625" style="1" bestFit="1" customWidth="1"/>
    <col min="7951" max="8192" width="9.140625" style="1"/>
    <col min="8193" max="8193" width="51" style="1" customWidth="1"/>
    <col min="8194" max="8195" width="11.85546875" style="1" bestFit="1" customWidth="1"/>
    <col min="8196" max="8201" width="13.28515625" style="1" bestFit="1" customWidth="1"/>
    <col min="8202" max="8202" width="16.140625" style="1" bestFit="1" customWidth="1"/>
    <col min="8203" max="8205" width="13.28515625" style="1" bestFit="1" customWidth="1"/>
    <col min="8206" max="8206" width="14.140625" style="1" bestFit="1" customWidth="1"/>
    <col min="8207" max="8448" width="9.140625" style="1"/>
    <col min="8449" max="8449" width="51" style="1" customWidth="1"/>
    <col min="8450" max="8451" width="11.85546875" style="1" bestFit="1" customWidth="1"/>
    <col min="8452" max="8457" width="13.28515625" style="1" bestFit="1" customWidth="1"/>
    <col min="8458" max="8458" width="16.140625" style="1" bestFit="1" customWidth="1"/>
    <col min="8459" max="8461" width="13.28515625" style="1" bestFit="1" customWidth="1"/>
    <col min="8462" max="8462" width="14.140625" style="1" bestFit="1" customWidth="1"/>
    <col min="8463" max="8704" width="9.140625" style="1"/>
    <col min="8705" max="8705" width="51" style="1" customWidth="1"/>
    <col min="8706" max="8707" width="11.85546875" style="1" bestFit="1" customWidth="1"/>
    <col min="8708" max="8713" width="13.28515625" style="1" bestFit="1" customWidth="1"/>
    <col min="8714" max="8714" width="16.140625" style="1" bestFit="1" customWidth="1"/>
    <col min="8715" max="8717" width="13.28515625" style="1" bestFit="1" customWidth="1"/>
    <col min="8718" max="8718" width="14.140625" style="1" bestFit="1" customWidth="1"/>
    <col min="8719" max="8960" width="9.140625" style="1"/>
    <col min="8961" max="8961" width="51" style="1" customWidth="1"/>
    <col min="8962" max="8963" width="11.85546875" style="1" bestFit="1" customWidth="1"/>
    <col min="8964" max="8969" width="13.28515625" style="1" bestFit="1" customWidth="1"/>
    <col min="8970" max="8970" width="16.140625" style="1" bestFit="1" customWidth="1"/>
    <col min="8971" max="8973" width="13.28515625" style="1" bestFit="1" customWidth="1"/>
    <col min="8974" max="8974" width="14.140625" style="1" bestFit="1" customWidth="1"/>
    <col min="8975" max="9216" width="9.140625" style="1"/>
    <col min="9217" max="9217" width="51" style="1" customWidth="1"/>
    <col min="9218" max="9219" width="11.85546875" style="1" bestFit="1" customWidth="1"/>
    <col min="9220" max="9225" width="13.28515625" style="1" bestFit="1" customWidth="1"/>
    <col min="9226" max="9226" width="16.140625" style="1" bestFit="1" customWidth="1"/>
    <col min="9227" max="9229" width="13.28515625" style="1" bestFit="1" customWidth="1"/>
    <col min="9230" max="9230" width="14.140625" style="1" bestFit="1" customWidth="1"/>
    <col min="9231" max="9472" width="9.140625" style="1"/>
    <col min="9473" max="9473" width="51" style="1" customWidth="1"/>
    <col min="9474" max="9475" width="11.85546875" style="1" bestFit="1" customWidth="1"/>
    <col min="9476" max="9481" width="13.28515625" style="1" bestFit="1" customWidth="1"/>
    <col min="9482" max="9482" width="16.140625" style="1" bestFit="1" customWidth="1"/>
    <col min="9483" max="9485" width="13.28515625" style="1" bestFit="1" customWidth="1"/>
    <col min="9486" max="9486" width="14.140625" style="1" bestFit="1" customWidth="1"/>
    <col min="9487" max="9728" width="9.140625" style="1"/>
    <col min="9729" max="9729" width="51" style="1" customWidth="1"/>
    <col min="9730" max="9731" width="11.85546875" style="1" bestFit="1" customWidth="1"/>
    <col min="9732" max="9737" width="13.28515625" style="1" bestFit="1" customWidth="1"/>
    <col min="9738" max="9738" width="16.140625" style="1" bestFit="1" customWidth="1"/>
    <col min="9739" max="9741" width="13.28515625" style="1" bestFit="1" customWidth="1"/>
    <col min="9742" max="9742" width="14.140625" style="1" bestFit="1" customWidth="1"/>
    <col min="9743" max="9984" width="9.140625" style="1"/>
    <col min="9985" max="9985" width="51" style="1" customWidth="1"/>
    <col min="9986" max="9987" width="11.85546875" style="1" bestFit="1" customWidth="1"/>
    <col min="9988" max="9993" width="13.28515625" style="1" bestFit="1" customWidth="1"/>
    <col min="9994" max="9994" width="16.140625" style="1" bestFit="1" customWidth="1"/>
    <col min="9995" max="9997" width="13.28515625" style="1" bestFit="1" customWidth="1"/>
    <col min="9998" max="9998" width="14.140625" style="1" bestFit="1" customWidth="1"/>
    <col min="9999" max="10240" width="9.140625" style="1"/>
    <col min="10241" max="10241" width="51" style="1" customWidth="1"/>
    <col min="10242" max="10243" width="11.85546875" style="1" bestFit="1" customWidth="1"/>
    <col min="10244" max="10249" width="13.28515625" style="1" bestFit="1" customWidth="1"/>
    <col min="10250" max="10250" width="16.140625" style="1" bestFit="1" customWidth="1"/>
    <col min="10251" max="10253" width="13.28515625" style="1" bestFit="1" customWidth="1"/>
    <col min="10254" max="10254" width="14.140625" style="1" bestFit="1" customWidth="1"/>
    <col min="10255" max="10496" width="9.140625" style="1"/>
    <col min="10497" max="10497" width="51" style="1" customWidth="1"/>
    <col min="10498" max="10499" width="11.85546875" style="1" bestFit="1" customWidth="1"/>
    <col min="10500" max="10505" width="13.28515625" style="1" bestFit="1" customWidth="1"/>
    <col min="10506" max="10506" width="16.140625" style="1" bestFit="1" customWidth="1"/>
    <col min="10507" max="10509" width="13.28515625" style="1" bestFit="1" customWidth="1"/>
    <col min="10510" max="10510" width="14.140625" style="1" bestFit="1" customWidth="1"/>
    <col min="10511" max="10752" width="9.140625" style="1"/>
    <col min="10753" max="10753" width="51" style="1" customWidth="1"/>
    <col min="10754" max="10755" width="11.85546875" style="1" bestFit="1" customWidth="1"/>
    <col min="10756" max="10761" width="13.28515625" style="1" bestFit="1" customWidth="1"/>
    <col min="10762" max="10762" width="16.140625" style="1" bestFit="1" customWidth="1"/>
    <col min="10763" max="10765" width="13.28515625" style="1" bestFit="1" customWidth="1"/>
    <col min="10766" max="10766" width="14.140625" style="1" bestFit="1" customWidth="1"/>
    <col min="10767" max="11008" width="9.140625" style="1"/>
    <col min="11009" max="11009" width="51" style="1" customWidth="1"/>
    <col min="11010" max="11011" width="11.85546875" style="1" bestFit="1" customWidth="1"/>
    <col min="11012" max="11017" width="13.28515625" style="1" bestFit="1" customWidth="1"/>
    <col min="11018" max="11018" width="16.140625" style="1" bestFit="1" customWidth="1"/>
    <col min="11019" max="11021" width="13.28515625" style="1" bestFit="1" customWidth="1"/>
    <col min="11022" max="11022" width="14.140625" style="1" bestFit="1" customWidth="1"/>
    <col min="11023" max="11264" width="9.140625" style="1"/>
    <col min="11265" max="11265" width="51" style="1" customWidth="1"/>
    <col min="11266" max="11267" width="11.85546875" style="1" bestFit="1" customWidth="1"/>
    <col min="11268" max="11273" width="13.28515625" style="1" bestFit="1" customWidth="1"/>
    <col min="11274" max="11274" width="16.140625" style="1" bestFit="1" customWidth="1"/>
    <col min="11275" max="11277" width="13.28515625" style="1" bestFit="1" customWidth="1"/>
    <col min="11278" max="11278" width="14.140625" style="1" bestFit="1" customWidth="1"/>
    <col min="11279" max="11520" width="9.140625" style="1"/>
    <col min="11521" max="11521" width="51" style="1" customWidth="1"/>
    <col min="11522" max="11523" width="11.85546875" style="1" bestFit="1" customWidth="1"/>
    <col min="11524" max="11529" width="13.28515625" style="1" bestFit="1" customWidth="1"/>
    <col min="11530" max="11530" width="16.140625" style="1" bestFit="1" customWidth="1"/>
    <col min="11531" max="11533" width="13.28515625" style="1" bestFit="1" customWidth="1"/>
    <col min="11534" max="11534" width="14.140625" style="1" bestFit="1" customWidth="1"/>
    <col min="11535" max="11776" width="9.140625" style="1"/>
    <col min="11777" max="11777" width="51" style="1" customWidth="1"/>
    <col min="11778" max="11779" width="11.85546875" style="1" bestFit="1" customWidth="1"/>
    <col min="11780" max="11785" width="13.28515625" style="1" bestFit="1" customWidth="1"/>
    <col min="11786" max="11786" width="16.140625" style="1" bestFit="1" customWidth="1"/>
    <col min="11787" max="11789" width="13.28515625" style="1" bestFit="1" customWidth="1"/>
    <col min="11790" max="11790" width="14.140625" style="1" bestFit="1" customWidth="1"/>
    <col min="11791" max="12032" width="9.140625" style="1"/>
    <col min="12033" max="12033" width="51" style="1" customWidth="1"/>
    <col min="12034" max="12035" width="11.85546875" style="1" bestFit="1" customWidth="1"/>
    <col min="12036" max="12041" width="13.28515625" style="1" bestFit="1" customWidth="1"/>
    <col min="12042" max="12042" width="16.140625" style="1" bestFit="1" customWidth="1"/>
    <col min="12043" max="12045" width="13.28515625" style="1" bestFit="1" customWidth="1"/>
    <col min="12046" max="12046" width="14.140625" style="1" bestFit="1" customWidth="1"/>
    <col min="12047" max="12288" width="9.140625" style="1"/>
    <col min="12289" max="12289" width="51" style="1" customWidth="1"/>
    <col min="12290" max="12291" width="11.85546875" style="1" bestFit="1" customWidth="1"/>
    <col min="12292" max="12297" width="13.28515625" style="1" bestFit="1" customWidth="1"/>
    <col min="12298" max="12298" width="16.140625" style="1" bestFit="1" customWidth="1"/>
    <col min="12299" max="12301" width="13.28515625" style="1" bestFit="1" customWidth="1"/>
    <col min="12302" max="12302" width="14.140625" style="1" bestFit="1" customWidth="1"/>
    <col min="12303" max="12544" width="9.140625" style="1"/>
    <col min="12545" max="12545" width="51" style="1" customWidth="1"/>
    <col min="12546" max="12547" width="11.85546875" style="1" bestFit="1" customWidth="1"/>
    <col min="12548" max="12553" width="13.28515625" style="1" bestFit="1" customWidth="1"/>
    <col min="12554" max="12554" width="16.140625" style="1" bestFit="1" customWidth="1"/>
    <col min="12555" max="12557" width="13.28515625" style="1" bestFit="1" customWidth="1"/>
    <col min="12558" max="12558" width="14.140625" style="1" bestFit="1" customWidth="1"/>
    <col min="12559" max="12800" width="9.140625" style="1"/>
    <col min="12801" max="12801" width="51" style="1" customWidth="1"/>
    <col min="12802" max="12803" width="11.85546875" style="1" bestFit="1" customWidth="1"/>
    <col min="12804" max="12809" width="13.28515625" style="1" bestFit="1" customWidth="1"/>
    <col min="12810" max="12810" width="16.140625" style="1" bestFit="1" customWidth="1"/>
    <col min="12811" max="12813" width="13.28515625" style="1" bestFit="1" customWidth="1"/>
    <col min="12814" max="12814" width="14.140625" style="1" bestFit="1" customWidth="1"/>
    <col min="12815" max="13056" width="9.140625" style="1"/>
    <col min="13057" max="13057" width="51" style="1" customWidth="1"/>
    <col min="13058" max="13059" width="11.85546875" style="1" bestFit="1" customWidth="1"/>
    <col min="13060" max="13065" width="13.28515625" style="1" bestFit="1" customWidth="1"/>
    <col min="13066" max="13066" width="16.140625" style="1" bestFit="1" customWidth="1"/>
    <col min="13067" max="13069" width="13.28515625" style="1" bestFit="1" customWidth="1"/>
    <col min="13070" max="13070" width="14.140625" style="1" bestFit="1" customWidth="1"/>
    <col min="13071" max="13312" width="9.140625" style="1"/>
    <col min="13313" max="13313" width="51" style="1" customWidth="1"/>
    <col min="13314" max="13315" width="11.85546875" style="1" bestFit="1" customWidth="1"/>
    <col min="13316" max="13321" width="13.28515625" style="1" bestFit="1" customWidth="1"/>
    <col min="13322" max="13322" width="16.140625" style="1" bestFit="1" customWidth="1"/>
    <col min="13323" max="13325" width="13.28515625" style="1" bestFit="1" customWidth="1"/>
    <col min="13326" max="13326" width="14.140625" style="1" bestFit="1" customWidth="1"/>
    <col min="13327" max="13568" width="9.140625" style="1"/>
    <col min="13569" max="13569" width="51" style="1" customWidth="1"/>
    <col min="13570" max="13571" width="11.85546875" style="1" bestFit="1" customWidth="1"/>
    <col min="13572" max="13577" width="13.28515625" style="1" bestFit="1" customWidth="1"/>
    <col min="13578" max="13578" width="16.140625" style="1" bestFit="1" customWidth="1"/>
    <col min="13579" max="13581" width="13.28515625" style="1" bestFit="1" customWidth="1"/>
    <col min="13582" max="13582" width="14.140625" style="1" bestFit="1" customWidth="1"/>
    <col min="13583" max="13824" width="9.140625" style="1"/>
    <col min="13825" max="13825" width="51" style="1" customWidth="1"/>
    <col min="13826" max="13827" width="11.85546875" style="1" bestFit="1" customWidth="1"/>
    <col min="13828" max="13833" width="13.28515625" style="1" bestFit="1" customWidth="1"/>
    <col min="13834" max="13834" width="16.140625" style="1" bestFit="1" customWidth="1"/>
    <col min="13835" max="13837" width="13.28515625" style="1" bestFit="1" customWidth="1"/>
    <col min="13838" max="13838" width="14.140625" style="1" bestFit="1" customWidth="1"/>
    <col min="13839" max="14080" width="9.140625" style="1"/>
    <col min="14081" max="14081" width="51" style="1" customWidth="1"/>
    <col min="14082" max="14083" width="11.85546875" style="1" bestFit="1" customWidth="1"/>
    <col min="14084" max="14089" width="13.28515625" style="1" bestFit="1" customWidth="1"/>
    <col min="14090" max="14090" width="16.140625" style="1" bestFit="1" customWidth="1"/>
    <col min="14091" max="14093" width="13.28515625" style="1" bestFit="1" customWidth="1"/>
    <col min="14094" max="14094" width="14.140625" style="1" bestFit="1" customWidth="1"/>
    <col min="14095" max="14336" width="9.140625" style="1"/>
    <col min="14337" max="14337" width="51" style="1" customWidth="1"/>
    <col min="14338" max="14339" width="11.85546875" style="1" bestFit="1" customWidth="1"/>
    <col min="14340" max="14345" width="13.28515625" style="1" bestFit="1" customWidth="1"/>
    <col min="14346" max="14346" width="16.140625" style="1" bestFit="1" customWidth="1"/>
    <col min="14347" max="14349" width="13.28515625" style="1" bestFit="1" customWidth="1"/>
    <col min="14350" max="14350" width="14.140625" style="1" bestFit="1" customWidth="1"/>
    <col min="14351" max="14592" width="9.140625" style="1"/>
    <col min="14593" max="14593" width="51" style="1" customWidth="1"/>
    <col min="14594" max="14595" width="11.85546875" style="1" bestFit="1" customWidth="1"/>
    <col min="14596" max="14601" width="13.28515625" style="1" bestFit="1" customWidth="1"/>
    <col min="14602" max="14602" width="16.140625" style="1" bestFit="1" customWidth="1"/>
    <col min="14603" max="14605" width="13.28515625" style="1" bestFit="1" customWidth="1"/>
    <col min="14606" max="14606" width="14.140625" style="1" bestFit="1" customWidth="1"/>
    <col min="14607" max="14848" width="9.140625" style="1"/>
    <col min="14849" max="14849" width="51" style="1" customWidth="1"/>
    <col min="14850" max="14851" width="11.85546875" style="1" bestFit="1" customWidth="1"/>
    <col min="14852" max="14857" width="13.28515625" style="1" bestFit="1" customWidth="1"/>
    <col min="14858" max="14858" width="16.140625" style="1" bestFit="1" customWidth="1"/>
    <col min="14859" max="14861" width="13.28515625" style="1" bestFit="1" customWidth="1"/>
    <col min="14862" max="14862" width="14.140625" style="1" bestFit="1" customWidth="1"/>
    <col min="14863" max="15104" width="9.140625" style="1"/>
    <col min="15105" max="15105" width="51" style="1" customWidth="1"/>
    <col min="15106" max="15107" width="11.85546875" style="1" bestFit="1" customWidth="1"/>
    <col min="15108" max="15113" width="13.28515625" style="1" bestFit="1" customWidth="1"/>
    <col min="15114" max="15114" width="16.140625" style="1" bestFit="1" customWidth="1"/>
    <col min="15115" max="15117" width="13.28515625" style="1" bestFit="1" customWidth="1"/>
    <col min="15118" max="15118" width="14.140625" style="1" bestFit="1" customWidth="1"/>
    <col min="15119" max="15360" width="9.140625" style="1"/>
    <col min="15361" max="15361" width="51" style="1" customWidth="1"/>
    <col min="15362" max="15363" width="11.85546875" style="1" bestFit="1" customWidth="1"/>
    <col min="15364" max="15369" width="13.28515625" style="1" bestFit="1" customWidth="1"/>
    <col min="15370" max="15370" width="16.140625" style="1" bestFit="1" customWidth="1"/>
    <col min="15371" max="15373" width="13.28515625" style="1" bestFit="1" customWidth="1"/>
    <col min="15374" max="15374" width="14.140625" style="1" bestFit="1" customWidth="1"/>
    <col min="15375" max="15616" width="9.140625" style="1"/>
    <col min="15617" max="15617" width="51" style="1" customWidth="1"/>
    <col min="15618" max="15619" width="11.85546875" style="1" bestFit="1" customWidth="1"/>
    <col min="15620" max="15625" width="13.28515625" style="1" bestFit="1" customWidth="1"/>
    <col min="15626" max="15626" width="16.140625" style="1" bestFit="1" customWidth="1"/>
    <col min="15627" max="15629" width="13.28515625" style="1" bestFit="1" customWidth="1"/>
    <col min="15630" max="15630" width="14.140625" style="1" bestFit="1" customWidth="1"/>
    <col min="15631" max="15872" width="9.140625" style="1"/>
    <col min="15873" max="15873" width="51" style="1" customWidth="1"/>
    <col min="15874" max="15875" width="11.85546875" style="1" bestFit="1" customWidth="1"/>
    <col min="15876" max="15881" width="13.28515625" style="1" bestFit="1" customWidth="1"/>
    <col min="15882" max="15882" width="16.140625" style="1" bestFit="1" customWidth="1"/>
    <col min="15883" max="15885" width="13.28515625" style="1" bestFit="1" customWidth="1"/>
    <col min="15886" max="15886" width="14.140625" style="1" bestFit="1" customWidth="1"/>
    <col min="15887" max="16128" width="9.140625" style="1"/>
    <col min="16129" max="16129" width="51" style="1" customWidth="1"/>
    <col min="16130" max="16131" width="11.85546875" style="1" bestFit="1" customWidth="1"/>
    <col min="16132" max="16137" width="13.28515625" style="1" bestFit="1" customWidth="1"/>
    <col min="16138" max="16138" width="16.140625" style="1" bestFit="1" customWidth="1"/>
    <col min="16139" max="16141" width="13.28515625" style="1" bestFit="1" customWidth="1"/>
    <col min="16142" max="16142" width="14.140625" style="1" bestFit="1" customWidth="1"/>
    <col min="16143" max="16384" width="9.140625" style="1"/>
  </cols>
  <sheetData>
    <row r="1" spans="1:17" x14ac:dyDescent="0.2">
      <c r="A1" s="28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spans="1:17" ht="13.5" thickBot="1" x14ac:dyDescent="0.25">
      <c r="A2" s="28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345"/>
      <c r="N2" s="345"/>
    </row>
    <row r="3" spans="1:17" x14ac:dyDescent="0.2">
      <c r="A3" s="346" t="s">
        <v>370</v>
      </c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8"/>
    </row>
    <row r="4" spans="1:17" x14ac:dyDescent="0.2">
      <c r="A4" s="29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4"/>
    </row>
    <row r="5" spans="1:17" s="2" customFormat="1" ht="25.5" x14ac:dyDescent="0.2">
      <c r="A5" s="30" t="s">
        <v>84</v>
      </c>
      <c r="B5" s="23" t="s">
        <v>190</v>
      </c>
      <c r="C5" s="23" t="s">
        <v>191</v>
      </c>
      <c r="D5" s="23" t="s">
        <v>192</v>
      </c>
      <c r="E5" s="23" t="s">
        <v>193</v>
      </c>
      <c r="F5" s="23" t="s">
        <v>194</v>
      </c>
      <c r="G5" s="23" t="s">
        <v>195</v>
      </c>
      <c r="H5" s="23" t="s">
        <v>196</v>
      </c>
      <c r="I5" s="23" t="s">
        <v>197</v>
      </c>
      <c r="J5" s="23" t="s">
        <v>273</v>
      </c>
      <c r="K5" s="23" t="s">
        <v>198</v>
      </c>
      <c r="L5" s="23" t="s">
        <v>199</v>
      </c>
      <c r="M5" s="23" t="s">
        <v>200</v>
      </c>
      <c r="N5" s="25" t="s">
        <v>83</v>
      </c>
    </row>
    <row r="6" spans="1:17" ht="15.75" x14ac:dyDescent="0.25">
      <c r="A6" s="30" t="s">
        <v>201</v>
      </c>
      <c r="B6" s="274">
        <v>28675744</v>
      </c>
      <c r="C6" s="13">
        <f t="shared" ref="C6:M6" si="0">B36</f>
        <v>11462408.583333332</v>
      </c>
      <c r="D6" s="13">
        <f t="shared" si="0"/>
        <v>9160600.166666666</v>
      </c>
      <c r="E6" s="13">
        <f t="shared" si="0"/>
        <v>7835799.75</v>
      </c>
      <c r="F6" s="13">
        <f t="shared" si="0"/>
        <v>2450260.3333333321</v>
      </c>
      <c r="G6" s="13">
        <f t="shared" si="0"/>
        <v>3178176.916666666</v>
      </c>
      <c r="H6" s="13">
        <f t="shared" si="0"/>
        <v>6311335.5</v>
      </c>
      <c r="I6" s="13">
        <f t="shared" si="0"/>
        <v>4347147.083333334</v>
      </c>
      <c r="J6" s="13">
        <f t="shared" si="0"/>
        <v>3346439.6666666674</v>
      </c>
      <c r="K6" s="13">
        <f t="shared" si="0"/>
        <v>6812432.2500000019</v>
      </c>
      <c r="L6" s="13">
        <f t="shared" si="0"/>
        <v>4339057.833333334</v>
      </c>
      <c r="M6" s="13">
        <f t="shared" si="0"/>
        <v>988350.41666666791</v>
      </c>
      <c r="N6" s="26">
        <v>34515214</v>
      </c>
    </row>
    <row r="7" spans="1:17" ht="26.25" x14ac:dyDescent="0.25">
      <c r="A7" s="29" t="s">
        <v>274</v>
      </c>
      <c r="B7" s="275">
        <f t="shared" ref="B7:M7" si="1">31474348/12+7290</f>
        <v>2630152.3333333335</v>
      </c>
      <c r="C7" s="275">
        <f t="shared" si="1"/>
        <v>2630152.3333333335</v>
      </c>
      <c r="D7" s="275">
        <f t="shared" si="1"/>
        <v>2630152.3333333335</v>
      </c>
      <c r="E7" s="275">
        <f t="shared" si="1"/>
        <v>2630152.3333333335</v>
      </c>
      <c r="F7" s="275">
        <f t="shared" si="1"/>
        <v>2630152.3333333335</v>
      </c>
      <c r="G7" s="275">
        <f t="shared" si="1"/>
        <v>2630152.3333333335</v>
      </c>
      <c r="H7" s="275">
        <f t="shared" si="1"/>
        <v>2630152.3333333335</v>
      </c>
      <c r="I7" s="275">
        <f t="shared" si="1"/>
        <v>2630152.3333333335</v>
      </c>
      <c r="J7" s="275">
        <f t="shared" si="1"/>
        <v>2630152.3333333335</v>
      </c>
      <c r="K7" s="275">
        <f t="shared" si="1"/>
        <v>2630152.3333333335</v>
      </c>
      <c r="L7" s="275">
        <f t="shared" si="1"/>
        <v>2630152.3333333335</v>
      </c>
      <c r="M7" s="275">
        <f t="shared" si="1"/>
        <v>2630152.3333333335</v>
      </c>
      <c r="N7" s="26">
        <f>SUM(B7:M7)</f>
        <v>31561827.999999996</v>
      </c>
      <c r="O7" s="10">
        <f>'1.tábla '!C6</f>
        <v>31561828</v>
      </c>
      <c r="P7" s="10">
        <f>N7-O7</f>
        <v>0</v>
      </c>
      <c r="Q7" s="10"/>
    </row>
    <row r="8" spans="1:17" ht="15.75" x14ac:dyDescent="0.25">
      <c r="A8" s="29" t="s">
        <v>158</v>
      </c>
      <c r="B8" s="271">
        <f>3140000/12</f>
        <v>261666.66666666666</v>
      </c>
      <c r="C8" s="271">
        <f t="shared" ref="C8:M8" si="2">3140000/12</f>
        <v>261666.66666666666</v>
      </c>
      <c r="D8" s="271">
        <f t="shared" si="2"/>
        <v>261666.66666666666</v>
      </c>
      <c r="E8" s="271">
        <f t="shared" si="2"/>
        <v>261666.66666666666</v>
      </c>
      <c r="F8" s="271">
        <f t="shared" si="2"/>
        <v>261666.66666666666</v>
      </c>
      <c r="G8" s="271">
        <f>3140000/12+150000</f>
        <v>411666.66666666663</v>
      </c>
      <c r="H8" s="271">
        <f t="shared" si="2"/>
        <v>261666.66666666666</v>
      </c>
      <c r="I8" s="271">
        <f t="shared" si="2"/>
        <v>261666.66666666666</v>
      </c>
      <c r="J8" s="271">
        <f t="shared" si="2"/>
        <v>261666.66666666666</v>
      </c>
      <c r="K8" s="271">
        <f t="shared" si="2"/>
        <v>261666.66666666666</v>
      </c>
      <c r="L8" s="271">
        <f t="shared" si="2"/>
        <v>261666.66666666666</v>
      </c>
      <c r="M8" s="271">
        <f t="shared" si="2"/>
        <v>261666.66666666666</v>
      </c>
      <c r="N8" s="26">
        <f t="shared" ref="N8:N18" si="3">SUM(B8:M8)</f>
        <v>3289999.9999999995</v>
      </c>
      <c r="O8" s="19">
        <f>'1.tábla '!C9</f>
        <v>3290000</v>
      </c>
      <c r="P8" s="10">
        <f t="shared" ref="P8:P34" si="4">N8-O8</f>
        <v>0</v>
      </c>
      <c r="Q8" s="10"/>
    </row>
    <row r="9" spans="1:17" ht="15.75" x14ac:dyDescent="0.25">
      <c r="A9" s="29" t="s">
        <v>202</v>
      </c>
      <c r="B9" s="271">
        <f>1833000/10</f>
        <v>183300</v>
      </c>
      <c r="C9" s="271">
        <f>1833000/10</f>
        <v>183300</v>
      </c>
      <c r="D9" s="271">
        <f>1833000/10</f>
        <v>183300</v>
      </c>
      <c r="E9" s="271">
        <f>1833000/10</f>
        <v>183300</v>
      </c>
      <c r="F9" s="271">
        <v>5000000</v>
      </c>
      <c r="G9" s="271">
        <f>1833000/10</f>
        <v>183300</v>
      </c>
      <c r="H9" s="271">
        <f>1833000/10</f>
        <v>183300</v>
      </c>
      <c r="I9" s="271">
        <f>1833000/10</f>
        <v>183300</v>
      </c>
      <c r="J9" s="271">
        <v>4500000</v>
      </c>
      <c r="K9" s="271">
        <f>1833000/10</f>
        <v>183300</v>
      </c>
      <c r="L9" s="271">
        <f>1833000/10</f>
        <v>183300</v>
      </c>
      <c r="M9" s="271">
        <f>1833000/10</f>
        <v>183300</v>
      </c>
      <c r="N9" s="26">
        <f t="shared" si="3"/>
        <v>11333000</v>
      </c>
      <c r="O9" s="19">
        <f>'1.tábla '!C8</f>
        <v>11333000</v>
      </c>
      <c r="P9" s="10">
        <f t="shared" si="4"/>
        <v>0</v>
      </c>
      <c r="Q9" s="10"/>
    </row>
    <row r="10" spans="1:17" ht="26.25" x14ac:dyDescent="0.25">
      <c r="A10" s="29" t="s">
        <v>275</v>
      </c>
      <c r="B10" s="271"/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6">
        <f t="shared" si="3"/>
        <v>0</v>
      </c>
      <c r="O10" s="10">
        <f>'1.tábla '!C11</f>
        <v>0</v>
      </c>
      <c r="P10" s="10">
        <f t="shared" si="4"/>
        <v>0</v>
      </c>
      <c r="Q10" s="10"/>
    </row>
    <row r="11" spans="1:17" ht="15.75" x14ac:dyDescent="0.25">
      <c r="A11" s="31" t="s">
        <v>203</v>
      </c>
      <c r="B11" s="276">
        <f t="shared" ref="B11:M11" si="5">SUM(B7:B10)</f>
        <v>3075119</v>
      </c>
      <c r="C11" s="276">
        <f t="shared" si="5"/>
        <v>3075119</v>
      </c>
      <c r="D11" s="276">
        <f t="shared" si="5"/>
        <v>3075119</v>
      </c>
      <c r="E11" s="276">
        <f t="shared" si="5"/>
        <v>3075119</v>
      </c>
      <c r="F11" s="276">
        <f t="shared" si="5"/>
        <v>7891819</v>
      </c>
      <c r="G11" s="276">
        <f t="shared" si="5"/>
        <v>3225119</v>
      </c>
      <c r="H11" s="276">
        <f t="shared" si="5"/>
        <v>3075119</v>
      </c>
      <c r="I11" s="276">
        <f t="shared" si="5"/>
        <v>3075119</v>
      </c>
      <c r="J11" s="276">
        <f t="shared" si="5"/>
        <v>7391819</v>
      </c>
      <c r="K11" s="276">
        <f t="shared" si="5"/>
        <v>3075119</v>
      </c>
      <c r="L11" s="276">
        <f t="shared" si="5"/>
        <v>3075119</v>
      </c>
      <c r="M11" s="276">
        <f t="shared" si="5"/>
        <v>3075119</v>
      </c>
      <c r="N11" s="26">
        <f t="shared" si="3"/>
        <v>46184828</v>
      </c>
      <c r="O11" s="3">
        <f>SUM(O7:O10)</f>
        <v>46184828</v>
      </c>
      <c r="P11" s="10">
        <f t="shared" si="4"/>
        <v>0</v>
      </c>
      <c r="Q11" s="10"/>
    </row>
    <row r="12" spans="1:17" ht="26.25" x14ac:dyDescent="0.25">
      <c r="A12" s="29" t="s">
        <v>276</v>
      </c>
      <c r="B12" s="271"/>
      <c r="C12" s="271"/>
      <c r="D12" s="271"/>
      <c r="E12" s="271"/>
      <c r="F12" s="271"/>
      <c r="G12" s="271">
        <v>5000000</v>
      </c>
      <c r="H12" s="271"/>
      <c r="I12" s="271"/>
      <c r="J12" s="271"/>
      <c r="K12" s="271">
        <v>8956854</v>
      </c>
      <c r="L12" s="271"/>
      <c r="M12" s="271"/>
      <c r="N12" s="26">
        <f t="shared" si="3"/>
        <v>13956854</v>
      </c>
      <c r="O12" s="10">
        <f>'1.tábla '!C7</f>
        <v>13956854</v>
      </c>
      <c r="P12" s="10">
        <f t="shared" si="4"/>
        <v>0</v>
      </c>
      <c r="Q12" s="10"/>
    </row>
    <row r="13" spans="1:17" ht="15.75" x14ac:dyDescent="0.25">
      <c r="A13" s="29" t="s">
        <v>277</v>
      </c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6">
        <f t="shared" si="3"/>
        <v>0</v>
      </c>
      <c r="O13" s="10">
        <f>'1.tábla '!C12</f>
        <v>0</v>
      </c>
      <c r="P13" s="10">
        <f t="shared" si="4"/>
        <v>0</v>
      </c>
      <c r="Q13" s="10"/>
    </row>
    <row r="14" spans="1:17" ht="26.25" x14ac:dyDescent="0.25">
      <c r="A14" s="29" t="s">
        <v>278</v>
      </c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6">
        <f t="shared" si="3"/>
        <v>0</v>
      </c>
      <c r="O14" s="10">
        <v>0</v>
      </c>
      <c r="P14" s="10">
        <f t="shared" si="4"/>
        <v>0</v>
      </c>
      <c r="Q14" s="10"/>
    </row>
    <row r="15" spans="1:17" ht="15.75" x14ac:dyDescent="0.25">
      <c r="A15" s="31" t="s">
        <v>204</v>
      </c>
      <c r="B15" s="276">
        <f t="shared" ref="B15:M15" si="6">SUM(B12:B14)</f>
        <v>0</v>
      </c>
      <c r="C15" s="276">
        <f t="shared" si="6"/>
        <v>0</v>
      </c>
      <c r="D15" s="276">
        <f t="shared" si="6"/>
        <v>0</v>
      </c>
      <c r="E15" s="276">
        <f t="shared" si="6"/>
        <v>0</v>
      </c>
      <c r="F15" s="276">
        <f t="shared" si="6"/>
        <v>0</v>
      </c>
      <c r="G15" s="276">
        <f t="shared" si="6"/>
        <v>5000000</v>
      </c>
      <c r="H15" s="276">
        <f t="shared" si="6"/>
        <v>0</v>
      </c>
      <c r="I15" s="276">
        <f t="shared" si="6"/>
        <v>0</v>
      </c>
      <c r="J15" s="276">
        <f t="shared" si="6"/>
        <v>0</v>
      </c>
      <c r="K15" s="276">
        <f t="shared" si="6"/>
        <v>8956854</v>
      </c>
      <c r="L15" s="276">
        <f t="shared" si="6"/>
        <v>0</v>
      </c>
      <c r="M15" s="276">
        <f t="shared" si="6"/>
        <v>0</v>
      </c>
      <c r="N15" s="26">
        <f t="shared" si="3"/>
        <v>13956854</v>
      </c>
      <c r="O15" s="20">
        <f>SUM(O12:O14)</f>
        <v>13956854</v>
      </c>
      <c r="P15" s="10">
        <f t="shared" si="4"/>
        <v>0</v>
      </c>
      <c r="Q15" s="10"/>
    </row>
    <row r="16" spans="1:17" s="2" customFormat="1" x14ac:dyDescent="0.2">
      <c r="A16" s="30" t="s">
        <v>11</v>
      </c>
      <c r="B16" s="14">
        <f t="shared" ref="B16:M16" si="7">SUM(B11,B15)</f>
        <v>3075119</v>
      </c>
      <c r="C16" s="14">
        <f t="shared" si="7"/>
        <v>3075119</v>
      </c>
      <c r="D16" s="14">
        <f t="shared" si="7"/>
        <v>3075119</v>
      </c>
      <c r="E16" s="14">
        <f t="shared" si="7"/>
        <v>3075119</v>
      </c>
      <c r="F16" s="14">
        <f t="shared" si="7"/>
        <v>7891819</v>
      </c>
      <c r="G16" s="14">
        <f t="shared" si="7"/>
        <v>8225119</v>
      </c>
      <c r="H16" s="14">
        <f t="shared" si="7"/>
        <v>3075119</v>
      </c>
      <c r="I16" s="14">
        <f t="shared" si="7"/>
        <v>3075119</v>
      </c>
      <c r="J16" s="14">
        <f t="shared" si="7"/>
        <v>7391819</v>
      </c>
      <c r="K16" s="14">
        <f t="shared" si="7"/>
        <v>12031973</v>
      </c>
      <c r="L16" s="14">
        <f t="shared" si="7"/>
        <v>3075119</v>
      </c>
      <c r="M16" s="14">
        <f t="shared" si="7"/>
        <v>3075119</v>
      </c>
      <c r="N16" s="26">
        <f t="shared" si="3"/>
        <v>60141682</v>
      </c>
      <c r="O16" s="3">
        <f>O11+O15</f>
        <v>60141682</v>
      </c>
      <c r="P16" s="10">
        <f t="shared" si="4"/>
        <v>0</v>
      </c>
      <c r="Q16" s="10"/>
    </row>
    <row r="17" spans="1:17" ht="39" x14ac:dyDescent="0.25">
      <c r="A17" s="29" t="s">
        <v>286</v>
      </c>
      <c r="B17" s="271">
        <f>907476/12</f>
        <v>75623</v>
      </c>
      <c r="C17" s="271">
        <f t="shared" ref="C17:M17" si="8">907476/12</f>
        <v>75623</v>
      </c>
      <c r="D17" s="271">
        <f t="shared" si="8"/>
        <v>75623</v>
      </c>
      <c r="E17" s="271">
        <f t="shared" si="8"/>
        <v>75623</v>
      </c>
      <c r="F17" s="271">
        <f t="shared" si="8"/>
        <v>75623</v>
      </c>
      <c r="G17" s="271">
        <f t="shared" si="8"/>
        <v>75623</v>
      </c>
      <c r="H17" s="271">
        <f t="shared" si="8"/>
        <v>75623</v>
      </c>
      <c r="I17" s="271">
        <f t="shared" si="8"/>
        <v>75623</v>
      </c>
      <c r="J17" s="271">
        <f t="shared" si="8"/>
        <v>75623</v>
      </c>
      <c r="K17" s="271">
        <f t="shared" si="8"/>
        <v>75623</v>
      </c>
      <c r="L17" s="271">
        <f t="shared" si="8"/>
        <v>75623</v>
      </c>
      <c r="M17" s="271">
        <f t="shared" si="8"/>
        <v>75623</v>
      </c>
      <c r="N17" s="37">
        <f t="shared" si="3"/>
        <v>907476</v>
      </c>
      <c r="O17" s="10">
        <f>'1.tábla '!C15</f>
        <v>907476</v>
      </c>
      <c r="P17" s="10">
        <f t="shared" si="4"/>
        <v>0</v>
      </c>
      <c r="Q17" s="10"/>
    </row>
    <row r="18" spans="1:17" ht="26.25" x14ac:dyDescent="0.25">
      <c r="A18" s="29" t="s">
        <v>279</v>
      </c>
      <c r="B18" s="271">
        <v>28648541</v>
      </c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6">
        <f t="shared" si="3"/>
        <v>28648541</v>
      </c>
      <c r="O18" s="10">
        <f>'1.tábla '!C14</f>
        <v>28648541</v>
      </c>
      <c r="P18" s="10">
        <f t="shared" si="4"/>
        <v>0</v>
      </c>
      <c r="Q18" s="10"/>
    </row>
    <row r="19" spans="1:17" x14ac:dyDescent="0.2">
      <c r="A19" s="30" t="s">
        <v>14</v>
      </c>
      <c r="B19" s="15">
        <f>SUM(B16:B18)</f>
        <v>31799283</v>
      </c>
      <c r="C19" s="15">
        <f t="shared" ref="C19:M19" si="9">SUM(C16:C18)</f>
        <v>3150742</v>
      </c>
      <c r="D19" s="15">
        <f t="shared" si="9"/>
        <v>3150742</v>
      </c>
      <c r="E19" s="15">
        <f t="shared" si="9"/>
        <v>3150742</v>
      </c>
      <c r="F19" s="15">
        <f t="shared" si="9"/>
        <v>7967442</v>
      </c>
      <c r="G19" s="15">
        <f t="shared" si="9"/>
        <v>8300742</v>
      </c>
      <c r="H19" s="15">
        <f t="shared" si="9"/>
        <v>3150742</v>
      </c>
      <c r="I19" s="15">
        <f t="shared" si="9"/>
        <v>3150742</v>
      </c>
      <c r="J19" s="15">
        <f t="shared" si="9"/>
        <v>7467442</v>
      </c>
      <c r="K19" s="15">
        <f t="shared" si="9"/>
        <v>12107596</v>
      </c>
      <c r="L19" s="15">
        <f t="shared" si="9"/>
        <v>3150742</v>
      </c>
      <c r="M19" s="15">
        <f t="shared" si="9"/>
        <v>3150742</v>
      </c>
      <c r="N19" s="16">
        <f>SUM(N16:N18)</f>
        <v>89697699</v>
      </c>
      <c r="O19" s="3">
        <f>O16+O17+O18</f>
        <v>89697699</v>
      </c>
      <c r="P19" s="10">
        <f t="shared" si="4"/>
        <v>0</v>
      </c>
      <c r="Q19" s="10"/>
    </row>
    <row r="20" spans="1:17" ht="15.75" x14ac:dyDescent="0.25">
      <c r="A20" s="29" t="s">
        <v>280</v>
      </c>
      <c r="B20" s="271">
        <f>12486198/12</f>
        <v>1040516.5</v>
      </c>
      <c r="C20" s="271">
        <f t="shared" ref="C20:M20" si="10">12486198/12</f>
        <v>1040516.5</v>
      </c>
      <c r="D20" s="271">
        <f t="shared" si="10"/>
        <v>1040516.5</v>
      </c>
      <c r="E20" s="271">
        <f t="shared" si="10"/>
        <v>1040516.5</v>
      </c>
      <c r="F20" s="271">
        <f t="shared" si="10"/>
        <v>1040516.5</v>
      </c>
      <c r="G20" s="271">
        <f t="shared" si="10"/>
        <v>1040516.5</v>
      </c>
      <c r="H20" s="271">
        <f t="shared" si="10"/>
        <v>1040516.5</v>
      </c>
      <c r="I20" s="271">
        <f t="shared" si="10"/>
        <v>1040516.5</v>
      </c>
      <c r="J20" s="271">
        <f t="shared" si="10"/>
        <v>1040516.5</v>
      </c>
      <c r="K20" s="271">
        <f t="shared" si="10"/>
        <v>1040516.5</v>
      </c>
      <c r="L20" s="271">
        <f t="shared" si="10"/>
        <v>1040516.5</v>
      </c>
      <c r="M20" s="271">
        <f t="shared" si="10"/>
        <v>1040516.5</v>
      </c>
      <c r="N20" s="17">
        <f>SUM(B20:M20)</f>
        <v>12486198</v>
      </c>
      <c r="O20" s="21">
        <f>'3.tábla '!C6</f>
        <v>12486198</v>
      </c>
      <c r="P20" s="10">
        <f t="shared" si="4"/>
        <v>0</v>
      </c>
      <c r="Q20" s="10"/>
    </row>
    <row r="21" spans="1:17" ht="26.25" x14ac:dyDescent="0.25">
      <c r="A21" s="29" t="s">
        <v>281</v>
      </c>
      <c r="B21" s="271">
        <f>2217871/12</f>
        <v>184822.58333333334</v>
      </c>
      <c r="C21" s="271">
        <f t="shared" ref="C21:M21" si="11">2217871/12</f>
        <v>184822.58333333334</v>
      </c>
      <c r="D21" s="271">
        <f t="shared" si="11"/>
        <v>184822.58333333334</v>
      </c>
      <c r="E21" s="271">
        <f t="shared" si="11"/>
        <v>184822.58333333334</v>
      </c>
      <c r="F21" s="271">
        <f t="shared" si="11"/>
        <v>184822.58333333334</v>
      </c>
      <c r="G21" s="271">
        <f t="shared" si="11"/>
        <v>184822.58333333334</v>
      </c>
      <c r="H21" s="271">
        <f t="shared" si="11"/>
        <v>184822.58333333334</v>
      </c>
      <c r="I21" s="271">
        <f t="shared" si="11"/>
        <v>184822.58333333334</v>
      </c>
      <c r="J21" s="271">
        <f t="shared" si="11"/>
        <v>184822.58333333334</v>
      </c>
      <c r="K21" s="271">
        <f t="shared" si="11"/>
        <v>184822.58333333334</v>
      </c>
      <c r="L21" s="271">
        <f t="shared" si="11"/>
        <v>184822.58333333334</v>
      </c>
      <c r="M21" s="271">
        <f t="shared" si="11"/>
        <v>184822.58333333334</v>
      </c>
      <c r="N21" s="17">
        <f t="shared" ref="N21:N33" si="12">SUM(B21:M21)</f>
        <v>2217870.9999999995</v>
      </c>
      <c r="O21" s="21">
        <f>'3.tábla '!C7</f>
        <v>2217871</v>
      </c>
      <c r="P21" s="10">
        <f t="shared" si="4"/>
        <v>0</v>
      </c>
      <c r="Q21" s="10"/>
    </row>
    <row r="22" spans="1:17" ht="15.75" x14ac:dyDescent="0.25">
      <c r="A22" s="29" t="s">
        <v>282</v>
      </c>
      <c r="B22" s="271">
        <f>17182982/12</f>
        <v>1431915.1666666667</v>
      </c>
      <c r="C22" s="271">
        <f t="shared" ref="C22:M22" si="13">17182982/12</f>
        <v>1431915.1666666667</v>
      </c>
      <c r="D22" s="271">
        <f t="shared" si="13"/>
        <v>1431915.1666666667</v>
      </c>
      <c r="E22" s="271">
        <f t="shared" si="13"/>
        <v>1431915.1666666667</v>
      </c>
      <c r="F22" s="271">
        <f t="shared" si="13"/>
        <v>1431915.1666666667</v>
      </c>
      <c r="G22" s="271">
        <f t="shared" si="13"/>
        <v>1431915.1666666667</v>
      </c>
      <c r="H22" s="271">
        <f>17182982/12+31890</f>
        <v>1463805.1666666667</v>
      </c>
      <c r="I22" s="271">
        <f t="shared" si="13"/>
        <v>1431915.1666666667</v>
      </c>
      <c r="J22" s="271">
        <f t="shared" si="13"/>
        <v>1431915.1666666667</v>
      </c>
      <c r="K22" s="271">
        <f t="shared" si="13"/>
        <v>1431915.1666666667</v>
      </c>
      <c r="L22" s="271">
        <f t="shared" si="13"/>
        <v>1431915.1666666667</v>
      </c>
      <c r="M22" s="271">
        <f t="shared" si="13"/>
        <v>1431915.1666666667</v>
      </c>
      <c r="N22" s="17">
        <f t="shared" si="12"/>
        <v>17214871.999999996</v>
      </c>
      <c r="O22" s="21">
        <f>'3.tábla '!C8</f>
        <v>17214872</v>
      </c>
      <c r="P22" s="10">
        <f t="shared" si="4"/>
        <v>0</v>
      </c>
      <c r="Q22" s="10"/>
    </row>
    <row r="23" spans="1:17" ht="15.75" x14ac:dyDescent="0.25">
      <c r="A23" s="29" t="s">
        <v>205</v>
      </c>
      <c r="B23" s="271">
        <f>3795000/12</f>
        <v>316250</v>
      </c>
      <c r="C23" s="271">
        <f t="shared" ref="C23:M23" si="14">3795000/12</f>
        <v>316250</v>
      </c>
      <c r="D23" s="271">
        <f t="shared" si="14"/>
        <v>316250</v>
      </c>
      <c r="E23" s="271">
        <f t="shared" si="14"/>
        <v>316250</v>
      </c>
      <c r="F23" s="271">
        <f t="shared" si="14"/>
        <v>316250</v>
      </c>
      <c r="G23" s="271">
        <f t="shared" si="14"/>
        <v>316250</v>
      </c>
      <c r="H23" s="271">
        <f t="shared" si="14"/>
        <v>316250</v>
      </c>
      <c r="I23" s="271">
        <f t="shared" si="14"/>
        <v>316250</v>
      </c>
      <c r="J23" s="271">
        <f t="shared" si="14"/>
        <v>316250</v>
      </c>
      <c r="K23" s="271">
        <f t="shared" si="14"/>
        <v>316250</v>
      </c>
      <c r="L23" s="271">
        <f t="shared" si="14"/>
        <v>316250</v>
      </c>
      <c r="M23" s="271">
        <f t="shared" si="14"/>
        <v>316250</v>
      </c>
      <c r="N23" s="17">
        <f t="shared" si="12"/>
        <v>3795000</v>
      </c>
      <c r="O23" s="21">
        <f>'3.tábla '!C25</f>
        <v>3795000</v>
      </c>
      <c r="P23" s="10">
        <f t="shared" si="4"/>
        <v>0</v>
      </c>
      <c r="Q23" s="10"/>
    </row>
    <row r="24" spans="1:17" ht="26.25" x14ac:dyDescent="0.25">
      <c r="A24" s="29" t="s">
        <v>283</v>
      </c>
      <c r="B24" s="271"/>
      <c r="C24" s="271"/>
      <c r="D24" s="271"/>
      <c r="E24" s="271">
        <v>500000</v>
      </c>
      <c r="F24" s="271">
        <v>10000</v>
      </c>
      <c r="G24" s="271">
        <v>100000</v>
      </c>
      <c r="H24" s="271">
        <v>0</v>
      </c>
      <c r="I24" s="271">
        <v>150000</v>
      </c>
      <c r="J24" s="271">
        <v>0</v>
      </c>
      <c r="K24" s="271"/>
      <c r="L24" s="271"/>
      <c r="M24" s="271">
        <v>0</v>
      </c>
      <c r="N24" s="17">
        <f t="shared" si="12"/>
        <v>760000</v>
      </c>
      <c r="O24" s="21">
        <f>'4.tábla'!C9</f>
        <v>760000</v>
      </c>
      <c r="P24" s="10">
        <f t="shared" si="4"/>
        <v>0</v>
      </c>
      <c r="Q24" s="10"/>
    </row>
    <row r="25" spans="1:17" ht="26.25" x14ac:dyDescent="0.25">
      <c r="A25" s="29" t="s">
        <v>284</v>
      </c>
      <c r="B25" s="271">
        <f>12335342/12</f>
        <v>1027945.1666666666</v>
      </c>
      <c r="C25" s="271">
        <f t="shared" ref="C25:M25" si="15">12335342/12</f>
        <v>1027945.1666666666</v>
      </c>
      <c r="D25" s="271">
        <f t="shared" si="15"/>
        <v>1027945.1666666666</v>
      </c>
      <c r="E25" s="271">
        <f t="shared" si="15"/>
        <v>1027945.1666666666</v>
      </c>
      <c r="F25" s="271">
        <f t="shared" si="15"/>
        <v>1027945.1666666666</v>
      </c>
      <c r="G25" s="271">
        <f t="shared" si="15"/>
        <v>1027945.1666666666</v>
      </c>
      <c r="H25" s="271">
        <f t="shared" si="15"/>
        <v>1027945.1666666666</v>
      </c>
      <c r="I25" s="271">
        <f t="shared" si="15"/>
        <v>1027945.1666666666</v>
      </c>
      <c r="J25" s="271">
        <f t="shared" si="15"/>
        <v>1027945.1666666666</v>
      </c>
      <c r="K25" s="271">
        <f t="shared" si="15"/>
        <v>1027945.1666666666</v>
      </c>
      <c r="L25" s="271">
        <f t="shared" si="15"/>
        <v>1027945.1666666666</v>
      </c>
      <c r="M25" s="271">
        <f t="shared" si="15"/>
        <v>1027945.1666666666</v>
      </c>
      <c r="N25" s="17">
        <f t="shared" si="12"/>
        <v>12335341.999999998</v>
      </c>
      <c r="O25" s="21">
        <f>'4.tábla'!C3</f>
        <v>12335342</v>
      </c>
      <c r="P25" s="10">
        <f t="shared" si="4"/>
        <v>0</v>
      </c>
      <c r="Q25" s="10"/>
    </row>
    <row r="26" spans="1:17" ht="15.75" x14ac:dyDescent="0.25">
      <c r="A26" s="29" t="s">
        <v>17</v>
      </c>
      <c r="B26" s="271">
        <v>13264590</v>
      </c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17">
        <f t="shared" si="12"/>
        <v>13264590</v>
      </c>
      <c r="O26" s="21">
        <f>'1.tábla '!C26</f>
        <v>13264590</v>
      </c>
      <c r="P26" s="10">
        <f t="shared" si="4"/>
        <v>0</v>
      </c>
      <c r="Q26" s="10"/>
    </row>
    <row r="27" spans="1:17" ht="15.75" x14ac:dyDescent="0.25">
      <c r="A27" s="31" t="s">
        <v>206</v>
      </c>
      <c r="B27" s="276">
        <f>SUM(B20:B26)</f>
        <v>17266039.416666668</v>
      </c>
      <c r="C27" s="276">
        <f t="shared" ref="C27:M27" si="16">SUM(C20:C26)</f>
        <v>4001449.4166666665</v>
      </c>
      <c r="D27" s="276">
        <f t="shared" si="16"/>
        <v>4001449.4166666665</v>
      </c>
      <c r="E27" s="276">
        <f t="shared" si="16"/>
        <v>4501449.416666667</v>
      </c>
      <c r="F27" s="276">
        <f t="shared" si="16"/>
        <v>4011449.4166666665</v>
      </c>
      <c r="G27" s="276">
        <f t="shared" si="16"/>
        <v>4101449.4166666665</v>
      </c>
      <c r="H27" s="276">
        <f t="shared" si="16"/>
        <v>4033339.4166666665</v>
      </c>
      <c r="I27" s="276">
        <f t="shared" si="16"/>
        <v>4151449.4166666665</v>
      </c>
      <c r="J27" s="276">
        <f t="shared" si="16"/>
        <v>4001449.4166666665</v>
      </c>
      <c r="K27" s="276">
        <f t="shared" si="16"/>
        <v>4001449.4166666665</v>
      </c>
      <c r="L27" s="276">
        <f t="shared" si="16"/>
        <v>4001449.4166666665</v>
      </c>
      <c r="M27" s="276">
        <f t="shared" si="16"/>
        <v>4001449.4166666665</v>
      </c>
      <c r="N27" s="17">
        <f>SUM(B27:M27)</f>
        <v>62073872.999999985</v>
      </c>
      <c r="O27" s="3">
        <f>SUM(O20:O26)</f>
        <v>62073873</v>
      </c>
      <c r="P27" s="10">
        <f t="shared" si="4"/>
        <v>0</v>
      </c>
      <c r="Q27" s="10"/>
    </row>
    <row r="28" spans="1:17" ht="15.75" x14ac:dyDescent="0.25">
      <c r="A28" s="29" t="s">
        <v>207</v>
      </c>
      <c r="B28" s="271">
        <v>2000000</v>
      </c>
      <c r="C28" s="271">
        <v>1341120</v>
      </c>
      <c r="D28" s="271">
        <v>50000</v>
      </c>
      <c r="E28" s="271"/>
      <c r="F28" s="271">
        <v>3228076</v>
      </c>
      <c r="G28" s="271">
        <v>98203</v>
      </c>
      <c r="H28" s="271"/>
      <c r="I28" s="271"/>
      <c r="J28" s="271"/>
      <c r="K28" s="271"/>
      <c r="L28" s="271">
        <v>2500000</v>
      </c>
      <c r="M28" s="271"/>
      <c r="N28" s="17">
        <f>SUM(B28:M28)</f>
        <v>9217399</v>
      </c>
      <c r="O28" s="21">
        <f>'5.tábla'!C3</f>
        <v>9217399</v>
      </c>
      <c r="P28" s="10">
        <f t="shared" si="4"/>
        <v>0</v>
      </c>
      <c r="Q28" s="10"/>
    </row>
    <row r="29" spans="1:17" ht="15.75" x14ac:dyDescent="0.25">
      <c r="A29" s="29" t="s">
        <v>208</v>
      </c>
      <c r="B29" s="271"/>
      <c r="C29" s="271"/>
      <c r="D29" s="271">
        <v>314112</v>
      </c>
      <c r="E29" s="271">
        <v>4034832</v>
      </c>
      <c r="F29" s="271"/>
      <c r="G29" s="271">
        <v>967931</v>
      </c>
      <c r="H29" s="271"/>
      <c r="I29" s="271"/>
      <c r="J29" s="271"/>
      <c r="K29" s="271">
        <v>10548636</v>
      </c>
      <c r="L29" s="271"/>
      <c r="M29" s="271"/>
      <c r="N29" s="17">
        <f t="shared" si="12"/>
        <v>15865511</v>
      </c>
      <c r="O29" s="21">
        <f>'5.tábla'!C22</f>
        <v>15865511</v>
      </c>
      <c r="P29" s="10">
        <f t="shared" si="4"/>
        <v>0</v>
      </c>
      <c r="Q29" s="10"/>
    </row>
    <row r="30" spans="1:17" ht="15.75" x14ac:dyDescent="0.25">
      <c r="A30" s="29" t="s">
        <v>266</v>
      </c>
      <c r="B30" s="271"/>
      <c r="C30" s="271"/>
      <c r="D30" s="271"/>
      <c r="E30" s="271"/>
      <c r="F30" s="271"/>
      <c r="G30" s="271"/>
      <c r="H30" s="271"/>
      <c r="I30" s="271"/>
      <c r="J30" s="271"/>
      <c r="K30" s="271">
        <v>30885</v>
      </c>
      <c r="L30" s="271"/>
      <c r="M30" s="271"/>
      <c r="N30" s="17">
        <f t="shared" si="12"/>
        <v>30885</v>
      </c>
      <c r="O30" s="21">
        <f>'5.tábla'!C32</f>
        <v>30885</v>
      </c>
      <c r="P30" s="10">
        <f t="shared" si="4"/>
        <v>0</v>
      </c>
      <c r="Q30" s="10"/>
    </row>
    <row r="31" spans="1:17" ht="26.25" x14ac:dyDescent="0.25">
      <c r="A31" s="31" t="s">
        <v>209</v>
      </c>
      <c r="B31" s="276">
        <f>B28+B29+B30</f>
        <v>2000000</v>
      </c>
      <c r="C31" s="276">
        <f t="shared" ref="C31:M31" si="17">SUM(C28:C30)</f>
        <v>1341120</v>
      </c>
      <c r="D31" s="276">
        <f t="shared" si="17"/>
        <v>364112</v>
      </c>
      <c r="E31" s="276">
        <f t="shared" si="17"/>
        <v>4034832</v>
      </c>
      <c r="F31" s="276">
        <f t="shared" si="17"/>
        <v>3228076</v>
      </c>
      <c r="G31" s="276">
        <f t="shared" si="17"/>
        <v>1066134</v>
      </c>
      <c r="H31" s="276">
        <f t="shared" si="17"/>
        <v>0</v>
      </c>
      <c r="I31" s="276">
        <f t="shared" si="17"/>
        <v>0</v>
      </c>
      <c r="J31" s="276">
        <f t="shared" si="17"/>
        <v>0</v>
      </c>
      <c r="K31" s="276">
        <f t="shared" si="17"/>
        <v>10579521</v>
      </c>
      <c r="L31" s="276">
        <f t="shared" si="17"/>
        <v>2500000</v>
      </c>
      <c r="M31" s="276">
        <f t="shared" si="17"/>
        <v>0</v>
      </c>
      <c r="N31" s="17">
        <f t="shared" si="12"/>
        <v>25113795</v>
      </c>
      <c r="O31" s="3">
        <f>SUM(O28:O30)</f>
        <v>25113795</v>
      </c>
      <c r="P31" s="10">
        <f t="shared" si="4"/>
        <v>0</v>
      </c>
      <c r="Q31" s="10"/>
    </row>
    <row r="32" spans="1:17" x14ac:dyDescent="0.2">
      <c r="A32" s="30" t="s">
        <v>20</v>
      </c>
      <c r="B32" s="14">
        <f>SUM(B31,B27)</f>
        <v>19266039.416666668</v>
      </c>
      <c r="C32" s="14">
        <f t="shared" ref="C32:M32" si="18">SUM(C31,C27)</f>
        <v>5342569.416666666</v>
      </c>
      <c r="D32" s="14">
        <f t="shared" si="18"/>
        <v>4365561.416666666</v>
      </c>
      <c r="E32" s="14">
        <f t="shared" si="18"/>
        <v>8536281.4166666679</v>
      </c>
      <c r="F32" s="14">
        <f t="shared" si="18"/>
        <v>7239525.416666666</v>
      </c>
      <c r="G32" s="14">
        <f t="shared" si="18"/>
        <v>5167583.416666666</v>
      </c>
      <c r="H32" s="14">
        <f t="shared" si="18"/>
        <v>4033339.4166666665</v>
      </c>
      <c r="I32" s="14">
        <f t="shared" si="18"/>
        <v>4151449.4166666665</v>
      </c>
      <c r="J32" s="14">
        <f t="shared" si="18"/>
        <v>4001449.4166666665</v>
      </c>
      <c r="K32" s="14">
        <f t="shared" si="18"/>
        <v>14580970.416666666</v>
      </c>
      <c r="L32" s="14">
        <f t="shared" si="18"/>
        <v>6501449.416666666</v>
      </c>
      <c r="M32" s="14">
        <f t="shared" si="18"/>
        <v>4001449.4166666665</v>
      </c>
      <c r="N32" s="17">
        <f>SUM(B32:M32)</f>
        <v>87187668</v>
      </c>
      <c r="O32" s="3">
        <f>O27+O31</f>
        <v>87187668</v>
      </c>
      <c r="P32" s="10">
        <f t="shared" si="4"/>
        <v>0</v>
      </c>
      <c r="Q32" s="10"/>
    </row>
    <row r="33" spans="1:17" ht="39" x14ac:dyDescent="0.25">
      <c r="A33" s="30" t="s">
        <v>210</v>
      </c>
      <c r="B33" s="272">
        <f>988057+109981</f>
        <v>1098038</v>
      </c>
      <c r="C33" s="272">
        <f>329943/3</f>
        <v>109981</v>
      </c>
      <c r="D33" s="272">
        <f>329943/3</f>
        <v>109981</v>
      </c>
      <c r="E33" s="272"/>
      <c r="F33" s="272"/>
      <c r="G33" s="272"/>
      <c r="H33" s="272">
        <v>1081591</v>
      </c>
      <c r="I33" s="272"/>
      <c r="J33" s="272"/>
      <c r="K33" s="272"/>
      <c r="L33" s="272"/>
      <c r="M33" s="272"/>
      <c r="N33" s="17">
        <f t="shared" si="12"/>
        <v>2399591</v>
      </c>
      <c r="O33" s="21">
        <f>'5.tábla'!C34</f>
        <v>2399591</v>
      </c>
      <c r="P33" s="10">
        <f t="shared" si="4"/>
        <v>0</v>
      </c>
      <c r="Q33" s="10"/>
    </row>
    <row r="34" spans="1:17" x14ac:dyDescent="0.2">
      <c r="A34" s="30" t="s">
        <v>22</v>
      </c>
      <c r="B34" s="14">
        <f>SUM(B32:B33)</f>
        <v>20364077.416666668</v>
      </c>
      <c r="C34" s="14">
        <f t="shared" ref="C34:M34" si="19">SUM(C32:C33)</f>
        <v>5452550.416666666</v>
      </c>
      <c r="D34" s="14">
        <f t="shared" si="19"/>
        <v>4475542.416666666</v>
      </c>
      <c r="E34" s="14">
        <f t="shared" si="19"/>
        <v>8536281.4166666679</v>
      </c>
      <c r="F34" s="14">
        <f t="shared" si="19"/>
        <v>7239525.416666666</v>
      </c>
      <c r="G34" s="14">
        <f t="shared" si="19"/>
        <v>5167583.416666666</v>
      </c>
      <c r="H34" s="14">
        <f t="shared" si="19"/>
        <v>5114930.416666666</v>
      </c>
      <c r="I34" s="14">
        <f t="shared" si="19"/>
        <v>4151449.4166666665</v>
      </c>
      <c r="J34" s="14">
        <f t="shared" si="19"/>
        <v>4001449.4166666665</v>
      </c>
      <c r="K34" s="14">
        <f t="shared" si="19"/>
        <v>14580970.416666666</v>
      </c>
      <c r="L34" s="14">
        <f t="shared" si="19"/>
        <v>6501449.416666666</v>
      </c>
      <c r="M34" s="14">
        <f t="shared" si="19"/>
        <v>4001449.4166666665</v>
      </c>
      <c r="N34" s="17">
        <f>SUM(B34:M34)</f>
        <v>89587259</v>
      </c>
      <c r="O34" s="3">
        <f>O32+O33</f>
        <v>89587259</v>
      </c>
      <c r="P34" s="10">
        <f t="shared" si="4"/>
        <v>0</v>
      </c>
      <c r="Q34" s="10"/>
    </row>
    <row r="35" spans="1:17" x14ac:dyDescent="0.2">
      <c r="A35" s="30" t="s">
        <v>285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7">
        <f>SUM(B35:M35)</f>
        <v>0</v>
      </c>
    </row>
    <row r="36" spans="1:17" ht="13.5" thickBot="1" x14ac:dyDescent="0.25">
      <c r="A36" s="32" t="s">
        <v>211</v>
      </c>
      <c r="B36" s="18">
        <f>B6+B16+B17-B34</f>
        <v>11462408.583333332</v>
      </c>
      <c r="C36" s="18">
        <f t="shared" ref="C36:N36" si="20">C6+C16+C17-C34</f>
        <v>9160600.166666666</v>
      </c>
      <c r="D36" s="18">
        <f t="shared" si="20"/>
        <v>7835799.75</v>
      </c>
      <c r="E36" s="18">
        <f t="shared" si="20"/>
        <v>2450260.3333333321</v>
      </c>
      <c r="F36" s="18">
        <f t="shared" si="20"/>
        <v>3178176.916666666</v>
      </c>
      <c r="G36" s="18">
        <f t="shared" si="20"/>
        <v>6311335.5</v>
      </c>
      <c r="H36" s="18">
        <f t="shared" si="20"/>
        <v>4347147.083333334</v>
      </c>
      <c r="I36" s="18">
        <f t="shared" si="20"/>
        <v>3346439.6666666674</v>
      </c>
      <c r="J36" s="18">
        <f t="shared" si="20"/>
        <v>6812432.2500000019</v>
      </c>
      <c r="K36" s="18">
        <f t="shared" si="20"/>
        <v>4339057.833333334</v>
      </c>
      <c r="L36" s="18">
        <f t="shared" si="20"/>
        <v>988350.41666666791</v>
      </c>
      <c r="M36" s="18">
        <f t="shared" si="20"/>
        <v>137643.0000000014</v>
      </c>
      <c r="N36" s="27">
        <f t="shared" si="20"/>
        <v>5977113</v>
      </c>
      <c r="O36" s="10"/>
    </row>
    <row r="38" spans="1:17" x14ac:dyDescent="0.2">
      <c r="N38" s="3"/>
    </row>
  </sheetData>
  <mergeCells count="2">
    <mergeCell ref="M2:N2"/>
    <mergeCell ref="A3:N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80" orientation="landscape" r:id="rId1"/>
  <headerFooter>
    <oddHeader>&amp;C&amp;"Times New Roman,Normál"&amp;12 8. melléklet
az önkormányzat 2018. évi költségvetéséről szóló 9/2018. (IX. 27.)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8</vt:i4>
      </vt:variant>
    </vt:vector>
  </HeadingPairs>
  <TitlesOfParts>
    <vt:vector size="17" baseType="lpstr">
      <vt:lpstr>1.tábla </vt:lpstr>
      <vt:lpstr>2.tábla</vt:lpstr>
      <vt:lpstr>2a. tábla</vt:lpstr>
      <vt:lpstr>3.tábla </vt:lpstr>
      <vt:lpstr>4.tábla</vt:lpstr>
      <vt:lpstr>5.tábla</vt:lpstr>
      <vt:lpstr>6.tábla </vt:lpstr>
      <vt:lpstr>7.tábla</vt:lpstr>
      <vt:lpstr>8.tábla</vt:lpstr>
      <vt:lpstr>'2.tábla'!Nyomtatási_cím</vt:lpstr>
      <vt:lpstr>'1.tábla '!Nyomtatási_terület</vt:lpstr>
      <vt:lpstr>'2.tábla'!Nyomtatási_terület</vt:lpstr>
      <vt:lpstr>'3.tábla '!Nyomtatási_terület</vt:lpstr>
      <vt:lpstr>'5.tábla'!Nyomtatási_terület</vt:lpstr>
      <vt:lpstr>'6.tábla '!Nyomtatási_terület</vt:lpstr>
      <vt:lpstr>'7.tábla'!Nyomtatási_terület</vt:lpstr>
      <vt:lpstr>'8.tábla'!Nyomtatási_terület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Frits Ivett</cp:lastModifiedBy>
  <cp:lastPrinted>2018-09-27T07:31:41Z</cp:lastPrinted>
  <dcterms:created xsi:type="dcterms:W3CDTF">2014-05-27T12:51:39Z</dcterms:created>
  <dcterms:modified xsi:type="dcterms:W3CDTF">2018-09-27T08:03:17Z</dcterms:modified>
</cp:coreProperties>
</file>