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60" yWindow="888" windowWidth="17496" windowHeight="11016" tabRatio="823"/>
  </bookViews>
  <sheets>
    <sheet name="1.sz.tábla   (2)" sheetId="148" r:id="rId1"/>
    <sheet name="2.sz.tábla   (2)" sheetId="149" r:id="rId2"/>
    <sheet name="2.a tábla ÚJ " sheetId="150" r:id="rId3"/>
    <sheet name="2b. tábla 2019 (2)" sheetId="151" r:id="rId4"/>
    <sheet name="2c. tábla 2019. (2)" sheetId="152" r:id="rId5"/>
    <sheet name="3.sz. tábla  (2)" sheetId="153" r:id="rId6"/>
    <sheet name="4.sz.tábla " sheetId="154" r:id="rId7"/>
    <sheet name="4a. sz. tábla  (3)" sheetId="160" r:id="rId8"/>
    <sheet name="5.tábla (2)" sheetId="155" r:id="rId9"/>
    <sheet name="5b. sz. tábla  (2)" sheetId="156" r:id="rId10"/>
    <sheet name="6.sz.tábla  (2)" sheetId="164" r:id="rId11"/>
    <sheet name="7. sz. tábla 1" sheetId="157" r:id="rId12"/>
    <sheet name="8. sz. tábla  (3)" sheetId="158" r:id="rId13"/>
    <sheet name="8a. sz. tábla  (4)" sheetId="143" r:id="rId14"/>
    <sheet name="9. sz. tábla (2)" sheetId="163" r:id="rId15"/>
    <sheet name="10.sz. tábla" sheetId="161" r:id="rId16"/>
    <sheet name="11. sz. tábla " sheetId="165" r:id="rId17"/>
    <sheet name="Munka1" sheetId="134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0">'1.sz.tábla   (2)'!$A$1:$E$53</definedName>
    <definedName name="_xlnm.Print_Area" localSheetId="16">'11. sz. tábla '!$A$1:$N$54</definedName>
    <definedName name="_xlnm.Print_Area" localSheetId="2">'2.a tábla ÚJ '!$A$1:$V$60</definedName>
    <definedName name="_xlnm.Print_Area" localSheetId="1">'2.sz.tábla   (2)'!$A$1:$Q$94</definedName>
    <definedName name="_xlnm.Print_Area" localSheetId="3">'2b. tábla 2019 (2)'!$A$1:$K$89</definedName>
    <definedName name="_xlnm.Print_Area" localSheetId="4">'2c. tábla 2019. (2)'!$A$1:$M$136</definedName>
    <definedName name="_xlnm.Print_Area" localSheetId="5">'3.sz. tábla  (2)'!$A$1:$AI$16</definedName>
    <definedName name="_xlnm.Print_Area" localSheetId="6">'4.sz.tábla '!$A$1:$AY$13</definedName>
    <definedName name="_xlnm.Print_Area" localSheetId="7">'4a. sz. tábla  (3)'!$A$1:$F$28</definedName>
    <definedName name="_xlnm.Print_Area" localSheetId="8">'5.tábla (2)'!$A$1:$E$151</definedName>
    <definedName name="_xlnm.Print_Area" localSheetId="9">'5b. sz. tábla  (2)'!$A$2:$E$73</definedName>
    <definedName name="_xlnm.Print_Area" localSheetId="10">'6.sz.tábla  (2)'!$A$1:$E$119</definedName>
    <definedName name="_xlnm.Print_Area" localSheetId="11">'7. sz. tábla 1'!$A$1:$E$223</definedName>
    <definedName name="_xlnm.Print_Area" localSheetId="12">'8. sz. tábla  (3)'!$A$1:$J$61</definedName>
    <definedName name="_xlnm.Print_Area" localSheetId="13">'8a. sz. tábla  (4)'!$A$2:$H$62</definedName>
    <definedName name="_xlnm.Print_Area" localSheetId="14">'9. sz. tábla (2)'!$A$2:$J$95</definedName>
    <definedName name="onev" localSheetId="3">[1]kod!$BT$34:$BT$3186</definedName>
    <definedName name="onev" localSheetId="4">[1]kod!$BT$34:$BT$3186</definedName>
    <definedName name="onev">[2]kod!$BT$34:$BT$3186</definedName>
  </definedNames>
  <calcPr calcId="145621"/>
</workbook>
</file>

<file path=xl/calcChain.xml><?xml version="1.0" encoding="utf-8"?>
<calcChain xmlns="http://schemas.openxmlformats.org/spreadsheetml/2006/main">
  <c r="D62" i="163" l="1"/>
  <c r="D50" i="163"/>
  <c r="D41" i="163"/>
  <c r="H40" i="163" l="1"/>
  <c r="H39" i="163"/>
  <c r="E6" i="154" l="1"/>
  <c r="I6" i="154"/>
  <c r="M6" i="154"/>
  <c r="R6" i="154"/>
  <c r="V6" i="154"/>
  <c r="AE6" i="154"/>
  <c r="AI6" i="154"/>
  <c r="AM6" i="154"/>
  <c r="AR6" i="154"/>
  <c r="AR9" i="154" s="1"/>
  <c r="AR11" i="154" s="1"/>
  <c r="AZ6" i="154"/>
  <c r="E7" i="154"/>
  <c r="I7" i="154"/>
  <c r="M7" i="154"/>
  <c r="R7" i="154"/>
  <c r="V7" i="154"/>
  <c r="Z7" i="154"/>
  <c r="AE7" i="154"/>
  <c r="AV7" i="154" s="1"/>
  <c r="AI7" i="154"/>
  <c r="AM7" i="154"/>
  <c r="AR7" i="154"/>
  <c r="AT7" i="154"/>
  <c r="AU7" i="154"/>
  <c r="AW7" i="154"/>
  <c r="AW9" i="154" s="1"/>
  <c r="AZ9" i="154" s="1"/>
  <c r="AX7" i="154"/>
  <c r="E8" i="154"/>
  <c r="I8" i="154"/>
  <c r="M8" i="154"/>
  <c r="R8" i="154"/>
  <c r="V8" i="154"/>
  <c r="Z8" i="154"/>
  <c r="AE8" i="154"/>
  <c r="AI8" i="154"/>
  <c r="AM8" i="154"/>
  <c r="AR8" i="154"/>
  <c r="AT8" i="154"/>
  <c r="AU8" i="154"/>
  <c r="AW8" i="154"/>
  <c r="AZ8" i="154" s="1"/>
  <c r="B9" i="154"/>
  <c r="C9" i="154"/>
  <c r="D9" i="154"/>
  <c r="E9" i="154" s="1"/>
  <c r="F9" i="154"/>
  <c r="G9" i="154"/>
  <c r="H9" i="154"/>
  <c r="J9" i="154"/>
  <c r="K9" i="154"/>
  <c r="L9" i="154"/>
  <c r="M9" i="154" s="1"/>
  <c r="O9" i="154"/>
  <c r="P9" i="154"/>
  <c r="Q9" i="154"/>
  <c r="S9" i="154"/>
  <c r="T9" i="154"/>
  <c r="U9" i="154"/>
  <c r="V9" i="154" s="1"/>
  <c r="AB9" i="154"/>
  <c r="AC9" i="154"/>
  <c r="AD9" i="154"/>
  <c r="AE9" i="154"/>
  <c r="AF9" i="154"/>
  <c r="AG9" i="154"/>
  <c r="AH9" i="154"/>
  <c r="AI9" i="154"/>
  <c r="AJ9" i="154"/>
  <c r="AK9" i="154"/>
  <c r="AL9" i="154"/>
  <c r="AL11" i="154" s="1"/>
  <c r="AO9" i="154"/>
  <c r="AO11" i="154" s="1"/>
  <c r="AP9" i="154"/>
  <c r="AP11" i="154" s="1"/>
  <c r="AQ9" i="154"/>
  <c r="AX9" i="154"/>
  <c r="AY9" i="154"/>
  <c r="B10" i="154"/>
  <c r="C10" i="154"/>
  <c r="C11" i="154" s="1"/>
  <c r="D10" i="154"/>
  <c r="F10" i="154"/>
  <c r="G10" i="154"/>
  <c r="H10" i="154"/>
  <c r="I10" i="154" s="1"/>
  <c r="S10" i="154"/>
  <c r="T10" i="154"/>
  <c r="T11" i="154" s="1"/>
  <c r="U10" i="154"/>
  <c r="V10" i="154" s="1"/>
  <c r="AE10" i="154"/>
  <c r="AI10" i="154"/>
  <c r="AM10" i="154"/>
  <c r="AR10" i="154"/>
  <c r="G11" i="154"/>
  <c r="S11" i="154"/>
  <c r="AB11" i="154"/>
  <c r="AE11" i="154"/>
  <c r="AF11" i="154"/>
  <c r="AG11" i="154"/>
  <c r="AH11" i="154"/>
  <c r="AI11" i="154"/>
  <c r="AJ11" i="154"/>
  <c r="AK11" i="154"/>
  <c r="AM11" i="154" s="1"/>
  <c r="AQ11" i="154"/>
  <c r="R39" i="154"/>
  <c r="R40" i="154"/>
  <c r="U11" i="154" l="1"/>
  <c r="E10" i="154"/>
  <c r="I9" i="154"/>
  <c r="AV8" i="154"/>
  <c r="AZ7" i="154"/>
  <c r="V11" i="154"/>
  <c r="B11" i="154"/>
  <c r="AM9" i="154"/>
  <c r="F11" i="154"/>
  <c r="H11" i="154"/>
  <c r="D11" i="154"/>
  <c r="R9" i="154"/>
  <c r="E11" i="154" l="1"/>
  <c r="I11" i="154"/>
  <c r="B39" i="163" l="1"/>
  <c r="D20" i="163"/>
  <c r="D32" i="163"/>
  <c r="D42" i="163"/>
  <c r="M20" i="165"/>
  <c r="M28" i="165"/>
  <c r="L28" i="165"/>
  <c r="I28" i="165"/>
  <c r="J28" i="165"/>
  <c r="K28" i="165"/>
  <c r="H28" i="165"/>
  <c r="C28" i="165"/>
  <c r="B28" i="165"/>
  <c r="E400" i="161" l="1"/>
  <c r="B393" i="161"/>
  <c r="E393" i="161" s="1"/>
  <c r="D404" i="161"/>
  <c r="C404" i="161"/>
  <c r="B404" i="161"/>
  <c r="E403" i="161"/>
  <c r="E402" i="161"/>
  <c r="E401" i="161"/>
  <c r="E399" i="161"/>
  <c r="E398" i="161"/>
  <c r="E397" i="161"/>
  <c r="D394" i="161"/>
  <c r="C394" i="161"/>
  <c r="E392" i="161"/>
  <c r="E391" i="161"/>
  <c r="E390" i="161"/>
  <c r="D265" i="161"/>
  <c r="D264" i="161"/>
  <c r="D266" i="161"/>
  <c r="E189" i="161"/>
  <c r="D190" i="161"/>
  <c r="D166" i="161"/>
  <c r="D164" i="161"/>
  <c r="C142" i="161"/>
  <c r="C141" i="161"/>
  <c r="L27" i="149"/>
  <c r="D152" i="157"/>
  <c r="D220" i="157"/>
  <c r="E161" i="157"/>
  <c r="E135" i="157"/>
  <c r="E134" i="157"/>
  <c r="E133" i="157"/>
  <c r="E132" i="157"/>
  <c r="E131" i="157"/>
  <c r="E130" i="157"/>
  <c r="E129" i="157"/>
  <c r="E128" i="157"/>
  <c r="E127" i="157"/>
  <c r="E65" i="157"/>
  <c r="D269" i="161" l="1"/>
  <c r="E404" i="161"/>
  <c r="B394" i="161"/>
  <c r="E394" i="161"/>
  <c r="D121" i="164"/>
  <c r="E14" i="164"/>
  <c r="D15" i="164"/>
  <c r="E72" i="156"/>
  <c r="D146" i="155"/>
  <c r="E148" i="155"/>
  <c r="E132" i="155"/>
  <c r="D128" i="155"/>
  <c r="E128" i="155" s="1"/>
  <c r="E125" i="155"/>
  <c r="E16" i="155"/>
  <c r="E11" i="155"/>
  <c r="D76" i="155" l="1"/>
  <c r="L12" i="154" s="1"/>
  <c r="D33" i="158"/>
  <c r="D22" i="158"/>
  <c r="M47" i="165" l="1"/>
  <c r="J47" i="165"/>
  <c r="H47" i="165"/>
  <c r="F47" i="165"/>
  <c r="D47" i="165"/>
  <c r="C47" i="165"/>
  <c r="B33" i="158"/>
  <c r="E15" i="155"/>
  <c r="E10" i="155"/>
  <c r="L134" i="152" l="1"/>
  <c r="J85" i="151" l="1"/>
  <c r="K88" i="151"/>
  <c r="K87" i="151"/>
  <c r="K86" i="151"/>
  <c r="H15" i="150" l="1"/>
  <c r="I16" i="150"/>
  <c r="AF10" i="153" l="1"/>
  <c r="AG10" i="153"/>
  <c r="AE10" i="153"/>
  <c r="G54" i="163" l="1"/>
  <c r="AE11" i="153"/>
  <c r="J56" i="151" l="1"/>
  <c r="L86" i="152" l="1"/>
  <c r="L110" i="152" l="1"/>
  <c r="L107" i="152"/>
  <c r="L100" i="152"/>
  <c r="L94" i="152"/>
  <c r="L74" i="152"/>
  <c r="L62" i="152"/>
  <c r="L47" i="152"/>
  <c r="L17" i="152"/>
  <c r="J24" i="151" l="1"/>
  <c r="H24" i="151"/>
  <c r="J28" i="151"/>
  <c r="J30" i="151"/>
  <c r="J46" i="151"/>
  <c r="J62" i="151"/>
  <c r="J71" i="151"/>
  <c r="J73" i="151"/>
  <c r="J78" i="151"/>
  <c r="J5" i="151"/>
  <c r="C39" i="148"/>
  <c r="C32" i="148" s="1"/>
  <c r="C30" i="148" s="1"/>
  <c r="AP12" i="154" s="1"/>
  <c r="C36" i="148"/>
  <c r="C34" i="148"/>
  <c r="K8" i="149"/>
  <c r="K50" i="149"/>
  <c r="K48" i="149"/>
  <c r="K30" i="149"/>
  <c r="K79" i="149"/>
  <c r="G94" i="149"/>
  <c r="G80" i="149"/>
  <c r="G79" i="149" s="1"/>
  <c r="G78" i="149"/>
  <c r="G77" i="149"/>
  <c r="G70" i="149"/>
  <c r="G66" i="149"/>
  <c r="G61" i="149"/>
  <c r="G58" i="149" s="1"/>
  <c r="G52" i="149"/>
  <c r="G47" i="149"/>
  <c r="G46" i="149"/>
  <c r="G45" i="149"/>
  <c r="G42" i="149"/>
  <c r="G30" i="149" s="1"/>
  <c r="G22" i="149"/>
  <c r="G20" i="149"/>
  <c r="G8" i="149"/>
  <c r="E78" i="149"/>
  <c r="E77" i="149"/>
  <c r="C94" i="149"/>
  <c r="C93" i="149"/>
  <c r="C84" i="149"/>
  <c r="C79" i="149" s="1"/>
  <c r="C76" i="149"/>
  <c r="C70" i="149"/>
  <c r="C66" i="149"/>
  <c r="C58" i="149"/>
  <c r="C48" i="149"/>
  <c r="C43" i="149" s="1"/>
  <c r="C38" i="149"/>
  <c r="C35" i="149"/>
  <c r="C31" i="149"/>
  <c r="H43" i="158"/>
  <c r="H41" i="158" s="1"/>
  <c r="H57" i="158" s="1"/>
  <c r="H38" i="158"/>
  <c r="H36" i="158"/>
  <c r="H23" i="158"/>
  <c r="H12" i="158"/>
  <c r="C33" i="158"/>
  <c r="C22" i="158"/>
  <c r="C220" i="157"/>
  <c r="C223" i="157" s="1"/>
  <c r="C217" i="157"/>
  <c r="C218" i="157" s="1"/>
  <c r="AK12" i="154" s="1"/>
  <c r="C205" i="157"/>
  <c r="C162" i="157" s="1"/>
  <c r="H34" i="158" s="1"/>
  <c r="C152" i="157"/>
  <c r="H35" i="158" s="1"/>
  <c r="C147" i="157"/>
  <c r="C145" i="157" s="1"/>
  <c r="H37" i="158" s="1"/>
  <c r="C139" i="157"/>
  <c r="C136" i="157"/>
  <c r="C60" i="157"/>
  <c r="D120" i="164"/>
  <c r="D122" i="164"/>
  <c r="C121" i="164"/>
  <c r="C118" i="164"/>
  <c r="C108" i="164"/>
  <c r="C103" i="164"/>
  <c r="C91" i="164"/>
  <c r="C67" i="164"/>
  <c r="C56" i="164"/>
  <c r="C47" i="164"/>
  <c r="C40" i="164"/>
  <c r="C27" i="164"/>
  <c r="C21" i="164"/>
  <c r="C15" i="164"/>
  <c r="C24" i="156"/>
  <c r="C12" i="156" s="1"/>
  <c r="C5" i="156"/>
  <c r="C146" i="155"/>
  <c r="H15" i="158" s="1"/>
  <c r="C129" i="155"/>
  <c r="P12" i="154" s="1"/>
  <c r="C76" i="155"/>
  <c r="K12" i="154" s="1"/>
  <c r="M12" i="154" s="1"/>
  <c r="C57" i="155"/>
  <c r="G12" i="154" s="1"/>
  <c r="G13" i="154" s="1"/>
  <c r="C37" i="155"/>
  <c r="C12" i="154" s="1"/>
  <c r="C31" i="155"/>
  <c r="C29" i="155" s="1"/>
  <c r="X10" i="154" s="1"/>
  <c r="C25" i="155"/>
  <c r="C23" i="155"/>
  <c r="P10" i="154" s="1"/>
  <c r="P11" i="154" s="1"/>
  <c r="P13" i="154" s="1"/>
  <c r="C17" i="155"/>
  <c r="K10" i="154" s="1"/>
  <c r="K11" i="154" s="1"/>
  <c r="K13" i="154" s="1"/>
  <c r="D24" i="160"/>
  <c r="D17" i="160"/>
  <c r="D12" i="160"/>
  <c r="D5" i="160"/>
  <c r="X6" i="154" s="1"/>
  <c r="T57" i="150"/>
  <c r="G93" i="149" s="1"/>
  <c r="T46" i="150"/>
  <c r="T13" i="153" s="1"/>
  <c r="T34" i="150"/>
  <c r="T21" i="150"/>
  <c r="T17" i="150"/>
  <c r="T12" i="150"/>
  <c r="O56" i="150"/>
  <c r="K94" i="149" s="1"/>
  <c r="O55" i="150"/>
  <c r="O54" i="150"/>
  <c r="O53" i="150"/>
  <c r="O48" i="150"/>
  <c r="K78" i="149" s="1"/>
  <c r="O43" i="150"/>
  <c r="K27" i="149" s="1"/>
  <c r="K22" i="149" s="1"/>
  <c r="O42" i="150"/>
  <c r="O41" i="150"/>
  <c r="O40" i="150" s="1"/>
  <c r="O37" i="150"/>
  <c r="O34" i="150" s="1"/>
  <c r="O33" i="150"/>
  <c r="K57" i="149" s="1"/>
  <c r="O32" i="150"/>
  <c r="O31" i="150"/>
  <c r="O30" i="150"/>
  <c r="K54" i="149" s="1"/>
  <c r="O29" i="150"/>
  <c r="K53" i="149" s="1"/>
  <c r="O27" i="150"/>
  <c r="K51" i="149" s="1"/>
  <c r="O26" i="150"/>
  <c r="O25" i="150"/>
  <c r="K47" i="149" s="1"/>
  <c r="O24" i="150"/>
  <c r="O16" i="150"/>
  <c r="O14" i="150"/>
  <c r="K21" i="149" s="1"/>
  <c r="O13" i="150"/>
  <c r="O12" i="150" s="1"/>
  <c r="K57" i="150"/>
  <c r="K47" i="150"/>
  <c r="K46" i="150" s="1"/>
  <c r="T11" i="153" s="1"/>
  <c r="K40" i="150"/>
  <c r="K34" i="150"/>
  <c r="K21" i="150"/>
  <c r="K15" i="150"/>
  <c r="O15" i="150" s="1"/>
  <c r="K12" i="150"/>
  <c r="G57" i="150"/>
  <c r="G47" i="150"/>
  <c r="G46" i="150" s="1"/>
  <c r="T10" i="153" s="1"/>
  <c r="G40" i="150"/>
  <c r="G34" i="150"/>
  <c r="G21" i="150"/>
  <c r="G12" i="150"/>
  <c r="E13" i="150"/>
  <c r="C57" i="150"/>
  <c r="C47" i="150"/>
  <c r="C46" i="150" s="1"/>
  <c r="T9" i="153" s="1"/>
  <c r="C34" i="150"/>
  <c r="C28" i="150"/>
  <c r="O28" i="150" s="1"/>
  <c r="K52" i="149" s="1"/>
  <c r="C23" i="150"/>
  <c r="O23" i="150" s="1"/>
  <c r="K45" i="149" s="1"/>
  <c r="C12" i="150"/>
  <c r="X9" i="154" l="1"/>
  <c r="X11" i="154" s="1"/>
  <c r="AT6" i="154"/>
  <c r="AT9" i="154" s="1"/>
  <c r="C13" i="154"/>
  <c r="H32" i="158"/>
  <c r="AC12" i="154"/>
  <c r="AC13" i="154" s="1"/>
  <c r="AT10" i="154"/>
  <c r="AK13" i="154"/>
  <c r="AP13" i="154"/>
  <c r="J4" i="151"/>
  <c r="J42" i="151"/>
  <c r="C28" i="148"/>
  <c r="C35" i="148"/>
  <c r="C37" i="148" s="1"/>
  <c r="K20" i="149"/>
  <c r="K7" i="149" s="1"/>
  <c r="G76" i="149"/>
  <c r="G75" i="149" s="1"/>
  <c r="K43" i="149"/>
  <c r="K61" i="149"/>
  <c r="K58" i="149" s="1"/>
  <c r="K69" i="149"/>
  <c r="K66" i="149" s="1"/>
  <c r="G91" i="149"/>
  <c r="G43" i="149"/>
  <c r="G7" i="149"/>
  <c r="C91" i="149"/>
  <c r="C75" i="149"/>
  <c r="C34" i="149"/>
  <c r="C30" i="149" s="1"/>
  <c r="T12" i="153"/>
  <c r="T14" i="153" s="1"/>
  <c r="C23" i="148"/>
  <c r="C27" i="148"/>
  <c r="H33" i="158"/>
  <c r="H20" i="158"/>
  <c r="H19" i="158" s="1"/>
  <c r="H56" i="158" s="1"/>
  <c r="H55" i="158" s="1"/>
  <c r="C141" i="157"/>
  <c r="C142" i="157" s="1"/>
  <c r="X12" i="154" s="1"/>
  <c r="C211" i="157"/>
  <c r="AG12" i="154" s="1"/>
  <c r="AG13" i="154" s="1"/>
  <c r="D123" i="164"/>
  <c r="C119" i="164"/>
  <c r="C73" i="156"/>
  <c r="C28" i="155"/>
  <c r="D28" i="160"/>
  <c r="T44" i="150"/>
  <c r="O13" i="153" s="1"/>
  <c r="O57" i="150"/>
  <c r="K93" i="149" s="1"/>
  <c r="O21" i="150"/>
  <c r="O47" i="150"/>
  <c r="C21" i="150"/>
  <c r="C44" i="150" s="1"/>
  <c r="O9" i="153" s="1"/>
  <c r="K44" i="150"/>
  <c r="O11" i="153" s="1"/>
  <c r="G44" i="150"/>
  <c r="O10" i="153" s="1"/>
  <c r="AT11" i="154" l="1"/>
  <c r="X13" i="154"/>
  <c r="J89" i="151"/>
  <c r="C33" i="155"/>
  <c r="C22" i="148"/>
  <c r="O46" i="150"/>
  <c r="K77" i="149"/>
  <c r="K76" i="149" s="1"/>
  <c r="G74" i="149"/>
  <c r="G92" i="149" s="1"/>
  <c r="O12" i="153"/>
  <c r="O14" i="153" s="1"/>
  <c r="H30" i="158"/>
  <c r="C212" i="157"/>
  <c r="C26" i="148" s="1"/>
  <c r="C25" i="148" s="1"/>
  <c r="O44" i="150"/>
  <c r="E259" i="161"/>
  <c r="E260" i="161"/>
  <c r="E258" i="161"/>
  <c r="E242" i="161"/>
  <c r="E241" i="161"/>
  <c r="E240" i="161"/>
  <c r="K75" i="149" l="1"/>
  <c r="K91" i="149"/>
  <c r="C78" i="161"/>
  <c r="D82" i="161"/>
  <c r="E81" i="161"/>
  <c r="E62" i="161"/>
  <c r="C59" i="161"/>
  <c r="B365" i="161" l="1"/>
  <c r="B374" i="161"/>
  <c r="C72" i="161" l="1"/>
  <c r="C80" i="161"/>
  <c r="C82" i="161" s="1"/>
  <c r="C53" i="161"/>
  <c r="C61" i="161"/>
  <c r="C63" i="161" s="1"/>
  <c r="G41" i="163" l="1"/>
  <c r="C72" i="163" l="1"/>
  <c r="I38" i="158"/>
  <c r="J38" i="158" s="1"/>
  <c r="K47" i="165" l="1"/>
  <c r="I47" i="165"/>
  <c r="E47" i="165"/>
  <c r="L47" i="165" l="1"/>
  <c r="G47" i="165"/>
  <c r="O33" i="165"/>
  <c r="O35" i="165"/>
  <c r="D223" i="157"/>
  <c r="D217" i="157"/>
  <c r="D218" i="157" s="1"/>
  <c r="D205" i="157"/>
  <c r="E169" i="157"/>
  <c r="E170" i="157"/>
  <c r="E171" i="157"/>
  <c r="E172" i="157"/>
  <c r="E173" i="157"/>
  <c r="E174" i="157"/>
  <c r="E175" i="157"/>
  <c r="E159" i="157"/>
  <c r="D147" i="157"/>
  <c r="D145" i="157" s="1"/>
  <c r="I29" i="163" s="1"/>
  <c r="E150" i="157"/>
  <c r="E123" i="157"/>
  <c r="E124" i="157"/>
  <c r="E125" i="157"/>
  <c r="E126" i="157"/>
  <c r="E121" i="157"/>
  <c r="E122" i="157"/>
  <c r="E138" i="157"/>
  <c r="D136" i="157"/>
  <c r="D139" i="157"/>
  <c r="E108" i="157"/>
  <c r="E109" i="157"/>
  <c r="E93" i="157"/>
  <c r="E78" i="157"/>
  <c r="E71" i="156"/>
  <c r="D24" i="156"/>
  <c r="D12" i="156" s="1"/>
  <c r="E113" i="155"/>
  <c r="E124" i="155"/>
  <c r="E123" i="155"/>
  <c r="E122" i="155"/>
  <c r="E121" i="155"/>
  <c r="E61" i="155"/>
  <c r="E42" i="155"/>
  <c r="E14" i="155"/>
  <c r="E13" i="155"/>
  <c r="E9" i="155"/>
  <c r="E8" i="155"/>
  <c r="D48" i="149"/>
  <c r="D38" i="149"/>
  <c r="D35" i="149"/>
  <c r="D31" i="149"/>
  <c r="O51" i="165" l="1"/>
  <c r="AL12" i="154"/>
  <c r="O46" i="165"/>
  <c r="AD12" i="154"/>
  <c r="D34" i="149"/>
  <c r="D141" i="157"/>
  <c r="D30" i="149"/>
  <c r="O9" i="165" s="1"/>
  <c r="D93" i="149"/>
  <c r="D94" i="149"/>
  <c r="H94" i="149"/>
  <c r="P53" i="150"/>
  <c r="P54" i="150"/>
  <c r="P55" i="150"/>
  <c r="P56" i="150"/>
  <c r="L94" i="149" s="1"/>
  <c r="U57" i="150"/>
  <c r="H93" i="149" s="1"/>
  <c r="AE12" i="154" l="1"/>
  <c r="AD13" i="154"/>
  <c r="AE13" i="154" s="1"/>
  <c r="AM12" i="154"/>
  <c r="AL13" i="154"/>
  <c r="AM13" i="154" s="1"/>
  <c r="P57" i="150"/>
  <c r="L93" i="149" s="1"/>
  <c r="D57" i="150"/>
  <c r="AJ10" i="153" l="1"/>
  <c r="I24" i="150"/>
  <c r="I25" i="150"/>
  <c r="I26" i="150"/>
  <c r="I27" i="150"/>
  <c r="I28" i="150"/>
  <c r="I29" i="150"/>
  <c r="I30" i="150"/>
  <c r="I31" i="150"/>
  <c r="I32" i="150"/>
  <c r="I33" i="150"/>
  <c r="I35" i="150"/>
  <c r="I36" i="150"/>
  <c r="I37" i="150"/>
  <c r="I38" i="150"/>
  <c r="I39" i="150"/>
  <c r="H57" i="150"/>
  <c r="L57" i="150"/>
  <c r="J100" i="152" l="1"/>
  <c r="K99" i="152"/>
  <c r="M99" i="152" s="1"/>
  <c r="D31" i="155" l="1"/>
  <c r="F26" i="160"/>
  <c r="H15" i="163" l="1"/>
  <c r="I14" i="163"/>
  <c r="H10" i="163"/>
  <c r="H9" i="163"/>
  <c r="C32" i="163"/>
  <c r="D26" i="163"/>
  <c r="C20" i="163"/>
  <c r="D10" i="163"/>
  <c r="G44" i="143"/>
  <c r="G37" i="143"/>
  <c r="C43" i="143"/>
  <c r="C34" i="143"/>
  <c r="G21" i="143"/>
  <c r="G13" i="143"/>
  <c r="C25" i="143"/>
  <c r="C23" i="143"/>
  <c r="C21" i="143"/>
  <c r="C9" i="143"/>
  <c r="I43" i="158"/>
  <c r="I41" i="158" s="1"/>
  <c r="I57" i="158" s="1"/>
  <c r="G39" i="143"/>
  <c r="I36" i="158"/>
  <c r="J36" i="158" s="1"/>
  <c r="I23" i="158"/>
  <c r="I20" i="158"/>
  <c r="I12" i="158"/>
  <c r="E11" i="158"/>
  <c r="D35" i="148"/>
  <c r="D34" i="148"/>
  <c r="F19" i="160"/>
  <c r="F21" i="160"/>
  <c r="F22" i="160"/>
  <c r="F23" i="160"/>
  <c r="F18" i="160"/>
  <c r="F14" i="160"/>
  <c r="F16" i="160"/>
  <c r="F13" i="160"/>
  <c r="F8" i="160"/>
  <c r="F9" i="160"/>
  <c r="F10" i="160"/>
  <c r="F11" i="160"/>
  <c r="F6" i="160"/>
  <c r="E17" i="160"/>
  <c r="E12" i="160"/>
  <c r="E5" i="160"/>
  <c r="Y6" i="154" s="1"/>
  <c r="E221" i="157"/>
  <c r="E222" i="157"/>
  <c r="E216" i="157"/>
  <c r="E215" i="157"/>
  <c r="E193" i="157"/>
  <c r="E194" i="157"/>
  <c r="E195" i="157"/>
  <c r="E196" i="157"/>
  <c r="E197" i="157"/>
  <c r="E198" i="157"/>
  <c r="E199" i="157"/>
  <c r="E200" i="157"/>
  <c r="E201" i="157"/>
  <c r="E202" i="157"/>
  <c r="E203" i="157"/>
  <c r="E204" i="157"/>
  <c r="E206" i="157"/>
  <c r="E207" i="157"/>
  <c r="E208" i="157"/>
  <c r="E209" i="157"/>
  <c r="E210" i="157"/>
  <c r="E186" i="157"/>
  <c r="E187" i="157"/>
  <c r="E188" i="157"/>
  <c r="E189" i="157"/>
  <c r="E190" i="157"/>
  <c r="E191" i="157"/>
  <c r="E192" i="157"/>
  <c r="E185" i="157"/>
  <c r="E181" i="157"/>
  <c r="E182" i="157"/>
  <c r="E183" i="157"/>
  <c r="E184" i="157"/>
  <c r="E164" i="157"/>
  <c r="E165" i="157"/>
  <c r="E166" i="157"/>
  <c r="E167" i="157"/>
  <c r="E168" i="157"/>
  <c r="E176" i="157"/>
  <c r="E177" i="157"/>
  <c r="E179" i="157"/>
  <c r="E180" i="157"/>
  <c r="E163" i="157"/>
  <c r="E154" i="157"/>
  <c r="E155" i="157"/>
  <c r="E156" i="157"/>
  <c r="E157" i="157"/>
  <c r="E158" i="157"/>
  <c r="E160" i="157"/>
  <c r="E153" i="157"/>
  <c r="E148" i="157"/>
  <c r="E149" i="157"/>
  <c r="E151" i="157"/>
  <c r="E103" i="157"/>
  <c r="E105" i="157"/>
  <c r="E106" i="157"/>
  <c r="E107" i="157"/>
  <c r="E110" i="157"/>
  <c r="E111" i="157"/>
  <c r="E112" i="157"/>
  <c r="E113" i="157"/>
  <c r="E114" i="157"/>
  <c r="E115" i="157"/>
  <c r="E116" i="157"/>
  <c r="E117" i="157"/>
  <c r="E118" i="157"/>
  <c r="E119" i="157"/>
  <c r="E120" i="157"/>
  <c r="E137" i="157"/>
  <c r="E140" i="157"/>
  <c r="E102" i="157"/>
  <c r="E64" i="157"/>
  <c r="E66" i="157"/>
  <c r="E67" i="157"/>
  <c r="E68" i="157"/>
  <c r="E69" i="157"/>
  <c r="E70" i="157"/>
  <c r="E71" i="157"/>
  <c r="E72" i="157"/>
  <c r="E73" i="157"/>
  <c r="E74" i="157"/>
  <c r="E75" i="157"/>
  <c r="E76" i="157"/>
  <c r="E77" i="157"/>
  <c r="E79" i="157"/>
  <c r="E80" i="157"/>
  <c r="E81" i="157"/>
  <c r="E82" i="157"/>
  <c r="E83" i="157"/>
  <c r="E84" i="157"/>
  <c r="E85" i="157"/>
  <c r="E86" i="157"/>
  <c r="E87" i="157"/>
  <c r="E88" i="157"/>
  <c r="E89" i="157"/>
  <c r="E90" i="157"/>
  <c r="E91" i="157"/>
  <c r="E92" i="157"/>
  <c r="E94" i="157"/>
  <c r="E95" i="157"/>
  <c r="E96" i="157"/>
  <c r="E97" i="157"/>
  <c r="E98" i="157"/>
  <c r="E99" i="157"/>
  <c r="E100" i="157"/>
  <c r="E101" i="157"/>
  <c r="E63" i="157"/>
  <c r="E38" i="157"/>
  <c r="E39" i="157"/>
  <c r="E40" i="157"/>
  <c r="E41" i="157"/>
  <c r="E42" i="157"/>
  <c r="E43" i="157"/>
  <c r="E44" i="157"/>
  <c r="E45" i="157"/>
  <c r="E46" i="157"/>
  <c r="E47" i="157"/>
  <c r="E48" i="157"/>
  <c r="E49" i="157"/>
  <c r="E50" i="157"/>
  <c r="E51" i="157"/>
  <c r="E52" i="157"/>
  <c r="E53" i="157"/>
  <c r="E54" i="157"/>
  <c r="E55" i="157"/>
  <c r="E56" i="157"/>
  <c r="E57" i="157"/>
  <c r="E58" i="157"/>
  <c r="E59" i="157"/>
  <c r="E6" i="157"/>
  <c r="E7" i="157"/>
  <c r="E8" i="157"/>
  <c r="E9" i="157"/>
  <c r="E10" i="157"/>
  <c r="E11" i="157"/>
  <c r="E12" i="157"/>
  <c r="E13" i="157"/>
  <c r="E14" i="157"/>
  <c r="E15" i="157"/>
  <c r="E16" i="157"/>
  <c r="E17" i="157"/>
  <c r="E18" i="157"/>
  <c r="E19" i="157"/>
  <c r="E20" i="157"/>
  <c r="E21" i="157"/>
  <c r="E22" i="157"/>
  <c r="E23" i="157"/>
  <c r="E24" i="157"/>
  <c r="E25" i="157"/>
  <c r="E26" i="157"/>
  <c r="E27" i="157"/>
  <c r="E28" i="157"/>
  <c r="E29" i="157"/>
  <c r="E30" i="157"/>
  <c r="E31" i="157"/>
  <c r="E32" i="157"/>
  <c r="E33" i="157"/>
  <c r="E34" i="157"/>
  <c r="E36" i="157"/>
  <c r="E37" i="157"/>
  <c r="E5" i="157"/>
  <c r="I25" i="163"/>
  <c r="D162" i="157"/>
  <c r="I28" i="163"/>
  <c r="G38" i="143"/>
  <c r="D60" i="157"/>
  <c r="F14" i="143"/>
  <c r="G11" i="163"/>
  <c r="E47" i="156"/>
  <c r="E48" i="156"/>
  <c r="E49" i="156"/>
  <c r="E50" i="156"/>
  <c r="E51" i="156"/>
  <c r="E52" i="156"/>
  <c r="E53" i="156"/>
  <c r="E54" i="156"/>
  <c r="E55" i="156"/>
  <c r="E56" i="156"/>
  <c r="E57" i="156"/>
  <c r="E58" i="156"/>
  <c r="E59" i="156"/>
  <c r="E60" i="156"/>
  <c r="E61" i="156"/>
  <c r="E62" i="156"/>
  <c r="E63" i="156"/>
  <c r="E64" i="156"/>
  <c r="E65" i="156"/>
  <c r="E66" i="156"/>
  <c r="E67" i="156"/>
  <c r="E68" i="156"/>
  <c r="E69" i="156"/>
  <c r="E70" i="156"/>
  <c r="E46" i="156"/>
  <c r="E14" i="156"/>
  <c r="E15" i="156"/>
  <c r="E16" i="156"/>
  <c r="E17" i="156"/>
  <c r="E18" i="156"/>
  <c r="E19" i="156"/>
  <c r="E20" i="156"/>
  <c r="E21" i="156"/>
  <c r="E22" i="156"/>
  <c r="E23" i="156"/>
  <c r="E25" i="156"/>
  <c r="E26" i="156"/>
  <c r="E27" i="156"/>
  <c r="E28" i="156"/>
  <c r="E29" i="156"/>
  <c r="E30" i="156"/>
  <c r="E31" i="156"/>
  <c r="E32" i="156"/>
  <c r="E33" i="156"/>
  <c r="E34" i="156"/>
  <c r="E35" i="156"/>
  <c r="E36" i="156"/>
  <c r="E37" i="156"/>
  <c r="E38" i="156"/>
  <c r="E39" i="156"/>
  <c r="E40" i="156"/>
  <c r="E41" i="156"/>
  <c r="E42" i="156"/>
  <c r="E13" i="156"/>
  <c r="E8" i="156"/>
  <c r="E9" i="156"/>
  <c r="E10" i="156"/>
  <c r="E11" i="156"/>
  <c r="E7" i="156"/>
  <c r="E6" i="156"/>
  <c r="D149" i="155"/>
  <c r="G15" i="143" s="1"/>
  <c r="D5" i="156"/>
  <c r="D144" i="155" s="1"/>
  <c r="E147" i="155"/>
  <c r="E141" i="155"/>
  <c r="E142" i="155"/>
  <c r="E143" i="155"/>
  <c r="E145" i="155"/>
  <c r="E140" i="155"/>
  <c r="E131" i="155"/>
  <c r="E133" i="155"/>
  <c r="E134" i="155"/>
  <c r="E135" i="155"/>
  <c r="E136" i="155"/>
  <c r="E137" i="155"/>
  <c r="E138" i="155"/>
  <c r="E130" i="155"/>
  <c r="E78" i="155"/>
  <c r="E79" i="155"/>
  <c r="E80" i="155"/>
  <c r="E81" i="155"/>
  <c r="E82" i="155"/>
  <c r="E83" i="155"/>
  <c r="E84" i="155"/>
  <c r="E85" i="155"/>
  <c r="E86" i="155"/>
  <c r="E87" i="155"/>
  <c r="E88" i="155"/>
  <c r="E89" i="155"/>
  <c r="E90" i="155"/>
  <c r="E91" i="155"/>
  <c r="E92" i="155"/>
  <c r="E93" i="155"/>
  <c r="E94" i="155"/>
  <c r="E95" i="155"/>
  <c r="E96" i="155"/>
  <c r="E97" i="155"/>
  <c r="E98" i="155"/>
  <c r="E99" i="155"/>
  <c r="E100" i="155"/>
  <c r="E101" i="155"/>
  <c r="E102" i="155"/>
  <c r="E103" i="155"/>
  <c r="E104" i="155"/>
  <c r="E105" i="155"/>
  <c r="E106" i="155"/>
  <c r="E107" i="155"/>
  <c r="E108" i="155"/>
  <c r="E109" i="155"/>
  <c r="E110" i="155"/>
  <c r="E112" i="155"/>
  <c r="E114" i="155"/>
  <c r="E115" i="155"/>
  <c r="E116" i="155"/>
  <c r="E117" i="155"/>
  <c r="E118" i="155"/>
  <c r="E119" i="155"/>
  <c r="E120" i="155"/>
  <c r="E126" i="155"/>
  <c r="E127" i="155"/>
  <c r="E77" i="155"/>
  <c r="E76" i="155" s="1"/>
  <c r="E59" i="155"/>
  <c r="E60" i="155"/>
  <c r="E62" i="155"/>
  <c r="E63" i="155"/>
  <c r="E64" i="155"/>
  <c r="E65" i="155"/>
  <c r="E66" i="155"/>
  <c r="E67" i="155"/>
  <c r="E68" i="155"/>
  <c r="E69" i="155"/>
  <c r="E70" i="155"/>
  <c r="E71" i="155"/>
  <c r="E72" i="155"/>
  <c r="E73" i="155"/>
  <c r="E74" i="155"/>
  <c r="E58" i="155"/>
  <c r="E39" i="155"/>
  <c r="E40" i="155"/>
  <c r="E41" i="155"/>
  <c r="E43" i="155"/>
  <c r="E44" i="155"/>
  <c r="E45" i="155"/>
  <c r="E46" i="155"/>
  <c r="E47" i="155"/>
  <c r="E48" i="155"/>
  <c r="E49" i="155"/>
  <c r="E50" i="155"/>
  <c r="E51" i="155"/>
  <c r="E52" i="155"/>
  <c r="E53" i="155"/>
  <c r="E54" i="155"/>
  <c r="E55" i="155"/>
  <c r="E56" i="155"/>
  <c r="E38" i="155"/>
  <c r="E32" i="155"/>
  <c r="E31" i="155"/>
  <c r="E30" i="155"/>
  <c r="E27" i="155"/>
  <c r="E26" i="155"/>
  <c r="E19" i="155"/>
  <c r="E20" i="155"/>
  <c r="E21" i="155"/>
  <c r="E22" i="155"/>
  <c r="E24" i="155"/>
  <c r="E18" i="155"/>
  <c r="E12" i="155"/>
  <c r="E7" i="155"/>
  <c r="I17" i="163"/>
  <c r="D129" i="155"/>
  <c r="Q12" i="154" s="1"/>
  <c r="R12" i="154" s="1"/>
  <c r="D57" i="155"/>
  <c r="H12" i="154" s="1"/>
  <c r="D37" i="155"/>
  <c r="D29" i="155"/>
  <c r="Y10" i="154" s="1"/>
  <c r="Z10" i="154" s="1"/>
  <c r="D25" i="155"/>
  <c r="D23" i="155"/>
  <c r="Q10" i="154" s="1"/>
  <c r="D17" i="155"/>
  <c r="L10" i="154" s="1"/>
  <c r="R10" i="154" l="1"/>
  <c r="Q11" i="154"/>
  <c r="I12" i="154"/>
  <c r="H13" i="154"/>
  <c r="I13" i="154" s="1"/>
  <c r="AU10" i="154"/>
  <c r="L11" i="154"/>
  <c r="M10" i="154"/>
  <c r="O34" i="165"/>
  <c r="D12" i="154"/>
  <c r="AV10" i="154"/>
  <c r="Z6" i="154"/>
  <c r="AV6" i="154" s="1"/>
  <c r="AV9" i="154" s="1"/>
  <c r="AU6" i="154"/>
  <c r="AU9" i="154" s="1"/>
  <c r="AU11" i="154" s="1"/>
  <c r="Y9" i="154"/>
  <c r="I15" i="163"/>
  <c r="D139" i="155"/>
  <c r="U12" i="154" s="1"/>
  <c r="F10" i="143"/>
  <c r="O37" i="165"/>
  <c r="G10" i="143"/>
  <c r="O38" i="165"/>
  <c r="O39" i="165"/>
  <c r="G9" i="143"/>
  <c r="O36" i="165"/>
  <c r="I12" i="163"/>
  <c r="O40" i="165"/>
  <c r="O42" i="165"/>
  <c r="I19" i="158"/>
  <c r="I56" i="158" s="1"/>
  <c r="I55" i="158" s="1"/>
  <c r="D142" i="157"/>
  <c r="Y12" i="154" s="1"/>
  <c r="Z12" i="154" s="1"/>
  <c r="D211" i="157"/>
  <c r="I35" i="158"/>
  <c r="J35" i="158" s="1"/>
  <c r="I37" i="158"/>
  <c r="J37" i="158" s="1"/>
  <c r="G35" i="143"/>
  <c r="I27" i="163"/>
  <c r="D28" i="148"/>
  <c r="I32" i="158"/>
  <c r="J32" i="158" s="1"/>
  <c r="I34" i="158"/>
  <c r="J34" i="158" s="1"/>
  <c r="G33" i="143"/>
  <c r="G36" i="143"/>
  <c r="D73" i="156"/>
  <c r="H12" i="163"/>
  <c r="D28" i="155"/>
  <c r="D33" i="155" s="1"/>
  <c r="I9" i="163"/>
  <c r="K9" i="163" s="1"/>
  <c r="I15" i="158"/>
  <c r="G14" i="143"/>
  <c r="G16" i="143"/>
  <c r="H11" i="163"/>
  <c r="I16" i="163"/>
  <c r="K16" i="163" s="1"/>
  <c r="H24" i="163"/>
  <c r="I14" i="158"/>
  <c r="I10" i="163"/>
  <c r="G15" i="163"/>
  <c r="I13" i="158"/>
  <c r="F8" i="143"/>
  <c r="E23" i="150"/>
  <c r="E24" i="150"/>
  <c r="E25" i="150"/>
  <c r="E26" i="150"/>
  <c r="E27" i="150"/>
  <c r="E28" i="150"/>
  <c r="E29" i="150"/>
  <c r="E30" i="150"/>
  <c r="E31" i="150"/>
  <c r="E32" i="150"/>
  <c r="E33" i="150"/>
  <c r="E22" i="150"/>
  <c r="E90" i="149"/>
  <c r="V20" i="150"/>
  <c r="V22" i="150"/>
  <c r="V23" i="150"/>
  <c r="V24" i="150"/>
  <c r="V28" i="150"/>
  <c r="V35" i="150"/>
  <c r="V36" i="150"/>
  <c r="V37" i="150"/>
  <c r="V38" i="150"/>
  <c r="V39" i="150"/>
  <c r="V40" i="150"/>
  <c r="V41" i="150"/>
  <c r="V42" i="150"/>
  <c r="V43" i="150"/>
  <c r="V47" i="150"/>
  <c r="V48" i="150"/>
  <c r="V49" i="150"/>
  <c r="V52" i="150"/>
  <c r="V53" i="150"/>
  <c r="V54" i="150"/>
  <c r="V55" i="150"/>
  <c r="V59" i="150"/>
  <c r="V13" i="150"/>
  <c r="Q17" i="150"/>
  <c r="Q18" i="150"/>
  <c r="Q19" i="150"/>
  <c r="Q20" i="150"/>
  <c r="Q22" i="150"/>
  <c r="Q35" i="150"/>
  <c r="Q36" i="150"/>
  <c r="Q38" i="150"/>
  <c r="Q39" i="150"/>
  <c r="M14" i="150"/>
  <c r="M22" i="150"/>
  <c r="M23" i="150"/>
  <c r="M24" i="150"/>
  <c r="M25" i="150"/>
  <c r="M26" i="150"/>
  <c r="M27" i="150"/>
  <c r="M29" i="150"/>
  <c r="M30" i="150"/>
  <c r="M31" i="150"/>
  <c r="M32" i="150"/>
  <c r="M33" i="150"/>
  <c r="M35" i="150"/>
  <c r="M36" i="150"/>
  <c r="M37" i="150"/>
  <c r="M38" i="150"/>
  <c r="M39" i="150"/>
  <c r="M41" i="150"/>
  <c r="M42" i="150"/>
  <c r="M43" i="150"/>
  <c r="M48" i="150"/>
  <c r="M49" i="150"/>
  <c r="M13" i="150"/>
  <c r="I14" i="150"/>
  <c r="I23" i="150"/>
  <c r="I41" i="150"/>
  <c r="I48" i="150"/>
  <c r="E48" i="150"/>
  <c r="V60" i="150"/>
  <c r="M54" i="150"/>
  <c r="M55" i="150"/>
  <c r="M56" i="150"/>
  <c r="M53" i="150"/>
  <c r="I54" i="150"/>
  <c r="I55" i="150"/>
  <c r="I56" i="150"/>
  <c r="I53" i="150"/>
  <c r="E54" i="150"/>
  <c r="E55" i="150"/>
  <c r="E56" i="150"/>
  <c r="E53" i="150"/>
  <c r="P94" i="149"/>
  <c r="P93" i="149"/>
  <c r="P90" i="149"/>
  <c r="D24" i="158" s="1"/>
  <c r="D21" i="158" s="1"/>
  <c r="P85" i="149"/>
  <c r="P73" i="149"/>
  <c r="P72" i="149"/>
  <c r="P71" i="149"/>
  <c r="P68" i="149"/>
  <c r="P67" i="149"/>
  <c r="P63" i="149"/>
  <c r="P62" i="149"/>
  <c r="P60" i="149"/>
  <c r="P56" i="149"/>
  <c r="P55" i="149"/>
  <c r="P49" i="149"/>
  <c r="P44" i="149"/>
  <c r="P41" i="149"/>
  <c r="P40" i="149"/>
  <c r="P39" i="149"/>
  <c r="P38" i="149"/>
  <c r="P37" i="149"/>
  <c r="P36" i="149"/>
  <c r="P35" i="149"/>
  <c r="P34" i="149"/>
  <c r="P33" i="149"/>
  <c r="P32" i="149"/>
  <c r="P31" i="149"/>
  <c r="M90" i="149"/>
  <c r="M81" i="149"/>
  <c r="M82" i="149"/>
  <c r="M83" i="149"/>
  <c r="M84" i="149"/>
  <c r="M85" i="149"/>
  <c r="M67" i="149"/>
  <c r="M68" i="149"/>
  <c r="M70" i="149"/>
  <c r="M46" i="149"/>
  <c r="M49" i="149"/>
  <c r="M59" i="149"/>
  <c r="M60" i="149"/>
  <c r="L79" i="149"/>
  <c r="L50" i="149"/>
  <c r="L48" i="149"/>
  <c r="P48" i="149" s="1"/>
  <c r="L30" i="149"/>
  <c r="L8" i="149"/>
  <c r="I90" i="149"/>
  <c r="I85" i="149"/>
  <c r="I84" i="149"/>
  <c r="I73" i="149"/>
  <c r="I72" i="149"/>
  <c r="I44" i="149"/>
  <c r="I21" i="149"/>
  <c r="E85" i="149"/>
  <c r="E72" i="149"/>
  <c r="E73" i="149"/>
  <c r="E69" i="149"/>
  <c r="E68" i="149"/>
  <c r="E60" i="149"/>
  <c r="E32" i="149"/>
  <c r="E33" i="149"/>
  <c r="E36" i="149"/>
  <c r="E37" i="149"/>
  <c r="E39" i="149"/>
  <c r="E40" i="149"/>
  <c r="E41" i="149"/>
  <c r="E42" i="149"/>
  <c r="E44" i="149"/>
  <c r="E45" i="149"/>
  <c r="E46" i="149"/>
  <c r="E47" i="149"/>
  <c r="E49" i="149"/>
  <c r="E50" i="149"/>
  <c r="E51" i="149"/>
  <c r="E52" i="149"/>
  <c r="E53" i="149"/>
  <c r="E54" i="149"/>
  <c r="E55" i="149"/>
  <c r="E56" i="149"/>
  <c r="E57" i="149"/>
  <c r="D84" i="149"/>
  <c r="D79" i="149" s="1"/>
  <c r="O28" i="165" s="1"/>
  <c r="D76" i="149"/>
  <c r="D70" i="149"/>
  <c r="O23" i="165" s="1"/>
  <c r="D66" i="149"/>
  <c r="D12" i="163" s="1"/>
  <c r="D58" i="149"/>
  <c r="D43" i="149"/>
  <c r="E27" i="149"/>
  <c r="E20" i="149"/>
  <c r="H80" i="149"/>
  <c r="H79" i="149" s="1"/>
  <c r="H78" i="149"/>
  <c r="H77" i="149"/>
  <c r="H70" i="149"/>
  <c r="H66" i="149"/>
  <c r="H61" i="149"/>
  <c r="H52" i="149"/>
  <c r="H47" i="149"/>
  <c r="H46" i="149"/>
  <c r="H45" i="149"/>
  <c r="H42" i="149"/>
  <c r="P42" i="149" s="1"/>
  <c r="H22" i="149"/>
  <c r="H20" i="149"/>
  <c r="H8" i="149"/>
  <c r="U46" i="150"/>
  <c r="U13" i="153" s="1"/>
  <c r="U34" i="150"/>
  <c r="U21" i="150"/>
  <c r="C11" i="163" s="1"/>
  <c r="U17" i="150"/>
  <c r="C10" i="163" s="1"/>
  <c r="U12" i="150"/>
  <c r="P48" i="150"/>
  <c r="B32" i="163" s="1"/>
  <c r="P43" i="150"/>
  <c r="P42" i="150"/>
  <c r="P41" i="150"/>
  <c r="P37" i="150"/>
  <c r="P34" i="150" s="1"/>
  <c r="P33" i="150"/>
  <c r="L57" i="149" s="1"/>
  <c r="P32" i="150"/>
  <c r="P31" i="150"/>
  <c r="P30" i="150"/>
  <c r="L54" i="149" s="1"/>
  <c r="P29" i="150"/>
  <c r="L53" i="149" s="1"/>
  <c r="P28" i="150"/>
  <c r="P27" i="150"/>
  <c r="P24" i="150"/>
  <c r="Q24" i="150" s="1"/>
  <c r="P26" i="150"/>
  <c r="P25" i="150"/>
  <c r="L47" i="149" s="1"/>
  <c r="P23" i="150"/>
  <c r="P16" i="150"/>
  <c r="P13" i="150"/>
  <c r="P12" i="150" s="1"/>
  <c r="P14" i="150"/>
  <c r="L21" i="149" s="1"/>
  <c r="L47" i="150"/>
  <c r="L40" i="150"/>
  <c r="L34" i="150"/>
  <c r="L21" i="150"/>
  <c r="L15" i="150"/>
  <c r="L12" i="150"/>
  <c r="H47" i="150"/>
  <c r="H46" i="150" s="1"/>
  <c r="U10" i="153" s="1"/>
  <c r="H40" i="150"/>
  <c r="H34" i="150"/>
  <c r="H21" i="150"/>
  <c r="H12" i="150"/>
  <c r="D47" i="150"/>
  <c r="D21" i="150"/>
  <c r="D34" i="150"/>
  <c r="D12" i="150"/>
  <c r="K78" i="152"/>
  <c r="M78" i="152" s="1"/>
  <c r="K81" i="152"/>
  <c r="M81" i="152" s="1"/>
  <c r="K85" i="152"/>
  <c r="M85" i="152" s="1"/>
  <c r="K90" i="152"/>
  <c r="M90" i="152" s="1"/>
  <c r="K103" i="152"/>
  <c r="M103" i="152" s="1"/>
  <c r="D44" i="158" l="1"/>
  <c r="D43" i="158" s="1"/>
  <c r="D60" i="158" s="1"/>
  <c r="O48" i="165"/>
  <c r="AH12" i="154"/>
  <c r="AV11" i="154"/>
  <c r="L13" i="154"/>
  <c r="M13" i="154" s="1"/>
  <c r="M11" i="154"/>
  <c r="Q13" i="154"/>
  <c r="R13" i="154" s="1"/>
  <c r="R11" i="154"/>
  <c r="U13" i="154"/>
  <c r="Z9" i="154"/>
  <c r="Y11" i="154"/>
  <c r="D13" i="154"/>
  <c r="E13" i="154" s="1"/>
  <c r="E12" i="154"/>
  <c r="G11" i="143"/>
  <c r="H43" i="149"/>
  <c r="O15" i="165" s="1"/>
  <c r="I10" i="158"/>
  <c r="Q32" i="150"/>
  <c r="H7" i="149"/>
  <c r="H30" i="149"/>
  <c r="O14" i="165" s="1"/>
  <c r="L78" i="149"/>
  <c r="P78" i="149" s="1"/>
  <c r="D42" i="158" s="1"/>
  <c r="D46" i="150"/>
  <c r="P47" i="150"/>
  <c r="L46" i="150"/>
  <c r="L51" i="149"/>
  <c r="P51" i="149" s="1"/>
  <c r="Q30" i="150"/>
  <c r="M54" i="149"/>
  <c r="P40" i="150"/>
  <c r="L69" i="149"/>
  <c r="P69" i="149" s="1"/>
  <c r="P66" i="149" s="1"/>
  <c r="H58" i="149"/>
  <c r="H76" i="149"/>
  <c r="B43" i="143"/>
  <c r="M40" i="150"/>
  <c r="P54" i="149"/>
  <c r="Q31" i="150"/>
  <c r="O13" i="165"/>
  <c r="B9" i="143"/>
  <c r="P46" i="149"/>
  <c r="O10" i="165"/>
  <c r="U15" i="153"/>
  <c r="C32" i="143"/>
  <c r="D24" i="163"/>
  <c r="O22" i="165"/>
  <c r="L61" i="149"/>
  <c r="P70" i="149"/>
  <c r="D12" i="148" s="1"/>
  <c r="G31" i="143"/>
  <c r="O45" i="165"/>
  <c r="C11" i="143"/>
  <c r="O11" i="165"/>
  <c r="I33" i="158"/>
  <c r="J33" i="158" s="1"/>
  <c r="I23" i="163"/>
  <c r="D212" i="157"/>
  <c r="D26" i="148" s="1"/>
  <c r="I30" i="158"/>
  <c r="J30" i="158" s="1"/>
  <c r="G8" i="143"/>
  <c r="D59" i="158"/>
  <c r="Y15" i="153"/>
  <c r="Y16" i="153" s="1"/>
  <c r="P84" i="149"/>
  <c r="P79" i="149" s="1"/>
  <c r="D16" i="148" s="1"/>
  <c r="C33" i="143"/>
  <c r="U44" i="150"/>
  <c r="U50" i="150" s="1"/>
  <c r="P15" i="150"/>
  <c r="P57" i="149"/>
  <c r="D44" i="150"/>
  <c r="P9" i="153" s="1"/>
  <c r="H44" i="150"/>
  <c r="L45" i="149"/>
  <c r="P21" i="149"/>
  <c r="L20" i="149"/>
  <c r="P53" i="149"/>
  <c r="L52" i="149"/>
  <c r="P47" i="149"/>
  <c r="L44" i="150"/>
  <c r="D22" i="148"/>
  <c r="I9" i="158"/>
  <c r="I8" i="158"/>
  <c r="F9" i="143"/>
  <c r="I11" i="158"/>
  <c r="I7" i="158"/>
  <c r="P50" i="149"/>
  <c r="D75" i="149"/>
  <c r="E75" i="149" s="1"/>
  <c r="D91" i="149"/>
  <c r="P21" i="150"/>
  <c r="AH13" i="154" l="1"/>
  <c r="AI13" i="154" s="1"/>
  <c r="AI12" i="154"/>
  <c r="Y13" i="154"/>
  <c r="Z13" i="154" s="1"/>
  <c r="Z11" i="154"/>
  <c r="F11" i="143"/>
  <c r="L50" i="150"/>
  <c r="H74" i="149"/>
  <c r="P30" i="149"/>
  <c r="D8" i="148" s="1"/>
  <c r="L66" i="149"/>
  <c r="O19" i="165" s="1"/>
  <c r="D32" i="158"/>
  <c r="P61" i="149"/>
  <c r="P58" i="149" s="1"/>
  <c r="L58" i="149"/>
  <c r="D41" i="158"/>
  <c r="H75" i="149"/>
  <c r="U9" i="153"/>
  <c r="H91" i="149"/>
  <c r="P27" i="149"/>
  <c r="L22" i="149"/>
  <c r="U11" i="153"/>
  <c r="B20" i="163"/>
  <c r="L77" i="149"/>
  <c r="P46" i="150"/>
  <c r="D58" i="158"/>
  <c r="D8" i="158"/>
  <c r="P13" i="153"/>
  <c r="P10" i="153"/>
  <c r="H50" i="150"/>
  <c r="D50" i="150"/>
  <c r="D23" i="148"/>
  <c r="D10" i="158"/>
  <c r="D11" i="148"/>
  <c r="P45" i="149"/>
  <c r="L7" i="149"/>
  <c r="O17" i="165" s="1"/>
  <c r="P20" i="149"/>
  <c r="P52" i="149"/>
  <c r="L43" i="149"/>
  <c r="P44" i="150"/>
  <c r="P11" i="153"/>
  <c r="I31" i="158"/>
  <c r="F32" i="143"/>
  <c r="D27" i="148"/>
  <c r="B23" i="163" l="1"/>
  <c r="O25" i="165"/>
  <c r="B31" i="143"/>
  <c r="I39" i="158"/>
  <c r="P77" i="149"/>
  <c r="D20" i="158" s="1"/>
  <c r="L76" i="149"/>
  <c r="B21" i="143"/>
  <c r="U12" i="153"/>
  <c r="U14" i="153" s="1"/>
  <c r="U16" i="153" s="1"/>
  <c r="D31" i="158"/>
  <c r="D10" i="148"/>
  <c r="H92" i="149"/>
  <c r="D57" i="158"/>
  <c r="P12" i="153"/>
  <c r="P14" i="153" s="1"/>
  <c r="H45" i="150"/>
  <c r="B10" i="143"/>
  <c r="O18" i="165"/>
  <c r="P43" i="149"/>
  <c r="B8" i="143"/>
  <c r="L74" i="149"/>
  <c r="I46" i="158"/>
  <c r="I52" i="158" l="1"/>
  <c r="O31" i="165"/>
  <c r="L75" i="149"/>
  <c r="L91" i="149"/>
  <c r="L92" i="149" s="1"/>
  <c r="P76" i="149"/>
  <c r="D19" i="158"/>
  <c r="D9" i="158"/>
  <c r="D9" i="148"/>
  <c r="N128" i="152"/>
  <c r="N127" i="152"/>
  <c r="J94" i="152"/>
  <c r="I66" i="151"/>
  <c r="K66" i="151" s="1"/>
  <c r="K97" i="152"/>
  <c r="M97" i="152" s="1"/>
  <c r="J110" i="152"/>
  <c r="J74" i="152"/>
  <c r="K71" i="152"/>
  <c r="M71" i="152" s="1"/>
  <c r="J106" i="152"/>
  <c r="J107" i="152" s="1"/>
  <c r="H73" i="151"/>
  <c r="I77" i="151"/>
  <c r="K77" i="151" s="1"/>
  <c r="H67" i="151"/>
  <c r="H46" i="151"/>
  <c r="F46" i="151"/>
  <c r="I49" i="151"/>
  <c r="K49" i="151" s="1"/>
  <c r="I51" i="151"/>
  <c r="K51" i="151" s="1"/>
  <c r="I55" i="151"/>
  <c r="K55" i="151" s="1"/>
  <c r="I60" i="151"/>
  <c r="K60" i="151" s="1"/>
  <c r="H30" i="151"/>
  <c r="I35" i="151"/>
  <c r="K35" i="151" s="1"/>
  <c r="H5" i="151"/>
  <c r="I27" i="151"/>
  <c r="K27" i="151" s="1"/>
  <c r="H78" i="151"/>
  <c r="I85" i="151"/>
  <c r="C23" i="149" l="1"/>
  <c r="K85" i="151"/>
  <c r="D23" i="149" s="1"/>
  <c r="P91" i="149"/>
  <c r="D56" i="158"/>
  <c r="D15" i="148"/>
  <c r="P75" i="149"/>
  <c r="I124" i="152"/>
  <c r="K124" i="152" s="1"/>
  <c r="M124" i="152" s="1"/>
  <c r="I125" i="152"/>
  <c r="F85" i="151"/>
  <c r="F78" i="151"/>
  <c r="G82" i="151"/>
  <c r="I82" i="151" s="1"/>
  <c r="K82" i="151" s="1"/>
  <c r="D55" i="158" l="1"/>
  <c r="J134" i="152"/>
  <c r="H134" i="152"/>
  <c r="K15" i="152"/>
  <c r="M15" i="152" s="1"/>
  <c r="J62" i="152"/>
  <c r="J47" i="152"/>
  <c r="J32" i="152"/>
  <c r="J17" i="152"/>
  <c r="K8" i="152"/>
  <c r="M8" i="152" s="1"/>
  <c r="K23" i="152"/>
  <c r="M23" i="152" s="1"/>
  <c r="K38" i="152"/>
  <c r="M38" i="152" s="1"/>
  <c r="K53" i="152"/>
  <c r="M53" i="152" s="1"/>
  <c r="J136" i="152" l="1"/>
  <c r="D36" i="148"/>
  <c r="D39" i="148"/>
  <c r="D32" i="148" s="1"/>
  <c r="D30" i="148" s="1"/>
  <c r="E14" i="148"/>
  <c r="E19" i="148"/>
  <c r="E24" i="148"/>
  <c r="E29" i="148"/>
  <c r="E31" i="148"/>
  <c r="E40" i="148"/>
  <c r="E41" i="148"/>
  <c r="E42" i="148"/>
  <c r="E43" i="148"/>
  <c r="E44" i="148"/>
  <c r="E45" i="148"/>
  <c r="E46" i="148"/>
  <c r="E47" i="148"/>
  <c r="E48" i="148"/>
  <c r="E49" i="148"/>
  <c r="E50" i="148"/>
  <c r="E51" i="148"/>
  <c r="E52" i="148"/>
  <c r="E53" i="148"/>
  <c r="E20" i="164"/>
  <c r="E19" i="164"/>
  <c r="E18" i="164"/>
  <c r="D21" i="164"/>
  <c r="E21" i="164" s="1"/>
  <c r="D108" i="164"/>
  <c r="D103" i="164"/>
  <c r="D91" i="164"/>
  <c r="D67" i="164"/>
  <c r="D56" i="164"/>
  <c r="D47" i="164"/>
  <c r="D118" i="164"/>
  <c r="E118" i="164" s="1"/>
  <c r="E86" i="164"/>
  <c r="E89" i="164"/>
  <c r="E90" i="164"/>
  <c r="E94" i="164"/>
  <c r="E97" i="164"/>
  <c r="E100" i="164"/>
  <c r="E101" i="164"/>
  <c r="E102" i="164"/>
  <c r="E104" i="164"/>
  <c r="E105" i="164"/>
  <c r="E106" i="164"/>
  <c r="E107" i="164"/>
  <c r="E109" i="164"/>
  <c r="E110" i="164"/>
  <c r="E111" i="164"/>
  <c r="E112" i="164"/>
  <c r="E113" i="164"/>
  <c r="E114" i="164"/>
  <c r="E115" i="164"/>
  <c r="E116" i="164"/>
  <c r="E117" i="164"/>
  <c r="E83" i="164"/>
  <c r="E45" i="164"/>
  <c r="E46" i="164"/>
  <c r="E50" i="164"/>
  <c r="E51" i="164"/>
  <c r="E52" i="164"/>
  <c r="E53" i="164"/>
  <c r="E54" i="164"/>
  <c r="E55" i="164"/>
  <c r="E59" i="164"/>
  <c r="E62" i="164"/>
  <c r="E66" i="164"/>
  <c r="E70" i="164"/>
  <c r="E73" i="164"/>
  <c r="E76" i="164"/>
  <c r="E79" i="164"/>
  <c r="E44" i="164"/>
  <c r="D40" i="164"/>
  <c r="E31" i="164"/>
  <c r="E32" i="164"/>
  <c r="E33" i="164"/>
  <c r="E34" i="164"/>
  <c r="E35" i="164"/>
  <c r="E36" i="164"/>
  <c r="E37" i="164"/>
  <c r="E38" i="164"/>
  <c r="E39" i="164"/>
  <c r="E30" i="164"/>
  <c r="D27" i="164"/>
  <c r="E26" i="164"/>
  <c r="E25" i="164"/>
  <c r="E24" i="164"/>
  <c r="E7" i="164"/>
  <c r="E8" i="164"/>
  <c r="E9" i="164"/>
  <c r="E10" i="164"/>
  <c r="E11" i="164"/>
  <c r="E12" i="164"/>
  <c r="E13" i="164"/>
  <c r="E6" i="164"/>
  <c r="E121" i="164" l="1"/>
  <c r="O43" i="165"/>
  <c r="AQ12" i="154"/>
  <c r="I16" i="158"/>
  <c r="D37" i="148"/>
  <c r="D119" i="164"/>
  <c r="C120" i="164"/>
  <c r="AQ13" i="154" l="1"/>
  <c r="AR13" i="154" s="1"/>
  <c r="AR12" i="154"/>
  <c r="AU12" i="154"/>
  <c r="AU13" i="154" s="1"/>
  <c r="G17" i="143"/>
  <c r="I17" i="158"/>
  <c r="I51" i="158" l="1"/>
  <c r="I25" i="158"/>
  <c r="I11" i="163"/>
  <c r="D11" i="163"/>
  <c r="D55" i="163"/>
  <c r="D25" i="163" s="1"/>
  <c r="I53" i="158" l="1"/>
  <c r="I61" i="158"/>
  <c r="G24" i="163" l="1"/>
  <c r="C93" i="161" l="1"/>
  <c r="C102" i="161"/>
  <c r="C220" i="161"/>
  <c r="C229" i="161"/>
  <c r="M47" i="150" l="1"/>
  <c r="AJ11" i="153"/>
  <c r="I59" i="143" l="1"/>
  <c r="I60" i="143"/>
  <c r="E33" i="158"/>
  <c r="E57" i="155" l="1"/>
  <c r="C376" i="161"/>
  <c r="C366" i="161"/>
  <c r="B376" i="161"/>
  <c r="B366" i="161"/>
  <c r="D376" i="161"/>
  <c r="E375" i="161"/>
  <c r="E374" i="161"/>
  <c r="E373" i="161"/>
  <c r="E372" i="161"/>
  <c r="E371" i="161"/>
  <c r="E370" i="161"/>
  <c r="E369" i="161"/>
  <c r="D366" i="161"/>
  <c r="E366" i="161"/>
  <c r="E365" i="161"/>
  <c r="E364" i="161"/>
  <c r="E363" i="161"/>
  <c r="E37" i="155"/>
  <c r="E376" i="161" l="1"/>
  <c r="E220" i="157"/>
  <c r="E217" i="157"/>
  <c r="E218" i="157" s="1"/>
  <c r="E152" i="157"/>
  <c r="E205" i="157"/>
  <c r="E147" i="157"/>
  <c r="E139" i="157"/>
  <c r="E27" i="164"/>
  <c r="E103" i="164"/>
  <c r="E91" i="164"/>
  <c r="E56" i="164"/>
  <c r="E47" i="164"/>
  <c r="E40" i="164"/>
  <c r="E15" i="164"/>
  <c r="Q25" i="150"/>
  <c r="Q26" i="150"/>
  <c r="Q27" i="150"/>
  <c r="Q14" i="150"/>
  <c r="Q48" i="150"/>
  <c r="F25" i="160"/>
  <c r="F15" i="160"/>
  <c r="I13" i="150"/>
  <c r="I47" i="150"/>
  <c r="M28" i="150"/>
  <c r="F7" i="160"/>
  <c r="E47" i="150"/>
  <c r="V58" i="150"/>
  <c r="Q13" i="150" l="1"/>
  <c r="Q28" i="150"/>
  <c r="E67" i="164"/>
  <c r="E141" i="157"/>
  <c r="E136" i="157"/>
  <c r="F20" i="160"/>
  <c r="F17" i="160"/>
  <c r="E24" i="160"/>
  <c r="Q47" i="150"/>
  <c r="E28" i="160" l="1"/>
  <c r="O47" i="165" s="1"/>
  <c r="E145" i="157"/>
  <c r="F27" i="160"/>
  <c r="H110" i="152"/>
  <c r="H94" i="152"/>
  <c r="F30" i="151" l="1"/>
  <c r="F73" i="151"/>
  <c r="H107" i="152"/>
  <c r="H100" i="152"/>
  <c r="H74" i="152"/>
  <c r="H62" i="152"/>
  <c r="H47" i="152"/>
  <c r="H32" i="152"/>
  <c r="H17" i="152"/>
  <c r="F67" i="151"/>
  <c r="F62" i="151"/>
  <c r="F24" i="151"/>
  <c r="F42" i="151" l="1"/>
  <c r="H136" i="152"/>
  <c r="I20" i="163"/>
  <c r="E22" i="158"/>
  <c r="J42" i="158"/>
  <c r="E34" i="158"/>
  <c r="J18" i="158"/>
  <c r="Z13" i="153"/>
  <c r="Z11" i="153"/>
  <c r="Z10" i="153"/>
  <c r="Z9" i="153"/>
  <c r="M73" i="149"/>
  <c r="M72" i="149"/>
  <c r="M42" i="149"/>
  <c r="M77" i="149"/>
  <c r="M78" i="149"/>
  <c r="M47" i="149"/>
  <c r="M48" i="149"/>
  <c r="M50" i="149"/>
  <c r="M51" i="149"/>
  <c r="M52" i="149"/>
  <c r="M55" i="149"/>
  <c r="M56" i="149"/>
  <c r="M20" i="149"/>
  <c r="J57" i="150"/>
  <c r="J46" i="150"/>
  <c r="J34" i="150"/>
  <c r="J28" i="150"/>
  <c r="J21" i="150" s="1"/>
  <c r="J12" i="150"/>
  <c r="F57" i="150"/>
  <c r="F46" i="150"/>
  <c r="F40" i="150"/>
  <c r="F34" i="150"/>
  <c r="F21" i="150"/>
  <c r="F15" i="150"/>
  <c r="F13" i="150"/>
  <c r="F12" i="150" s="1"/>
  <c r="B57" i="150"/>
  <c r="B46" i="150"/>
  <c r="B21" i="150"/>
  <c r="B12" i="150"/>
  <c r="J80" i="149"/>
  <c r="J79" i="149" s="1"/>
  <c r="J56" i="149"/>
  <c r="J55" i="149"/>
  <c r="J54" i="149"/>
  <c r="J50" i="149"/>
  <c r="J48" i="149"/>
  <c r="J8" i="149"/>
  <c r="N26" i="149"/>
  <c r="N23" i="149"/>
  <c r="N24" i="149"/>
  <c r="N25" i="149"/>
  <c r="N13" i="149"/>
  <c r="N14" i="149"/>
  <c r="G64" i="151"/>
  <c r="H64" i="151" s="1"/>
  <c r="H62" i="151" s="1"/>
  <c r="G70" i="151"/>
  <c r="I70" i="151" s="1"/>
  <c r="K70" i="151" s="1"/>
  <c r="G71" i="151"/>
  <c r="H71" i="151" s="1"/>
  <c r="G72" i="151"/>
  <c r="G75" i="151"/>
  <c r="I75" i="151" s="1"/>
  <c r="K75" i="151" s="1"/>
  <c r="G76" i="151"/>
  <c r="I76" i="151" s="1"/>
  <c r="K76" i="151" s="1"/>
  <c r="G79" i="151"/>
  <c r="I79" i="151" s="1"/>
  <c r="K79" i="151" s="1"/>
  <c r="G80" i="151"/>
  <c r="I80" i="151" s="1"/>
  <c r="K80" i="151" s="1"/>
  <c r="G81" i="151"/>
  <c r="I81" i="151" s="1"/>
  <c r="K81" i="151" s="1"/>
  <c r="G83" i="151"/>
  <c r="I83" i="151" s="1"/>
  <c r="K83" i="151" s="1"/>
  <c r="G84" i="151"/>
  <c r="G86" i="151"/>
  <c r="G88" i="151"/>
  <c r="G61" i="151"/>
  <c r="I61" i="151" s="1"/>
  <c r="K61" i="151" s="1"/>
  <c r="G25" i="151"/>
  <c r="I25" i="151" s="1"/>
  <c r="K25" i="151" s="1"/>
  <c r="G26" i="151"/>
  <c r="I26" i="151" s="1"/>
  <c r="K26" i="151" s="1"/>
  <c r="G12" i="151"/>
  <c r="I12" i="151" s="1"/>
  <c r="K12" i="151" s="1"/>
  <c r="G14" i="151"/>
  <c r="I14" i="151" s="1"/>
  <c r="K14" i="151" s="1"/>
  <c r="G16" i="151"/>
  <c r="I16" i="151" s="1"/>
  <c r="K16" i="151" s="1"/>
  <c r="G22" i="151"/>
  <c r="I22" i="151" s="1"/>
  <c r="K22" i="151" s="1"/>
  <c r="G28" i="151"/>
  <c r="H28" i="151" s="1"/>
  <c r="H4" i="151" s="1"/>
  <c r="G29" i="151"/>
  <c r="G8" i="151"/>
  <c r="I8" i="151" s="1"/>
  <c r="K8" i="151" s="1"/>
  <c r="F9" i="151"/>
  <c r="F6" i="151"/>
  <c r="I14" i="152"/>
  <c r="K14" i="152" s="1"/>
  <c r="M14" i="152" s="1"/>
  <c r="I16" i="152"/>
  <c r="K16" i="152" s="1"/>
  <c r="M16" i="152" s="1"/>
  <c r="I29" i="152"/>
  <c r="K29" i="152" s="1"/>
  <c r="M29" i="152" s="1"/>
  <c r="I31" i="152"/>
  <c r="K31" i="152" s="1"/>
  <c r="K33" i="152"/>
  <c r="M33" i="152" s="1"/>
  <c r="I44" i="152"/>
  <c r="K44" i="152" s="1"/>
  <c r="M44" i="152" s="1"/>
  <c r="I46" i="152"/>
  <c r="K46" i="152" s="1"/>
  <c r="M46" i="152" s="1"/>
  <c r="K48" i="152"/>
  <c r="M48" i="152" s="1"/>
  <c r="I59" i="152"/>
  <c r="K59" i="152" s="1"/>
  <c r="M59" i="152" s="1"/>
  <c r="I61" i="152"/>
  <c r="K61" i="152" s="1"/>
  <c r="M61" i="152" s="1"/>
  <c r="I63" i="152"/>
  <c r="I64" i="152"/>
  <c r="I68" i="152"/>
  <c r="K68" i="152" s="1"/>
  <c r="M68" i="152" s="1"/>
  <c r="I70" i="152"/>
  <c r="K70" i="152" s="1"/>
  <c r="M70" i="152" s="1"/>
  <c r="I72" i="152"/>
  <c r="K72" i="152" s="1"/>
  <c r="M72" i="152" s="1"/>
  <c r="I73" i="152"/>
  <c r="K73" i="152" s="1"/>
  <c r="M73" i="152" s="1"/>
  <c r="I75" i="152"/>
  <c r="K75" i="152" s="1"/>
  <c r="M75" i="152" s="1"/>
  <c r="I76" i="152"/>
  <c r="K76" i="152" s="1"/>
  <c r="M76" i="152" s="1"/>
  <c r="I91" i="152"/>
  <c r="K91" i="152" s="1"/>
  <c r="M91" i="152" s="1"/>
  <c r="I92" i="152"/>
  <c r="K92" i="152" s="1"/>
  <c r="M92" i="152" s="1"/>
  <c r="I93" i="152"/>
  <c r="K93" i="152" s="1"/>
  <c r="M93" i="152" s="1"/>
  <c r="I95" i="152"/>
  <c r="K95" i="152" s="1"/>
  <c r="M95" i="152" s="1"/>
  <c r="I98" i="152"/>
  <c r="K98" i="152" s="1"/>
  <c r="M98" i="152" s="1"/>
  <c r="I101" i="152"/>
  <c r="K101" i="152" s="1"/>
  <c r="M101" i="152" s="1"/>
  <c r="I104" i="152"/>
  <c r="K104" i="152" s="1"/>
  <c r="M104" i="152" s="1"/>
  <c r="I105" i="152"/>
  <c r="K105" i="152" s="1"/>
  <c r="M105" i="152" s="1"/>
  <c r="I106" i="152"/>
  <c r="K106" i="152" s="1"/>
  <c r="M106" i="152" s="1"/>
  <c r="I108" i="152"/>
  <c r="K108" i="152" s="1"/>
  <c r="M108" i="152" s="1"/>
  <c r="I109" i="152"/>
  <c r="K109" i="152" s="1"/>
  <c r="M109" i="152" s="1"/>
  <c r="I111" i="152"/>
  <c r="K111" i="152" s="1"/>
  <c r="M111" i="152" s="1"/>
  <c r="I112" i="152"/>
  <c r="K112" i="152" s="1"/>
  <c r="M112" i="152" s="1"/>
  <c r="I114" i="152"/>
  <c r="K114" i="152" s="1"/>
  <c r="M114" i="152" s="1"/>
  <c r="I115" i="152"/>
  <c r="K115" i="152" s="1"/>
  <c r="M115" i="152" s="1"/>
  <c r="I116" i="152"/>
  <c r="K116" i="152" s="1"/>
  <c r="M116" i="152" s="1"/>
  <c r="I117" i="152"/>
  <c r="K117" i="152" s="1"/>
  <c r="M117" i="152" s="1"/>
  <c r="I118" i="152"/>
  <c r="K118" i="152" s="1"/>
  <c r="M118" i="152" s="1"/>
  <c r="I119" i="152"/>
  <c r="K119" i="152" s="1"/>
  <c r="M119" i="152" s="1"/>
  <c r="K125" i="152"/>
  <c r="M125" i="152" s="1"/>
  <c r="I126" i="152"/>
  <c r="K126" i="152" s="1"/>
  <c r="M126" i="152" s="1"/>
  <c r="I127" i="152"/>
  <c r="K127" i="152" s="1"/>
  <c r="M127" i="152" s="1"/>
  <c r="I128" i="152"/>
  <c r="K128" i="152" s="1"/>
  <c r="M128" i="152" s="1"/>
  <c r="I129" i="152"/>
  <c r="K129" i="152" s="1"/>
  <c r="M129" i="152" s="1"/>
  <c r="I130" i="152"/>
  <c r="K130" i="152" s="1"/>
  <c r="M130" i="152" s="1"/>
  <c r="I135" i="152"/>
  <c r="C24" i="160"/>
  <c r="C17" i="160"/>
  <c r="W7" i="154" s="1"/>
  <c r="AS7" i="154" s="1"/>
  <c r="C12" i="160"/>
  <c r="W8" i="154" s="1"/>
  <c r="AS8" i="154" s="1"/>
  <c r="C5" i="160"/>
  <c r="W6" i="154" s="1"/>
  <c r="B146" i="155"/>
  <c r="B129" i="155"/>
  <c r="O12" i="154" s="1"/>
  <c r="B76" i="155"/>
  <c r="J12" i="154" s="1"/>
  <c r="B57" i="155"/>
  <c r="F12" i="154" s="1"/>
  <c r="F13" i="154" s="1"/>
  <c r="B37" i="155"/>
  <c r="B12" i="154" s="1"/>
  <c r="B13" i="154" s="1"/>
  <c r="B29" i="155"/>
  <c r="W10" i="154" s="1"/>
  <c r="B25" i="155"/>
  <c r="B23" i="155"/>
  <c r="O10" i="154" s="1"/>
  <c r="O11" i="154" s="1"/>
  <c r="O13" i="154" s="1"/>
  <c r="B18" i="155"/>
  <c r="B17" i="155" s="1"/>
  <c r="J10" i="154" s="1"/>
  <c r="B220" i="157"/>
  <c r="B223" i="157" s="1"/>
  <c r="AB12" i="154" s="1"/>
  <c r="B217" i="157"/>
  <c r="B218" i="157" s="1"/>
  <c r="AJ12" i="154" s="1"/>
  <c r="AJ13" i="154" s="1"/>
  <c r="B205" i="157"/>
  <c r="B162" i="157" s="1"/>
  <c r="B152" i="157"/>
  <c r="B147" i="157"/>
  <c r="B139" i="157"/>
  <c r="B136" i="157"/>
  <c r="B60" i="157"/>
  <c r="C122" i="164"/>
  <c r="C123" i="164" s="1"/>
  <c r="AB13" i="154" l="1"/>
  <c r="AS6" i="154"/>
  <c r="AS9" i="154" s="1"/>
  <c r="W9" i="154"/>
  <c r="W11" i="154" s="1"/>
  <c r="AS10" i="154"/>
  <c r="J11" i="154"/>
  <c r="J13" i="154" s="1"/>
  <c r="C28" i="160"/>
  <c r="Z12" i="153"/>
  <c r="Z14" i="153" s="1"/>
  <c r="B44" i="150"/>
  <c r="J44" i="150"/>
  <c r="H42" i="151"/>
  <c r="G85" i="151"/>
  <c r="H86" i="151"/>
  <c r="H85" i="151" s="1"/>
  <c r="N59" i="152"/>
  <c r="G103" i="155"/>
  <c r="F44" i="150"/>
  <c r="F5" i="151"/>
  <c r="B28" i="155"/>
  <c r="B33" i="155" s="1"/>
  <c r="B141" i="157"/>
  <c r="B142" i="157" s="1"/>
  <c r="W12" i="154" s="1"/>
  <c r="B145" i="157"/>
  <c r="W13" i="154" l="1"/>
  <c r="AS11" i="154"/>
  <c r="C22" i="149"/>
  <c r="O23" i="149"/>
  <c r="H89" i="151"/>
  <c r="F4" i="151"/>
  <c r="F89" i="151" s="1"/>
  <c r="B211" i="157"/>
  <c r="AF12" i="154" s="1"/>
  <c r="AF13" i="154" l="1"/>
  <c r="P23" i="149"/>
  <c r="P22" i="149" s="1"/>
  <c r="E23" i="149"/>
  <c r="Q23" i="149" s="1"/>
  <c r="D22" i="149"/>
  <c r="B212" i="157"/>
  <c r="E122" i="164"/>
  <c r="B67" i="164"/>
  <c r="B63" i="164"/>
  <c r="B56" i="164"/>
  <c r="B47" i="164"/>
  <c r="B40" i="164"/>
  <c r="B27" i="164"/>
  <c r="B15" i="164"/>
  <c r="B122" i="164"/>
  <c r="B121" i="164"/>
  <c r="B120" i="164"/>
  <c r="B118" i="164"/>
  <c r="B108" i="164"/>
  <c r="B103" i="164"/>
  <c r="B91" i="164"/>
  <c r="E24" i="156"/>
  <c r="C144" i="155"/>
  <c r="B24" i="156"/>
  <c r="B12" i="156" s="1"/>
  <c r="B149" i="155" s="1"/>
  <c r="B5" i="156"/>
  <c r="B144" i="155" s="1"/>
  <c r="E5" i="156" l="1"/>
  <c r="O21" i="165"/>
  <c r="E22" i="149"/>
  <c r="C31" i="143"/>
  <c r="D23" i="163"/>
  <c r="D7" i="148"/>
  <c r="D30" i="158"/>
  <c r="D39" i="158" s="1"/>
  <c r="E144" i="155"/>
  <c r="B73" i="156"/>
  <c r="B139" i="155"/>
  <c r="S12" i="154" s="1"/>
  <c r="B119" i="164"/>
  <c r="B123" i="164"/>
  <c r="I94" i="149"/>
  <c r="I77" i="149"/>
  <c r="I78" i="149"/>
  <c r="F78" i="149"/>
  <c r="F77" i="149"/>
  <c r="I61" i="149"/>
  <c r="F61" i="149"/>
  <c r="F58" i="149" s="1"/>
  <c r="I45" i="149"/>
  <c r="I46" i="149"/>
  <c r="I52" i="149"/>
  <c r="I42" i="149"/>
  <c r="I20" i="149"/>
  <c r="Q20" i="149" s="1"/>
  <c r="F20" i="149"/>
  <c r="V46" i="150"/>
  <c r="V34" i="150"/>
  <c r="V25" i="150"/>
  <c r="V17" i="150"/>
  <c r="V12" i="150"/>
  <c r="S46" i="150"/>
  <c r="S34" i="150"/>
  <c r="S25" i="150"/>
  <c r="S21" i="150" s="1"/>
  <c r="S17" i="150"/>
  <c r="S12" i="150"/>
  <c r="S57" i="150"/>
  <c r="F93" i="149" s="1"/>
  <c r="F94" i="149"/>
  <c r="F80" i="149"/>
  <c r="F79" i="149" s="1"/>
  <c r="F70" i="149"/>
  <c r="F66" i="149"/>
  <c r="F52" i="149"/>
  <c r="F46" i="149"/>
  <c r="F45" i="149"/>
  <c r="F42" i="149"/>
  <c r="F31" i="149"/>
  <c r="E94" i="149"/>
  <c r="E93" i="149"/>
  <c r="E84" i="149"/>
  <c r="T15" i="153"/>
  <c r="T16" i="153" s="1"/>
  <c r="E70" i="149"/>
  <c r="E66" i="149"/>
  <c r="B94" i="149"/>
  <c r="B93" i="149"/>
  <c r="B84" i="149"/>
  <c r="B79" i="149" s="1"/>
  <c r="B76" i="149"/>
  <c r="B70" i="149"/>
  <c r="B66" i="149"/>
  <c r="E58" i="149"/>
  <c r="E38" i="149"/>
  <c r="E35" i="149"/>
  <c r="E31" i="149"/>
  <c r="B58" i="149"/>
  <c r="B48" i="149"/>
  <c r="B43" i="149" s="1"/>
  <c r="B38" i="149"/>
  <c r="B35" i="149"/>
  <c r="B31" i="149"/>
  <c r="B22" i="149"/>
  <c r="E34" i="148"/>
  <c r="E35" i="148"/>
  <c r="E36" i="148"/>
  <c r="B39" i="148"/>
  <c r="B32" i="148" s="1"/>
  <c r="B36" i="148"/>
  <c r="B34" i="148"/>
  <c r="B31" i="148"/>
  <c r="S13" i="154" l="1"/>
  <c r="E12" i="156"/>
  <c r="O41" i="165" s="1"/>
  <c r="C149" i="155"/>
  <c r="E39" i="148"/>
  <c r="D52" i="158"/>
  <c r="I40" i="158"/>
  <c r="D46" i="158"/>
  <c r="E43" i="149"/>
  <c r="E48" i="149"/>
  <c r="O29" i="165"/>
  <c r="E76" i="149"/>
  <c r="F47" i="149"/>
  <c r="F43" i="149" s="1"/>
  <c r="I93" i="149"/>
  <c r="V57" i="150"/>
  <c r="B91" i="149"/>
  <c r="E73" i="156"/>
  <c r="B151" i="155"/>
  <c r="B30" i="148"/>
  <c r="AO12" i="154" s="1"/>
  <c r="AO13" i="154" s="1"/>
  <c r="E34" i="149"/>
  <c r="B75" i="149"/>
  <c r="V21" i="150"/>
  <c r="I47" i="149"/>
  <c r="E37" i="148"/>
  <c r="S44" i="150"/>
  <c r="F76" i="149"/>
  <c r="F91" i="149" s="1"/>
  <c r="F30" i="149"/>
  <c r="B34" i="149"/>
  <c r="B30" i="149" s="1"/>
  <c r="E30" i="149"/>
  <c r="AS12" i="154" l="1"/>
  <c r="AS13" i="154" s="1"/>
  <c r="E79" i="149"/>
  <c r="X15" i="153"/>
  <c r="X16" i="153" s="1"/>
  <c r="C139" i="155"/>
  <c r="T12" i="154" s="1"/>
  <c r="H14" i="158"/>
  <c r="D151" i="155"/>
  <c r="D21" i="148" s="1"/>
  <c r="E32" i="148"/>
  <c r="E149" i="155"/>
  <c r="F75" i="149"/>
  <c r="V44" i="150"/>
  <c r="E91" i="149"/>
  <c r="T13" i="154" l="1"/>
  <c r="V13" i="154" s="1"/>
  <c r="AT12" i="154"/>
  <c r="AT13" i="154" s="1"/>
  <c r="V12" i="154"/>
  <c r="AV12" i="154" s="1"/>
  <c r="AV13" i="154" s="1"/>
  <c r="C151" i="155"/>
  <c r="C21" i="148" s="1"/>
  <c r="C20" i="148" s="1"/>
  <c r="C33" i="148" s="1"/>
  <c r="C38" i="148" s="1"/>
  <c r="E30" i="148"/>
  <c r="E56" i="163"/>
  <c r="E26" i="163"/>
  <c r="N53" i="165" l="1"/>
  <c r="J51" i="165"/>
  <c r="D51" i="165"/>
  <c r="M49" i="165"/>
  <c r="C49" i="165"/>
  <c r="B49" i="165"/>
  <c r="N48" i="165"/>
  <c r="L49" i="165"/>
  <c r="K49" i="165"/>
  <c r="J49" i="165"/>
  <c r="I49" i="165"/>
  <c r="H49" i="165"/>
  <c r="G49" i="165"/>
  <c r="F49" i="165"/>
  <c r="E49" i="165"/>
  <c r="D49" i="165"/>
  <c r="N46" i="165"/>
  <c r="N45" i="165"/>
  <c r="L44" i="165"/>
  <c r="K44" i="165"/>
  <c r="J44" i="165"/>
  <c r="I44" i="165"/>
  <c r="H44" i="165"/>
  <c r="G44" i="165"/>
  <c r="F44" i="165"/>
  <c r="E44" i="165"/>
  <c r="D44" i="165"/>
  <c r="C44" i="165"/>
  <c r="B44" i="165"/>
  <c r="N42" i="165"/>
  <c r="N41" i="165"/>
  <c r="N40" i="165"/>
  <c r="N39" i="165"/>
  <c r="N38" i="165"/>
  <c r="N37" i="165"/>
  <c r="N36" i="165"/>
  <c r="N35" i="165"/>
  <c r="N34" i="165"/>
  <c r="N33" i="165"/>
  <c r="N31" i="165"/>
  <c r="N30" i="165"/>
  <c r="N29" i="165"/>
  <c r="M26" i="165"/>
  <c r="L26" i="165"/>
  <c r="K26" i="165"/>
  <c r="J26" i="165"/>
  <c r="I26" i="165"/>
  <c r="H26" i="165"/>
  <c r="G26" i="165"/>
  <c r="F26" i="165"/>
  <c r="E26" i="165"/>
  <c r="D26" i="165"/>
  <c r="C26" i="165"/>
  <c r="B26" i="165"/>
  <c r="N25" i="165"/>
  <c r="N24" i="165"/>
  <c r="N23" i="165"/>
  <c r="N22" i="165"/>
  <c r="N21" i="165"/>
  <c r="D20" i="165"/>
  <c r="D27" i="165" s="1"/>
  <c r="D32" i="165" s="1"/>
  <c r="C20" i="165"/>
  <c r="C27" i="165" s="1"/>
  <c r="C32" i="165" s="1"/>
  <c r="B20" i="165"/>
  <c r="B27" i="165" s="1"/>
  <c r="B32" i="165" s="1"/>
  <c r="N19" i="165"/>
  <c r="N18" i="165"/>
  <c r="N17" i="165"/>
  <c r="N16" i="165"/>
  <c r="N15" i="165"/>
  <c r="N14" i="165"/>
  <c r="M27" i="165"/>
  <c r="M32" i="165" s="1"/>
  <c r="L20" i="165"/>
  <c r="L27" i="165" s="1"/>
  <c r="L32" i="165" s="1"/>
  <c r="K20" i="165"/>
  <c r="K27" i="165" s="1"/>
  <c r="K32" i="165" s="1"/>
  <c r="J20" i="165"/>
  <c r="J27" i="165" s="1"/>
  <c r="J32" i="165" s="1"/>
  <c r="I13" i="165"/>
  <c r="I20" i="165" s="1"/>
  <c r="I27" i="165" s="1"/>
  <c r="I32" i="165" s="1"/>
  <c r="H20" i="165"/>
  <c r="H27" i="165" s="1"/>
  <c r="H32" i="165" s="1"/>
  <c r="G13" i="165"/>
  <c r="G20" i="165" s="1"/>
  <c r="G27" i="165" s="1"/>
  <c r="G32" i="165" s="1"/>
  <c r="F20" i="165"/>
  <c r="F27" i="165" s="1"/>
  <c r="F32" i="165" s="1"/>
  <c r="E13" i="165"/>
  <c r="N12" i="165"/>
  <c r="N11" i="165"/>
  <c r="N10" i="165"/>
  <c r="N9" i="165"/>
  <c r="N8" i="165"/>
  <c r="P6" i="165"/>
  <c r="O6" i="165"/>
  <c r="B6" i="165"/>
  <c r="E120" i="164"/>
  <c r="E108" i="164"/>
  <c r="I93" i="163"/>
  <c r="H93" i="163"/>
  <c r="G93" i="163"/>
  <c r="J91" i="163"/>
  <c r="E91" i="163"/>
  <c r="J90" i="163"/>
  <c r="E90" i="163"/>
  <c r="D90" i="163"/>
  <c r="D93" i="163" s="1"/>
  <c r="C90" i="163"/>
  <c r="C93" i="163" s="1"/>
  <c r="B90" i="163"/>
  <c r="B93" i="163" s="1"/>
  <c r="J89" i="163"/>
  <c r="J88" i="163"/>
  <c r="J87" i="163"/>
  <c r="J86" i="163"/>
  <c r="E83" i="163"/>
  <c r="I82" i="163"/>
  <c r="I84" i="163" s="1"/>
  <c r="H82" i="163"/>
  <c r="H84" i="163" s="1"/>
  <c r="AY10" i="154" s="1"/>
  <c r="AY11" i="154" s="1"/>
  <c r="G82" i="163"/>
  <c r="G84" i="163" s="1"/>
  <c r="D82" i="163"/>
  <c r="D84" i="163" s="1"/>
  <c r="B82" i="163"/>
  <c r="B84" i="163" s="1"/>
  <c r="J78" i="163"/>
  <c r="J77" i="163"/>
  <c r="J76" i="163"/>
  <c r="J75" i="163"/>
  <c r="J74" i="163"/>
  <c r="E74" i="163"/>
  <c r="J73" i="163"/>
  <c r="E73" i="163"/>
  <c r="J72" i="163"/>
  <c r="C82" i="163"/>
  <c r="C84" i="163" s="1"/>
  <c r="J62" i="163"/>
  <c r="I61" i="163"/>
  <c r="I64" i="163" s="1"/>
  <c r="H61" i="163"/>
  <c r="H64" i="163" s="1"/>
  <c r="D61" i="163"/>
  <c r="C61" i="163"/>
  <c r="C64" i="163" s="1"/>
  <c r="B61" i="163"/>
  <c r="B64" i="163" s="1"/>
  <c r="J60" i="163"/>
  <c r="J59" i="163"/>
  <c r="J58" i="163"/>
  <c r="J57" i="163"/>
  <c r="J56" i="163"/>
  <c r="J55" i="163"/>
  <c r="E55" i="163"/>
  <c r="G61" i="163"/>
  <c r="G64" i="163" s="1"/>
  <c r="E54" i="163"/>
  <c r="J53" i="163"/>
  <c r="E53" i="163"/>
  <c r="I49" i="163"/>
  <c r="H49" i="163"/>
  <c r="H51" i="163" s="1"/>
  <c r="AX10" i="154" s="1"/>
  <c r="D49" i="163"/>
  <c r="C49" i="163"/>
  <c r="C51" i="163" s="1"/>
  <c r="J47" i="163"/>
  <c r="J46" i="163"/>
  <c r="J45" i="163"/>
  <c r="J44" i="163"/>
  <c r="J43" i="163"/>
  <c r="E43" i="163"/>
  <c r="J42" i="163"/>
  <c r="E42" i="163"/>
  <c r="J41" i="163"/>
  <c r="B41" i="163"/>
  <c r="G40" i="163"/>
  <c r="E40" i="163"/>
  <c r="G39" i="163"/>
  <c r="E39" i="163"/>
  <c r="I32" i="163"/>
  <c r="J32" i="163" s="1"/>
  <c r="C31" i="163"/>
  <c r="K26" i="163"/>
  <c r="J26" i="163"/>
  <c r="K24" i="163"/>
  <c r="K14" i="163"/>
  <c r="K13" i="163"/>
  <c r="J13" i="163"/>
  <c r="AX11" i="154" l="1"/>
  <c r="AW10" i="154"/>
  <c r="E93" i="163"/>
  <c r="AH13" i="153"/>
  <c r="E41" i="163"/>
  <c r="E49" i="163" s="1"/>
  <c r="B11" i="163"/>
  <c r="E50" i="163"/>
  <c r="E63" i="164"/>
  <c r="E119" i="164"/>
  <c r="J39" i="163"/>
  <c r="G9" i="163"/>
  <c r="J40" i="163"/>
  <c r="G10" i="163"/>
  <c r="N26" i="165"/>
  <c r="D50" i="165"/>
  <c r="D52" i="165" s="1"/>
  <c r="H50" i="165"/>
  <c r="H52" i="165" s="1"/>
  <c r="L50" i="165"/>
  <c r="L52" i="165" s="1"/>
  <c r="E123" i="164"/>
  <c r="Q6" i="165"/>
  <c r="N6" i="165" s="1"/>
  <c r="N28" i="165"/>
  <c r="C50" i="165"/>
  <c r="C52" i="165" s="1"/>
  <c r="B50" i="165"/>
  <c r="F50" i="165"/>
  <c r="F52" i="165" s="1"/>
  <c r="J50" i="165"/>
  <c r="J52" i="165" s="1"/>
  <c r="E20" i="165"/>
  <c r="E27" i="165" s="1"/>
  <c r="E32" i="165" s="1"/>
  <c r="N13" i="165"/>
  <c r="N20" i="165" s="1"/>
  <c r="N47" i="165"/>
  <c r="E50" i="165"/>
  <c r="E52" i="165" s="1"/>
  <c r="G50" i="165"/>
  <c r="G52" i="165" s="1"/>
  <c r="I50" i="165"/>
  <c r="I52" i="165" s="1"/>
  <c r="K50" i="165"/>
  <c r="K52" i="165" s="1"/>
  <c r="D51" i="163"/>
  <c r="E61" i="163"/>
  <c r="J54" i="163"/>
  <c r="J61" i="163" s="1"/>
  <c r="J64" i="163" s="1"/>
  <c r="D64" i="163"/>
  <c r="J82" i="163"/>
  <c r="J84" i="163" s="1"/>
  <c r="J93" i="163"/>
  <c r="J14" i="163"/>
  <c r="C33" i="163"/>
  <c r="E72" i="163"/>
  <c r="E82" i="163" s="1"/>
  <c r="E84" i="163" s="1"/>
  <c r="B49" i="163"/>
  <c r="B51" i="163" s="1"/>
  <c r="B65" i="163" s="1"/>
  <c r="E62" i="163"/>
  <c r="C65" i="163"/>
  <c r="G49" i="163"/>
  <c r="G51" i="163" s="1"/>
  <c r="G65" i="163" s="1"/>
  <c r="H65" i="163"/>
  <c r="AW11" i="154" l="1"/>
  <c r="AZ11" i="154" s="1"/>
  <c r="AZ10" i="154"/>
  <c r="J49" i="163"/>
  <c r="AI13" i="153"/>
  <c r="AK13" i="153" s="1"/>
  <c r="E51" i="163"/>
  <c r="N49" i="165"/>
  <c r="N27" i="165"/>
  <c r="N32" i="165" s="1"/>
  <c r="D65" i="163"/>
  <c r="E64" i="163"/>
  <c r="E65" i="163" l="1"/>
  <c r="K25" i="163"/>
  <c r="J25" i="163"/>
  <c r="I50" i="163" l="1"/>
  <c r="J50" i="163" l="1"/>
  <c r="J51" i="163" s="1"/>
  <c r="I51" i="163"/>
  <c r="I65" i="163" l="1"/>
  <c r="J65" i="163"/>
  <c r="H31" i="163" l="1"/>
  <c r="H33" i="163" s="1"/>
  <c r="B51" i="165" l="1"/>
  <c r="B54" i="165" s="1"/>
  <c r="C6" i="165" s="1"/>
  <c r="C54" i="165" s="1"/>
  <c r="D6" i="165" s="1"/>
  <c r="D54" i="165" s="1"/>
  <c r="E6" i="165" s="1"/>
  <c r="E54" i="165" s="1"/>
  <c r="F6" i="165" s="1"/>
  <c r="F54" i="165" s="1"/>
  <c r="G6" i="165" s="1"/>
  <c r="G54" i="165" s="1"/>
  <c r="H6" i="165" s="1"/>
  <c r="H54" i="165" s="1"/>
  <c r="I6" i="165" s="1"/>
  <c r="I54" i="165" s="1"/>
  <c r="J6" i="165" s="1"/>
  <c r="J54" i="165" s="1"/>
  <c r="K6" i="165" s="1"/>
  <c r="K54" i="165" s="1"/>
  <c r="L6" i="165" s="1"/>
  <c r="L54" i="165" s="1"/>
  <c r="M6" i="165" s="1"/>
  <c r="H19" i="163"/>
  <c r="H21" i="163" s="1"/>
  <c r="H34" i="163" s="1"/>
  <c r="B25" i="163"/>
  <c r="E32" i="163"/>
  <c r="E20" i="163"/>
  <c r="M43" i="165"/>
  <c r="E25" i="163" l="1"/>
  <c r="B52" i="165"/>
  <c r="N51" i="165"/>
  <c r="H94" i="163"/>
  <c r="N43" i="165"/>
  <c r="N44" i="165" s="1"/>
  <c r="N50" i="165" s="1"/>
  <c r="M44" i="165"/>
  <c r="M50" i="165" s="1"/>
  <c r="M52" i="165" s="1"/>
  <c r="B24" i="163"/>
  <c r="E24" i="163" s="1"/>
  <c r="K28" i="163"/>
  <c r="J28" i="163"/>
  <c r="K15" i="163"/>
  <c r="J20" i="163"/>
  <c r="K20" i="163"/>
  <c r="J27" i="163"/>
  <c r="K27" i="163"/>
  <c r="J29" i="163"/>
  <c r="K29" i="163"/>
  <c r="J16" i="163"/>
  <c r="K17" i="163"/>
  <c r="J17" i="163"/>
  <c r="E23" i="163"/>
  <c r="D31" i="163"/>
  <c r="D33" i="163" s="1"/>
  <c r="N52" i="165" l="1"/>
  <c r="N54" i="165"/>
  <c r="B31" i="163"/>
  <c r="B33" i="163" s="1"/>
  <c r="E31" i="163"/>
  <c r="E33" i="163" s="1"/>
  <c r="M54" i="165"/>
  <c r="E10" i="163"/>
  <c r="J23" i="163"/>
  <c r="K23" i="163"/>
  <c r="AG13" i="153" l="1"/>
  <c r="D353" i="161" l="1"/>
  <c r="C353" i="161"/>
  <c r="B353" i="161"/>
  <c r="E352" i="161"/>
  <c r="E351" i="161"/>
  <c r="E350" i="161"/>
  <c r="E349" i="161"/>
  <c r="E348" i="161"/>
  <c r="E347" i="161"/>
  <c r="D344" i="161"/>
  <c r="C344" i="161"/>
  <c r="B344" i="161"/>
  <c r="E343" i="161"/>
  <c r="E342" i="161"/>
  <c r="E341" i="161"/>
  <c r="E340" i="161"/>
  <c r="D332" i="161"/>
  <c r="C332" i="161"/>
  <c r="B332" i="161"/>
  <c r="E331" i="161"/>
  <c r="E330" i="161"/>
  <c r="E329" i="161"/>
  <c r="E328" i="161"/>
  <c r="E327" i="161"/>
  <c r="E326" i="161"/>
  <c r="D323" i="161"/>
  <c r="C323" i="161"/>
  <c r="B323" i="161"/>
  <c r="E322" i="161"/>
  <c r="E321" i="161"/>
  <c r="E320" i="161"/>
  <c r="E319" i="161"/>
  <c r="D311" i="161"/>
  <c r="C311" i="161"/>
  <c r="B311" i="161"/>
  <c r="E310" i="161"/>
  <c r="E309" i="161"/>
  <c r="E308" i="161"/>
  <c r="E307" i="161"/>
  <c r="E306" i="161"/>
  <c r="E305" i="161"/>
  <c r="D302" i="161"/>
  <c r="C302" i="161"/>
  <c r="B302" i="161"/>
  <c r="E301" i="161"/>
  <c r="E300" i="161"/>
  <c r="E299" i="161"/>
  <c r="E298" i="161"/>
  <c r="D290" i="161"/>
  <c r="C290" i="161"/>
  <c r="B290" i="161"/>
  <c r="E289" i="161"/>
  <c r="E288" i="161"/>
  <c r="E287" i="161"/>
  <c r="E286" i="161"/>
  <c r="E285" i="161"/>
  <c r="E284" i="161"/>
  <c r="D281" i="161"/>
  <c r="C281" i="161"/>
  <c r="B281" i="161"/>
  <c r="E280" i="161"/>
  <c r="E279" i="161"/>
  <c r="E278" i="161"/>
  <c r="E277" i="161"/>
  <c r="C269" i="161"/>
  <c r="B269" i="161"/>
  <c r="E268" i="161"/>
  <c r="E267" i="161"/>
  <c r="E266" i="161"/>
  <c r="E265" i="161"/>
  <c r="E264" i="161"/>
  <c r="E261" i="161"/>
  <c r="D261" i="161"/>
  <c r="C261" i="161"/>
  <c r="B261" i="161"/>
  <c r="D251" i="161"/>
  <c r="C251" i="161"/>
  <c r="B251" i="161"/>
  <c r="E250" i="161"/>
  <c r="E249" i="161"/>
  <c r="E248" i="161"/>
  <c r="E247" i="161"/>
  <c r="E246" i="161"/>
  <c r="E243" i="161"/>
  <c r="D243" i="161"/>
  <c r="C243" i="161"/>
  <c r="B243" i="161"/>
  <c r="D232" i="161"/>
  <c r="C232" i="161"/>
  <c r="B232" i="161"/>
  <c r="E231" i="161"/>
  <c r="E230" i="161"/>
  <c r="E229" i="161"/>
  <c r="E228" i="161"/>
  <c r="E227" i="161"/>
  <c r="E226" i="161"/>
  <c r="E225" i="161"/>
  <c r="D222" i="161"/>
  <c r="C222" i="161"/>
  <c r="B222" i="161"/>
  <c r="E221" i="161"/>
  <c r="E220" i="161"/>
  <c r="E219" i="161"/>
  <c r="E218" i="161"/>
  <c r="D210" i="161"/>
  <c r="C210" i="161"/>
  <c r="B210" i="161"/>
  <c r="E209" i="161"/>
  <c r="E208" i="161"/>
  <c r="E207" i="161"/>
  <c r="E206" i="161"/>
  <c r="E205" i="161"/>
  <c r="E204" i="161"/>
  <c r="D201" i="161"/>
  <c r="C201" i="161"/>
  <c r="B201" i="161"/>
  <c r="E200" i="161"/>
  <c r="E199" i="161"/>
  <c r="E198" i="161"/>
  <c r="C190" i="161"/>
  <c r="B190" i="161"/>
  <c r="E188" i="161"/>
  <c r="E187" i="161"/>
  <c r="E186" i="161"/>
  <c r="E185" i="161"/>
  <c r="E184" i="161"/>
  <c r="E183" i="161"/>
  <c r="D180" i="161"/>
  <c r="C180" i="161"/>
  <c r="B180" i="161"/>
  <c r="E179" i="161"/>
  <c r="E178" i="161"/>
  <c r="E177" i="161"/>
  <c r="E176" i="161"/>
  <c r="D168" i="161"/>
  <c r="C168" i="161"/>
  <c r="B168" i="161"/>
  <c r="E167" i="161"/>
  <c r="E166" i="161"/>
  <c r="E165" i="161"/>
  <c r="E164" i="161"/>
  <c r="E163" i="161"/>
  <c r="E162" i="161"/>
  <c r="D159" i="161"/>
  <c r="C159" i="161"/>
  <c r="B159" i="161"/>
  <c r="E158" i="161"/>
  <c r="E157" i="161"/>
  <c r="E156" i="161"/>
  <c r="E155" i="161"/>
  <c r="D146" i="161"/>
  <c r="C146" i="161"/>
  <c r="B146" i="161"/>
  <c r="E145" i="161"/>
  <c r="E144" i="161"/>
  <c r="E143" i="161"/>
  <c r="E142" i="161"/>
  <c r="E141" i="161"/>
  <c r="D138" i="161"/>
  <c r="C138" i="161"/>
  <c r="B138" i="161"/>
  <c r="E135" i="161"/>
  <c r="D126" i="161"/>
  <c r="C126" i="161"/>
  <c r="B126" i="161"/>
  <c r="E125" i="161"/>
  <c r="E124" i="161"/>
  <c r="E123" i="161"/>
  <c r="E122" i="161"/>
  <c r="E121" i="161"/>
  <c r="E120" i="161"/>
  <c r="D117" i="161"/>
  <c r="C117" i="161"/>
  <c r="B117" i="161"/>
  <c r="E116" i="161"/>
  <c r="E115" i="161"/>
  <c r="E114" i="161"/>
  <c r="E113" i="161"/>
  <c r="D105" i="161"/>
  <c r="C105" i="161"/>
  <c r="B105" i="161"/>
  <c r="E104" i="161"/>
  <c r="E103" i="161"/>
  <c r="E102" i="161"/>
  <c r="E101" i="161"/>
  <c r="E100" i="161"/>
  <c r="E99" i="161"/>
  <c r="E98" i="161"/>
  <c r="D95" i="161"/>
  <c r="C95" i="161"/>
  <c r="B95" i="161"/>
  <c r="E94" i="161"/>
  <c r="E93" i="161"/>
  <c r="E92" i="161"/>
  <c r="E91" i="161"/>
  <c r="B82" i="161"/>
  <c r="E80" i="161"/>
  <c r="E79" i="161"/>
  <c r="E78" i="161"/>
  <c r="E77" i="161"/>
  <c r="E76" i="161"/>
  <c r="D73" i="161"/>
  <c r="C73" i="161"/>
  <c r="B73" i="161"/>
  <c r="E70" i="161"/>
  <c r="D63" i="161"/>
  <c r="B63" i="161"/>
  <c r="E61" i="161"/>
  <c r="E60" i="161"/>
  <c r="E59" i="161"/>
  <c r="E58" i="161"/>
  <c r="E57" i="161"/>
  <c r="D54" i="161"/>
  <c r="C54" i="161"/>
  <c r="B54" i="161"/>
  <c r="E51" i="161"/>
  <c r="D43" i="161"/>
  <c r="C43" i="161"/>
  <c r="B43" i="161"/>
  <c r="E42" i="161"/>
  <c r="E41" i="161"/>
  <c r="E40" i="161"/>
  <c r="E39" i="161"/>
  <c r="E38" i="161"/>
  <c r="E37" i="161"/>
  <c r="D34" i="161"/>
  <c r="C34" i="161"/>
  <c r="B34" i="161"/>
  <c r="E33" i="161"/>
  <c r="E32" i="161"/>
  <c r="E31" i="161"/>
  <c r="E30" i="161"/>
  <c r="D22" i="161"/>
  <c r="C22" i="161"/>
  <c r="B22" i="161"/>
  <c r="E21" i="161"/>
  <c r="E20" i="161"/>
  <c r="E19" i="161"/>
  <c r="E18" i="161"/>
  <c r="E17" i="161"/>
  <c r="E16" i="161"/>
  <c r="E15" i="161"/>
  <c r="D12" i="161"/>
  <c r="C12" i="161"/>
  <c r="B12" i="161"/>
  <c r="E11" i="161"/>
  <c r="E10" i="161"/>
  <c r="E9" i="161"/>
  <c r="E190" i="161" l="1"/>
  <c r="E63" i="161"/>
  <c r="E82" i="161"/>
  <c r="E22" i="161"/>
  <c r="E43" i="161"/>
  <c r="E105" i="161"/>
  <c r="E126" i="161"/>
  <c r="E146" i="161"/>
  <c r="E168" i="161"/>
  <c r="E201" i="161"/>
  <c r="E210" i="161"/>
  <c r="E232" i="161"/>
  <c r="E251" i="161"/>
  <c r="E269" i="161"/>
  <c r="E353" i="161"/>
  <c r="E290" i="161"/>
  <c r="E311" i="161"/>
  <c r="E332" i="161"/>
  <c r="E12" i="161"/>
  <c r="E34" i="161"/>
  <c r="E54" i="161"/>
  <c r="E73" i="161"/>
  <c r="E95" i="161"/>
  <c r="E117" i="161"/>
  <c r="E138" i="161"/>
  <c r="E159" i="161"/>
  <c r="E180" i="161"/>
  <c r="E222" i="161"/>
  <c r="E281" i="161"/>
  <c r="E302" i="161"/>
  <c r="E323" i="161"/>
  <c r="E344" i="161"/>
  <c r="G43" i="143" l="1"/>
  <c r="G43" i="158"/>
  <c r="G41" i="158" s="1"/>
  <c r="J43" i="158"/>
  <c r="G36" i="158"/>
  <c r="G38" i="158"/>
  <c r="H16" i="158"/>
  <c r="G12" i="158"/>
  <c r="J12" i="158"/>
  <c r="J20" i="158"/>
  <c r="G23" i="158"/>
  <c r="J23" i="158"/>
  <c r="I30" i="163" l="1"/>
  <c r="J41" i="158"/>
  <c r="J19" i="158"/>
  <c r="K30" i="163" l="1"/>
  <c r="K31" i="163" s="1"/>
  <c r="I31" i="163"/>
  <c r="I33" i="163" s="1"/>
  <c r="J30" i="163"/>
  <c r="F24" i="160"/>
  <c r="F12" i="160"/>
  <c r="F5" i="160" l="1"/>
  <c r="F28" i="160" s="1"/>
  <c r="J57" i="158" l="1"/>
  <c r="G57" i="158"/>
  <c r="J56" i="158"/>
  <c r="B28" i="148"/>
  <c r="E223" i="157"/>
  <c r="B35" i="148"/>
  <c r="G35" i="158"/>
  <c r="G37" i="158"/>
  <c r="J14" i="158"/>
  <c r="G14" i="158"/>
  <c r="E146" i="155"/>
  <c r="G15" i="158"/>
  <c r="G13" i="158"/>
  <c r="E129" i="155"/>
  <c r="E29" i="155"/>
  <c r="E25" i="155"/>
  <c r="E17" i="155"/>
  <c r="K50" i="150"/>
  <c r="J50" i="150"/>
  <c r="J45" i="150" s="1"/>
  <c r="J51" i="150" s="1"/>
  <c r="G50" i="150"/>
  <c r="F50" i="150"/>
  <c r="C50" i="150"/>
  <c r="B50" i="150"/>
  <c r="B45" i="150" s="1"/>
  <c r="B51" i="150" s="1"/>
  <c r="AH14" i="153"/>
  <c r="AI12" i="153"/>
  <c r="AI14" i="153" s="1"/>
  <c r="AG12" i="153"/>
  <c r="AG14" i="153" s="1"/>
  <c r="AF12" i="153"/>
  <c r="AF14" i="153" s="1"/>
  <c r="G123" i="152"/>
  <c r="I123" i="152" s="1"/>
  <c r="K123" i="152" s="1"/>
  <c r="M123" i="152" s="1"/>
  <c r="G122" i="152"/>
  <c r="I122" i="152" s="1"/>
  <c r="K122" i="152" s="1"/>
  <c r="E121" i="152"/>
  <c r="G121" i="152" s="1"/>
  <c r="I121" i="152" s="1"/>
  <c r="K121" i="152" s="1"/>
  <c r="M121" i="152" s="1"/>
  <c r="G113" i="152"/>
  <c r="I113" i="152" s="1"/>
  <c r="K113" i="152" s="1"/>
  <c r="M113" i="152" s="1"/>
  <c r="G110" i="152"/>
  <c r="E102" i="152"/>
  <c r="G102" i="152" s="1"/>
  <c r="G96" i="152"/>
  <c r="G89" i="152"/>
  <c r="I89" i="152" s="1"/>
  <c r="K89" i="152" s="1"/>
  <c r="M89" i="152" s="1"/>
  <c r="G88" i="152"/>
  <c r="I88" i="152" s="1"/>
  <c r="K88" i="152" s="1"/>
  <c r="M88" i="152" s="1"/>
  <c r="G87" i="152"/>
  <c r="I87" i="152" s="1"/>
  <c r="K87" i="152" s="1"/>
  <c r="M87" i="152" s="1"/>
  <c r="G84" i="152"/>
  <c r="I84" i="152" s="1"/>
  <c r="K84" i="152" s="1"/>
  <c r="M84" i="152" s="1"/>
  <c r="G83" i="152"/>
  <c r="I83" i="152" s="1"/>
  <c r="K83" i="152" s="1"/>
  <c r="M83" i="152" s="1"/>
  <c r="G82" i="152"/>
  <c r="I82" i="152" s="1"/>
  <c r="K82" i="152" s="1"/>
  <c r="M82" i="152" s="1"/>
  <c r="G80" i="152"/>
  <c r="I80" i="152" s="1"/>
  <c r="K80" i="152" s="1"/>
  <c r="M80" i="152" s="1"/>
  <c r="G79" i="152"/>
  <c r="I79" i="152" s="1"/>
  <c r="K79" i="152" s="1"/>
  <c r="M79" i="152" s="1"/>
  <c r="G77" i="152"/>
  <c r="E69" i="152"/>
  <c r="G69" i="152" s="1"/>
  <c r="I69" i="152" s="1"/>
  <c r="K69" i="152" s="1"/>
  <c r="M69" i="152" s="1"/>
  <c r="F67" i="152"/>
  <c r="G67" i="152" s="1"/>
  <c r="I67" i="152" s="1"/>
  <c r="K67" i="152" s="1"/>
  <c r="M67" i="152" s="1"/>
  <c r="F66" i="152"/>
  <c r="G66" i="152" s="1"/>
  <c r="I66" i="152" s="1"/>
  <c r="K66" i="152" s="1"/>
  <c r="M66" i="152" s="1"/>
  <c r="E58" i="152"/>
  <c r="G58" i="152" s="1"/>
  <c r="I58" i="152" s="1"/>
  <c r="K58" i="152" s="1"/>
  <c r="M58" i="152" s="1"/>
  <c r="G57" i="152"/>
  <c r="I57" i="152" s="1"/>
  <c r="K57" i="152" s="1"/>
  <c r="M57" i="152" s="1"/>
  <c r="G56" i="152"/>
  <c r="I56" i="152" s="1"/>
  <c r="K56" i="152" s="1"/>
  <c r="M56" i="152" s="1"/>
  <c r="E55" i="152"/>
  <c r="G55" i="152" s="1"/>
  <c r="I55" i="152" s="1"/>
  <c r="K55" i="152" s="1"/>
  <c r="M55" i="152" s="1"/>
  <c r="E54" i="152"/>
  <c r="G54" i="152" s="1"/>
  <c r="I54" i="152" s="1"/>
  <c r="K54" i="152" s="1"/>
  <c r="M54" i="152" s="1"/>
  <c r="E52" i="152"/>
  <c r="G52" i="152" s="1"/>
  <c r="I52" i="152" s="1"/>
  <c r="K52" i="152" s="1"/>
  <c r="M52" i="152" s="1"/>
  <c r="E51" i="152"/>
  <c r="G51" i="152" s="1"/>
  <c r="I51" i="152" s="1"/>
  <c r="K51" i="152" s="1"/>
  <c r="M51" i="152" s="1"/>
  <c r="E50" i="152"/>
  <c r="G50" i="152" s="1"/>
  <c r="I50" i="152" s="1"/>
  <c r="K50" i="152" s="1"/>
  <c r="M50" i="152" s="1"/>
  <c r="E49" i="152"/>
  <c r="G49" i="152" s="1"/>
  <c r="I49" i="152" s="1"/>
  <c r="K49" i="152" s="1"/>
  <c r="M49" i="152" s="1"/>
  <c r="E43" i="152"/>
  <c r="G43" i="152" s="1"/>
  <c r="I43" i="152" s="1"/>
  <c r="K43" i="152" s="1"/>
  <c r="M43" i="152" s="1"/>
  <c r="G42" i="152"/>
  <c r="I42" i="152" s="1"/>
  <c r="K42" i="152" s="1"/>
  <c r="M42" i="152" s="1"/>
  <c r="G41" i="152"/>
  <c r="I41" i="152" s="1"/>
  <c r="K41" i="152" s="1"/>
  <c r="M41" i="152" s="1"/>
  <c r="E40" i="152"/>
  <c r="G40" i="152" s="1"/>
  <c r="I40" i="152" s="1"/>
  <c r="K40" i="152" s="1"/>
  <c r="M40" i="152" s="1"/>
  <c r="E39" i="152"/>
  <c r="G39" i="152" s="1"/>
  <c r="I39" i="152" s="1"/>
  <c r="K39" i="152" s="1"/>
  <c r="M39" i="152" s="1"/>
  <c r="E37" i="152"/>
  <c r="G37" i="152" s="1"/>
  <c r="E36" i="152"/>
  <c r="G36" i="152" s="1"/>
  <c r="I36" i="152" s="1"/>
  <c r="K36" i="152" s="1"/>
  <c r="M36" i="152" s="1"/>
  <c r="E35" i="152"/>
  <c r="G35" i="152" s="1"/>
  <c r="I35" i="152" s="1"/>
  <c r="K35" i="152" s="1"/>
  <c r="M35" i="152" s="1"/>
  <c r="E34" i="152"/>
  <c r="G34" i="152" s="1"/>
  <c r="I34" i="152" s="1"/>
  <c r="K34" i="152" s="1"/>
  <c r="M34" i="152" s="1"/>
  <c r="E28" i="152"/>
  <c r="G28" i="152" s="1"/>
  <c r="I28" i="152" s="1"/>
  <c r="K28" i="152" s="1"/>
  <c r="M28" i="152" s="1"/>
  <c r="G27" i="152"/>
  <c r="I27" i="152" s="1"/>
  <c r="K27" i="152" s="1"/>
  <c r="M27" i="152" s="1"/>
  <c r="G26" i="152"/>
  <c r="I26" i="152" s="1"/>
  <c r="K26" i="152" s="1"/>
  <c r="M26" i="152" s="1"/>
  <c r="E25" i="152"/>
  <c r="G25" i="152" s="1"/>
  <c r="I25" i="152" s="1"/>
  <c r="K25" i="152" s="1"/>
  <c r="M25" i="152" s="1"/>
  <c r="E24" i="152"/>
  <c r="G24" i="152" s="1"/>
  <c r="I24" i="152" s="1"/>
  <c r="K24" i="152" s="1"/>
  <c r="M24" i="152" s="1"/>
  <c r="E22" i="152"/>
  <c r="G22" i="152" s="1"/>
  <c r="I22" i="152" s="1"/>
  <c r="K22" i="152" s="1"/>
  <c r="M22" i="152" s="1"/>
  <c r="E21" i="152"/>
  <c r="G21" i="152" s="1"/>
  <c r="I21" i="152" s="1"/>
  <c r="K21" i="152" s="1"/>
  <c r="M21" i="152" s="1"/>
  <c r="E20" i="152"/>
  <c r="G20" i="152" s="1"/>
  <c r="I20" i="152" s="1"/>
  <c r="K20" i="152" s="1"/>
  <c r="M20" i="152" s="1"/>
  <c r="E19" i="152"/>
  <c r="G19" i="152" s="1"/>
  <c r="I19" i="152" s="1"/>
  <c r="K19" i="152" s="1"/>
  <c r="M19" i="152" s="1"/>
  <c r="E13" i="152"/>
  <c r="G13" i="152" s="1"/>
  <c r="I13" i="152" s="1"/>
  <c r="K13" i="152" s="1"/>
  <c r="M13" i="152" s="1"/>
  <c r="G12" i="152"/>
  <c r="I12" i="152" s="1"/>
  <c r="K12" i="152" s="1"/>
  <c r="M12" i="152" s="1"/>
  <c r="G11" i="152"/>
  <c r="I11" i="152" s="1"/>
  <c r="K11" i="152" s="1"/>
  <c r="M11" i="152" s="1"/>
  <c r="E10" i="152"/>
  <c r="G10" i="152" s="1"/>
  <c r="I10" i="152" s="1"/>
  <c r="K10" i="152" s="1"/>
  <c r="M10" i="152" s="1"/>
  <c r="E9" i="152"/>
  <c r="G9" i="152" s="1"/>
  <c r="I9" i="152" s="1"/>
  <c r="K9" i="152" s="1"/>
  <c r="M9" i="152" s="1"/>
  <c r="E7" i="152"/>
  <c r="G7" i="152" s="1"/>
  <c r="I7" i="152" s="1"/>
  <c r="K7" i="152" s="1"/>
  <c r="M7" i="152" s="1"/>
  <c r="E6" i="152"/>
  <c r="G6" i="152" s="1"/>
  <c r="I6" i="152" s="1"/>
  <c r="K6" i="152" s="1"/>
  <c r="M6" i="152" s="1"/>
  <c r="E5" i="152"/>
  <c r="G5" i="152" s="1"/>
  <c r="I5" i="152" s="1"/>
  <c r="K5" i="152" s="1"/>
  <c r="M5" i="152" s="1"/>
  <c r="E4" i="152"/>
  <c r="G4" i="152" s="1"/>
  <c r="E85" i="151"/>
  <c r="E78" i="151"/>
  <c r="G78" i="151" s="1"/>
  <c r="I78" i="151" s="1"/>
  <c r="K78" i="151" s="1"/>
  <c r="D13" i="149" s="1"/>
  <c r="E74" i="151"/>
  <c r="E69" i="151"/>
  <c r="G69" i="151" s="1"/>
  <c r="I69" i="151" s="1"/>
  <c r="K69" i="151" s="1"/>
  <c r="E68" i="151"/>
  <c r="G68" i="151" s="1"/>
  <c r="I68" i="151" s="1"/>
  <c r="K68" i="151" s="1"/>
  <c r="E65" i="151"/>
  <c r="G65" i="151" s="1"/>
  <c r="I65" i="151" s="1"/>
  <c r="K65" i="151" s="1"/>
  <c r="E63" i="151"/>
  <c r="G63" i="151" s="1"/>
  <c r="I63" i="151" s="1"/>
  <c r="K63" i="151" s="1"/>
  <c r="E59" i="151"/>
  <c r="G59" i="151" s="1"/>
  <c r="I59" i="151" s="1"/>
  <c r="K59" i="151" s="1"/>
  <c r="E58" i="151"/>
  <c r="G58" i="151" s="1"/>
  <c r="I58" i="151" s="1"/>
  <c r="K58" i="151" s="1"/>
  <c r="E57" i="151"/>
  <c r="G57" i="151" s="1"/>
  <c r="I57" i="151" s="1"/>
  <c r="K57" i="151" s="1"/>
  <c r="E54" i="151"/>
  <c r="G54" i="151" s="1"/>
  <c r="I54" i="151" s="1"/>
  <c r="K54" i="151" s="1"/>
  <c r="E53" i="151"/>
  <c r="G53" i="151" s="1"/>
  <c r="I53" i="151" s="1"/>
  <c r="K53" i="151" s="1"/>
  <c r="E52" i="151"/>
  <c r="G52" i="151" s="1"/>
  <c r="I52" i="151" s="1"/>
  <c r="K52" i="151" s="1"/>
  <c r="E50" i="151"/>
  <c r="G50" i="151" s="1"/>
  <c r="I50" i="151" s="1"/>
  <c r="K50" i="151" s="1"/>
  <c r="E48" i="151"/>
  <c r="G48" i="151" s="1"/>
  <c r="I48" i="151" s="1"/>
  <c r="K48" i="151" s="1"/>
  <c r="E47" i="151"/>
  <c r="G47" i="151" s="1"/>
  <c r="I47" i="151" s="1"/>
  <c r="K47" i="151" s="1"/>
  <c r="E43" i="151"/>
  <c r="E39" i="151"/>
  <c r="G39" i="151" s="1"/>
  <c r="I39" i="151" s="1"/>
  <c r="K39" i="151" s="1"/>
  <c r="E38" i="151"/>
  <c r="G38" i="151" s="1"/>
  <c r="I38" i="151" s="1"/>
  <c r="K38" i="151" s="1"/>
  <c r="C37" i="151"/>
  <c r="E37" i="151" s="1"/>
  <c r="G37" i="151" s="1"/>
  <c r="I37" i="151" s="1"/>
  <c r="K37" i="151" s="1"/>
  <c r="C36" i="151"/>
  <c r="E36" i="151" s="1"/>
  <c r="G36" i="151" s="1"/>
  <c r="I36" i="151" s="1"/>
  <c r="K36" i="151" s="1"/>
  <c r="C34" i="151"/>
  <c r="E34" i="151" s="1"/>
  <c r="G34" i="151" s="1"/>
  <c r="I34" i="151" s="1"/>
  <c r="K34" i="151" s="1"/>
  <c r="C33" i="151"/>
  <c r="E33" i="151" s="1"/>
  <c r="G33" i="151" s="1"/>
  <c r="I33" i="151" s="1"/>
  <c r="K33" i="151" s="1"/>
  <c r="C32" i="151"/>
  <c r="E32" i="151" s="1"/>
  <c r="G32" i="151" s="1"/>
  <c r="I32" i="151" s="1"/>
  <c r="K32" i="151" s="1"/>
  <c r="C31" i="151"/>
  <c r="E31" i="151" s="1"/>
  <c r="G31" i="151" s="1"/>
  <c r="I31" i="151" s="1"/>
  <c r="K31" i="151" s="1"/>
  <c r="E24" i="151"/>
  <c r="G24" i="151" s="1"/>
  <c r="I24" i="151" s="1"/>
  <c r="K24" i="151" s="1"/>
  <c r="E23" i="151"/>
  <c r="E19" i="151"/>
  <c r="E17" i="151"/>
  <c r="G17" i="151" s="1"/>
  <c r="I17" i="151" s="1"/>
  <c r="K17" i="151" s="1"/>
  <c r="E15" i="151"/>
  <c r="G15" i="151" s="1"/>
  <c r="I15" i="151" s="1"/>
  <c r="K15" i="151" s="1"/>
  <c r="E13" i="151"/>
  <c r="G13" i="151" s="1"/>
  <c r="I13" i="151" s="1"/>
  <c r="K13" i="151" s="1"/>
  <c r="E10" i="151"/>
  <c r="E7" i="151"/>
  <c r="R60" i="150"/>
  <c r="R58" i="150"/>
  <c r="M57" i="150"/>
  <c r="I57" i="150"/>
  <c r="E57" i="150"/>
  <c r="R56" i="150"/>
  <c r="Q56" i="150"/>
  <c r="N56" i="150"/>
  <c r="J94" i="149" s="1"/>
  <c r="N94" i="149" s="1"/>
  <c r="R55" i="150"/>
  <c r="Q55" i="150"/>
  <c r="N55" i="150"/>
  <c r="R54" i="150"/>
  <c r="Q54" i="150"/>
  <c r="N54" i="150"/>
  <c r="R53" i="150"/>
  <c r="R57" i="150" s="1"/>
  <c r="Q53" i="150"/>
  <c r="N53" i="150"/>
  <c r="R50" i="150"/>
  <c r="R45" i="150" s="1"/>
  <c r="Q49" i="150"/>
  <c r="N49" i="150"/>
  <c r="N48" i="150"/>
  <c r="N47" i="150"/>
  <c r="V13" i="153"/>
  <c r="M46" i="150"/>
  <c r="S11" i="153"/>
  <c r="I46" i="150"/>
  <c r="S10" i="153"/>
  <c r="E46" i="150"/>
  <c r="S9" i="153"/>
  <c r="N43" i="150"/>
  <c r="J27" i="149" s="1"/>
  <c r="R42" i="150"/>
  <c r="Q42" i="150"/>
  <c r="N42" i="150"/>
  <c r="Q41" i="150"/>
  <c r="N41" i="150"/>
  <c r="R40" i="150"/>
  <c r="I40" i="150"/>
  <c r="N39" i="150"/>
  <c r="N38" i="150"/>
  <c r="N37" i="150"/>
  <c r="J61" i="149" s="1"/>
  <c r="N61" i="149" s="1"/>
  <c r="N36" i="150"/>
  <c r="N35" i="150"/>
  <c r="R34" i="150"/>
  <c r="M34" i="150"/>
  <c r="I34" i="150"/>
  <c r="E34" i="150"/>
  <c r="R33" i="150"/>
  <c r="Q33" i="150"/>
  <c r="N33" i="150"/>
  <c r="J57" i="149" s="1"/>
  <c r="N57" i="149" s="1"/>
  <c r="N32" i="150"/>
  <c r="N31" i="150"/>
  <c r="R30" i="150"/>
  <c r="N30" i="150"/>
  <c r="R29" i="150"/>
  <c r="Q29" i="150"/>
  <c r="N29" i="150"/>
  <c r="J53" i="149" s="1"/>
  <c r="N53" i="149" s="1"/>
  <c r="R28" i="150"/>
  <c r="N28" i="150"/>
  <c r="R27" i="150"/>
  <c r="N27" i="150"/>
  <c r="R26" i="150"/>
  <c r="N26" i="150"/>
  <c r="R25" i="150"/>
  <c r="N25" i="150"/>
  <c r="R24" i="150"/>
  <c r="N24" i="150"/>
  <c r="R23" i="150"/>
  <c r="N23" i="150"/>
  <c r="J45" i="149" s="1"/>
  <c r="R22" i="150"/>
  <c r="N22" i="150"/>
  <c r="M21" i="150"/>
  <c r="I21" i="150"/>
  <c r="E21" i="150"/>
  <c r="N20" i="150"/>
  <c r="N19" i="150"/>
  <c r="R18" i="150"/>
  <c r="N18" i="150"/>
  <c r="R17" i="150"/>
  <c r="N17" i="150"/>
  <c r="Q16" i="150"/>
  <c r="N16" i="150"/>
  <c r="R15" i="150"/>
  <c r="M15" i="150"/>
  <c r="I15" i="150"/>
  <c r="E15" i="150"/>
  <c r="M21" i="149"/>
  <c r="Q21" i="149" s="1"/>
  <c r="N14" i="150"/>
  <c r="Q12" i="150"/>
  <c r="N13" i="150"/>
  <c r="R12" i="150"/>
  <c r="M12" i="150"/>
  <c r="I12" i="150"/>
  <c r="E12" i="150"/>
  <c r="Q90" i="149"/>
  <c r="E24" i="158" s="1"/>
  <c r="O90" i="149"/>
  <c r="C24" i="158" s="1"/>
  <c r="C21" i="158" s="1"/>
  <c r="C59" i="158" s="1"/>
  <c r="N90" i="149"/>
  <c r="B24" i="158" s="1"/>
  <c r="B21" i="158" s="1"/>
  <c r="Q89" i="149"/>
  <c r="O89" i="149"/>
  <c r="N89" i="149"/>
  <c r="Q88" i="149"/>
  <c r="O88" i="149"/>
  <c r="N88" i="149"/>
  <c r="Q87" i="149"/>
  <c r="O87" i="149"/>
  <c r="N87" i="149"/>
  <c r="Q86" i="149"/>
  <c r="O86" i="149"/>
  <c r="N86" i="149"/>
  <c r="Q85" i="149"/>
  <c r="O85" i="149"/>
  <c r="N85" i="149"/>
  <c r="B44" i="158" s="1"/>
  <c r="B43" i="158" s="1"/>
  <c r="B60" i="158" s="1"/>
  <c r="Q84" i="149"/>
  <c r="O84" i="149"/>
  <c r="N84" i="149"/>
  <c r="Q83" i="149"/>
  <c r="O83" i="149"/>
  <c r="N83" i="149"/>
  <c r="Q82" i="149"/>
  <c r="O82" i="149"/>
  <c r="N82" i="149"/>
  <c r="Q81" i="149"/>
  <c r="O81" i="149"/>
  <c r="N81" i="149"/>
  <c r="M80" i="149"/>
  <c r="V15" i="153"/>
  <c r="S15" i="153"/>
  <c r="Q73" i="149"/>
  <c r="O73" i="149"/>
  <c r="N73" i="149"/>
  <c r="Q72" i="149"/>
  <c r="O72" i="149"/>
  <c r="N72" i="149"/>
  <c r="Q71" i="149"/>
  <c r="O71" i="149"/>
  <c r="N71" i="149"/>
  <c r="Q68" i="149"/>
  <c r="O68" i="149"/>
  <c r="N68" i="149"/>
  <c r="Q67" i="149"/>
  <c r="O67" i="149"/>
  <c r="N67" i="149"/>
  <c r="O63" i="149"/>
  <c r="N63" i="149"/>
  <c r="O62" i="149"/>
  <c r="N62" i="149"/>
  <c r="I58" i="149"/>
  <c r="Q60" i="149"/>
  <c r="O60" i="149"/>
  <c r="N60" i="149"/>
  <c r="Q56" i="149"/>
  <c r="O56" i="149"/>
  <c r="N56" i="149"/>
  <c r="Q55" i="149"/>
  <c r="O55" i="149"/>
  <c r="N55" i="149"/>
  <c r="Q54" i="149"/>
  <c r="O54" i="149"/>
  <c r="N54" i="149"/>
  <c r="O51" i="149"/>
  <c r="O50" i="149"/>
  <c r="N50" i="149"/>
  <c r="Q50" i="149"/>
  <c r="O49" i="149"/>
  <c r="N49" i="149"/>
  <c r="Q49" i="149"/>
  <c r="O48" i="149"/>
  <c r="O47" i="149"/>
  <c r="Q46" i="149"/>
  <c r="O46" i="149"/>
  <c r="Q44" i="149"/>
  <c r="O44" i="149"/>
  <c r="N44" i="149"/>
  <c r="Q42" i="149"/>
  <c r="O42" i="149"/>
  <c r="N42" i="149"/>
  <c r="Q41" i="149"/>
  <c r="O41" i="149"/>
  <c r="N41" i="149"/>
  <c r="Q40" i="149"/>
  <c r="O40" i="149"/>
  <c r="N40" i="149"/>
  <c r="Q39" i="149"/>
  <c r="O39" i="149"/>
  <c r="N39" i="149"/>
  <c r="Q38" i="149"/>
  <c r="Q37" i="149"/>
  <c r="O37" i="149"/>
  <c r="N37" i="149"/>
  <c r="Q36" i="149"/>
  <c r="O36" i="149"/>
  <c r="N36" i="149"/>
  <c r="Q35" i="149"/>
  <c r="N35" i="149"/>
  <c r="Q33" i="149"/>
  <c r="O33" i="149"/>
  <c r="N33" i="149"/>
  <c r="Q32" i="149"/>
  <c r="O32" i="149"/>
  <c r="N32" i="149"/>
  <c r="I31" i="149"/>
  <c r="F22" i="149"/>
  <c r="I22" i="149"/>
  <c r="M8" i="149"/>
  <c r="I8" i="149"/>
  <c r="F7" i="149"/>
  <c r="N122" i="152" l="1"/>
  <c r="M122" i="152"/>
  <c r="C13" i="149"/>
  <c r="O13" i="149" s="1"/>
  <c r="G45" i="150"/>
  <c r="G51" i="150" s="1"/>
  <c r="K45" i="150"/>
  <c r="K51" i="150" s="1"/>
  <c r="H13" i="158"/>
  <c r="H11" i="158" s="1"/>
  <c r="C44" i="158"/>
  <c r="C43" i="158" s="1"/>
  <c r="C60" i="158" s="1"/>
  <c r="C58" i="158" s="1"/>
  <c r="M79" i="149"/>
  <c r="C45" i="150"/>
  <c r="O50" i="150"/>
  <c r="O38" i="149"/>
  <c r="N57" i="150"/>
  <c r="J93" i="149" s="1"/>
  <c r="N93" i="149" s="1"/>
  <c r="Q23" i="150"/>
  <c r="Q21" i="150"/>
  <c r="Q34" i="150"/>
  <c r="Q37" i="150"/>
  <c r="O61" i="149"/>
  <c r="O58" i="149" s="1"/>
  <c r="I70" i="149"/>
  <c r="B33" i="143"/>
  <c r="I66" i="149"/>
  <c r="B11" i="143"/>
  <c r="I79" i="149"/>
  <c r="I80" i="149"/>
  <c r="E59" i="158"/>
  <c r="E21" i="158"/>
  <c r="M22" i="149"/>
  <c r="Q43" i="150"/>
  <c r="I37" i="152"/>
  <c r="K37" i="152" s="1"/>
  <c r="M37" i="152" s="1"/>
  <c r="E23" i="155"/>
  <c r="G31" i="163"/>
  <c r="G33" i="163" s="1"/>
  <c r="L45" i="150"/>
  <c r="J15" i="163"/>
  <c r="AK14" i="153"/>
  <c r="J78" i="149"/>
  <c r="N78" i="149" s="1"/>
  <c r="B42" i="158" s="1"/>
  <c r="B41" i="158" s="1"/>
  <c r="B57" i="158" s="1"/>
  <c r="J47" i="149"/>
  <c r="Q47" i="149" s="1"/>
  <c r="J52" i="149"/>
  <c r="Q57" i="150"/>
  <c r="J77" i="149"/>
  <c r="Q77" i="149" s="1"/>
  <c r="J22" i="149"/>
  <c r="N22" i="149" s="1"/>
  <c r="N27" i="149"/>
  <c r="J51" i="149"/>
  <c r="Q51" i="149" s="1"/>
  <c r="J21" i="149"/>
  <c r="N21" i="149" s="1"/>
  <c r="J58" i="149"/>
  <c r="G43" i="151"/>
  <c r="E20" i="151"/>
  <c r="G20" i="151" s="1"/>
  <c r="G19" i="151"/>
  <c r="I19" i="151" s="1"/>
  <c r="K19" i="151" s="1"/>
  <c r="E6" i="151"/>
  <c r="G6" i="151" s="1"/>
  <c r="I6" i="151" s="1"/>
  <c r="K6" i="151" s="1"/>
  <c r="G7" i="151"/>
  <c r="I7" i="151" s="1"/>
  <c r="K7" i="151" s="1"/>
  <c r="E21" i="151"/>
  <c r="G21" i="151" s="1"/>
  <c r="I21" i="151" s="1"/>
  <c r="K21" i="151" s="1"/>
  <c r="G23" i="151"/>
  <c r="I23" i="151" s="1"/>
  <c r="K23" i="151" s="1"/>
  <c r="E73" i="151"/>
  <c r="G73" i="151" s="1"/>
  <c r="G74" i="151"/>
  <c r="I74" i="151" s="1"/>
  <c r="K74" i="151" s="1"/>
  <c r="E11" i="151"/>
  <c r="G11" i="151" s="1"/>
  <c r="I11" i="151" s="1"/>
  <c r="K11" i="151" s="1"/>
  <c r="G10" i="151"/>
  <c r="I10" i="151" s="1"/>
  <c r="K10" i="151" s="1"/>
  <c r="G17" i="152"/>
  <c r="I17" i="152" s="1"/>
  <c r="K17" i="152" s="1"/>
  <c r="M17" i="152" s="1"/>
  <c r="I4" i="152"/>
  <c r="K4" i="152" s="1"/>
  <c r="M4" i="152" s="1"/>
  <c r="G100" i="152"/>
  <c r="I96" i="152"/>
  <c r="K96" i="152" s="1"/>
  <c r="M96" i="152" s="1"/>
  <c r="I110" i="152"/>
  <c r="B10" i="153"/>
  <c r="F10" i="153" s="1"/>
  <c r="J10" i="153" s="1"/>
  <c r="I77" i="152"/>
  <c r="K77" i="152" s="1"/>
  <c r="M77" i="152" s="1"/>
  <c r="F45" i="150"/>
  <c r="F51" i="150" s="1"/>
  <c r="G107" i="152"/>
  <c r="I102" i="152"/>
  <c r="K102" i="152" s="1"/>
  <c r="M102" i="152" s="1"/>
  <c r="J15" i="158"/>
  <c r="E139" i="155"/>
  <c r="E151" i="155" s="1"/>
  <c r="E28" i="148"/>
  <c r="O21" i="149"/>
  <c r="V10" i="153"/>
  <c r="Q40" i="150"/>
  <c r="M69" i="149"/>
  <c r="V9" i="153"/>
  <c r="E28" i="155"/>
  <c r="B59" i="158"/>
  <c r="B58" i="158" s="1"/>
  <c r="V11" i="153"/>
  <c r="N12" i="150"/>
  <c r="J20" i="149"/>
  <c r="N40" i="150"/>
  <c r="J69" i="149"/>
  <c r="E162" i="157"/>
  <c r="B37" i="148"/>
  <c r="F74" i="149"/>
  <c r="G8" i="158"/>
  <c r="N45" i="149"/>
  <c r="O20" i="149"/>
  <c r="E60" i="157"/>
  <c r="I30" i="149"/>
  <c r="I43" i="149"/>
  <c r="G74" i="152"/>
  <c r="O31" i="149"/>
  <c r="M30" i="149"/>
  <c r="M7" i="149"/>
  <c r="G32" i="152"/>
  <c r="I32" i="152" s="1"/>
  <c r="K32" i="152" s="1"/>
  <c r="N80" i="149"/>
  <c r="N79" i="149" s="1"/>
  <c r="B16" i="148" s="1"/>
  <c r="Q80" i="149"/>
  <c r="Q79" i="149" s="1"/>
  <c r="E56" i="151"/>
  <c r="I7" i="149"/>
  <c r="N38" i="149"/>
  <c r="O77" i="149"/>
  <c r="C20" i="158" s="1"/>
  <c r="C19" i="158" s="1"/>
  <c r="C56" i="158" s="1"/>
  <c r="N15" i="150"/>
  <c r="N34" i="150"/>
  <c r="Q46" i="150"/>
  <c r="E62" i="151"/>
  <c r="G62" i="151" s="1"/>
  <c r="I62" i="151" s="1"/>
  <c r="K62" i="151" s="1"/>
  <c r="G62" i="152"/>
  <c r="I62" i="152" s="1"/>
  <c r="K62" i="152" s="1"/>
  <c r="M62" i="152" s="1"/>
  <c r="G86" i="152"/>
  <c r="I86" i="152" s="1"/>
  <c r="K86" i="152" s="1"/>
  <c r="M86" i="152" s="1"/>
  <c r="G11" i="158"/>
  <c r="E30" i="151"/>
  <c r="G30" i="151" s="1"/>
  <c r="O80" i="149"/>
  <c r="O79" i="149" s="1"/>
  <c r="C16" i="148" s="1"/>
  <c r="Q15" i="150"/>
  <c r="N11" i="153"/>
  <c r="N13" i="153"/>
  <c r="N58" i="149"/>
  <c r="W15" i="153"/>
  <c r="W16" i="153" s="1"/>
  <c r="J16" i="158"/>
  <c r="N34" i="149"/>
  <c r="N70" i="149"/>
  <c r="O70" i="149"/>
  <c r="M76" i="149"/>
  <c r="R21" i="150"/>
  <c r="R44" i="150" s="1"/>
  <c r="R51" i="150" s="1"/>
  <c r="E44" i="150"/>
  <c r="O78" i="149"/>
  <c r="N21" i="150"/>
  <c r="N10" i="153"/>
  <c r="M44" i="150"/>
  <c r="I44" i="150"/>
  <c r="Q13" i="153"/>
  <c r="S12" i="153"/>
  <c r="S13" i="153"/>
  <c r="N46" i="150"/>
  <c r="N50" i="150"/>
  <c r="E67" i="151"/>
  <c r="G67" i="151" s="1"/>
  <c r="I67" i="151" s="1"/>
  <c r="K67" i="151" s="1"/>
  <c r="G34" i="158"/>
  <c r="G33" i="158" s="1"/>
  <c r="G32" i="158"/>
  <c r="B23" i="148"/>
  <c r="G7" i="158"/>
  <c r="G9" i="158"/>
  <c r="G10" i="158"/>
  <c r="B21" i="148"/>
  <c r="G20" i="158"/>
  <c r="J55" i="158"/>
  <c r="Q70" i="149"/>
  <c r="G47" i="152"/>
  <c r="I47" i="152" s="1"/>
  <c r="K47" i="152" s="1"/>
  <c r="M47" i="152" s="1"/>
  <c r="Q48" i="149"/>
  <c r="N31" i="149"/>
  <c r="Q31" i="149"/>
  <c r="N46" i="149"/>
  <c r="O52" i="149"/>
  <c r="O35" i="149"/>
  <c r="N48" i="149"/>
  <c r="Z15" i="153"/>
  <c r="J13" i="158" l="1"/>
  <c r="C32" i="158"/>
  <c r="C12" i="148"/>
  <c r="C31" i="158"/>
  <c r="E31" i="158" s="1"/>
  <c r="C10" i="148"/>
  <c r="E13" i="149"/>
  <c r="Q13" i="149" s="1"/>
  <c r="P13" i="149"/>
  <c r="J76" i="149"/>
  <c r="J75" i="149" s="1"/>
  <c r="E44" i="158"/>
  <c r="C42" i="158"/>
  <c r="C41" i="158" s="1"/>
  <c r="C57" i="158" s="1"/>
  <c r="C55" i="158" s="1"/>
  <c r="C51" i="150"/>
  <c r="O45" i="150"/>
  <c r="O51" i="150" s="1"/>
  <c r="N51" i="149"/>
  <c r="N47" i="149"/>
  <c r="E18" i="151"/>
  <c r="G18" i="151" s="1"/>
  <c r="I18" i="151" s="1"/>
  <c r="K18" i="151" s="1"/>
  <c r="N77" i="149"/>
  <c r="B20" i="158" s="1"/>
  <c r="B19" i="158" s="1"/>
  <c r="B56" i="158" s="1"/>
  <c r="B55" i="158" s="1"/>
  <c r="B12" i="149"/>
  <c r="N12" i="149" s="1"/>
  <c r="O30" i="165"/>
  <c r="I76" i="149"/>
  <c r="O53" i="149"/>
  <c r="M53" i="149"/>
  <c r="Q53" i="149" s="1"/>
  <c r="M45" i="149"/>
  <c r="Q45" i="149" s="1"/>
  <c r="O57" i="149"/>
  <c r="M57" i="149"/>
  <c r="Q57" i="149" s="1"/>
  <c r="E60" i="158"/>
  <c r="E43" i="158"/>
  <c r="O94" i="149"/>
  <c r="Q94" i="149" s="1"/>
  <c r="M94" i="149"/>
  <c r="M27" i="149"/>
  <c r="Q27" i="149" s="1"/>
  <c r="Q22" i="149" s="1"/>
  <c r="O27" i="149"/>
  <c r="O22" i="149" s="1"/>
  <c r="M61" i="149"/>
  <c r="Q61" i="149" s="1"/>
  <c r="Q58" i="149" s="1"/>
  <c r="J24" i="163"/>
  <c r="J31" i="163" s="1"/>
  <c r="J33" i="163" s="1"/>
  <c r="L51" i="150"/>
  <c r="G19" i="163"/>
  <c r="G21" i="163" s="1"/>
  <c r="G94" i="163" s="1"/>
  <c r="D45" i="150"/>
  <c r="P50" i="150"/>
  <c r="H51" i="150"/>
  <c r="E11" i="163"/>
  <c r="B12" i="163"/>
  <c r="E12" i="163" s="1"/>
  <c r="N52" i="149"/>
  <c r="J43" i="149"/>
  <c r="N43" i="149" s="1"/>
  <c r="B9" i="148" s="1"/>
  <c r="M93" i="149"/>
  <c r="E16" i="148"/>
  <c r="O69" i="149"/>
  <c r="O66" i="149" s="1"/>
  <c r="C11" i="148" s="1"/>
  <c r="Q69" i="149"/>
  <c r="Q66" i="149" s="1"/>
  <c r="M66" i="149"/>
  <c r="I30" i="151"/>
  <c r="K30" i="151" s="1"/>
  <c r="D10" i="149" s="1"/>
  <c r="E46" i="151"/>
  <c r="G56" i="151"/>
  <c r="I56" i="151" s="1"/>
  <c r="K56" i="151" s="1"/>
  <c r="I73" i="151"/>
  <c r="K73" i="151" s="1"/>
  <c r="D12" i="149" s="1"/>
  <c r="I20" i="151"/>
  <c r="K20" i="151" s="1"/>
  <c r="M20" i="151"/>
  <c r="E9" i="151"/>
  <c r="K110" i="152"/>
  <c r="C10" i="153" s="1"/>
  <c r="G10" i="153" s="1"/>
  <c r="K10" i="153" s="1"/>
  <c r="AB10" i="153" s="1"/>
  <c r="I100" i="152"/>
  <c r="K100" i="152" s="1"/>
  <c r="B13" i="153"/>
  <c r="G94" i="152"/>
  <c r="I94" i="152" s="1"/>
  <c r="K94" i="152" s="1"/>
  <c r="M94" i="152" s="1"/>
  <c r="AA10" i="153"/>
  <c r="I107" i="152"/>
  <c r="B9" i="153"/>
  <c r="J11" i="158"/>
  <c r="H8" i="158"/>
  <c r="J8" i="158" s="1"/>
  <c r="G19" i="158"/>
  <c r="O44" i="165"/>
  <c r="Z16" i="153"/>
  <c r="V12" i="153"/>
  <c r="V14" i="153" s="1"/>
  <c r="V16" i="153" s="1"/>
  <c r="M50" i="150"/>
  <c r="Q10" i="153"/>
  <c r="O45" i="149"/>
  <c r="Q9" i="153"/>
  <c r="E50" i="150"/>
  <c r="E20" i="158"/>
  <c r="B11" i="153"/>
  <c r="I74" i="152"/>
  <c r="J66" i="149"/>
  <c r="N69" i="149"/>
  <c r="N66" i="149" s="1"/>
  <c r="B10" i="158" s="1"/>
  <c r="N20" i="149"/>
  <c r="J7" i="149"/>
  <c r="E211" i="157"/>
  <c r="E22" i="148"/>
  <c r="S50" i="150"/>
  <c r="B22" i="148"/>
  <c r="B20" i="148" s="1"/>
  <c r="G31" i="158"/>
  <c r="B27" i="148"/>
  <c r="B10" i="149"/>
  <c r="N10" i="149" s="1"/>
  <c r="I75" i="149"/>
  <c r="F92" i="149"/>
  <c r="E32" i="158"/>
  <c r="E12" i="148"/>
  <c r="B32" i="158"/>
  <c r="B12" i="148"/>
  <c r="B31" i="158"/>
  <c r="B10" i="148"/>
  <c r="B30" i="158"/>
  <c r="B7" i="148"/>
  <c r="G30" i="158"/>
  <c r="E142" i="157"/>
  <c r="G16" i="158"/>
  <c r="G17" i="158" s="1"/>
  <c r="I74" i="149"/>
  <c r="N30" i="149"/>
  <c r="O76" i="149"/>
  <c r="C15" i="148" s="1"/>
  <c r="C17" i="148" s="1"/>
  <c r="M75" i="149"/>
  <c r="M91" i="149"/>
  <c r="I91" i="149"/>
  <c r="N45" i="150"/>
  <c r="Q34" i="149"/>
  <c r="E23" i="148"/>
  <c r="Q11" i="153"/>
  <c r="Q52" i="149"/>
  <c r="N44" i="150"/>
  <c r="N9" i="153"/>
  <c r="N12" i="153" s="1"/>
  <c r="N14" i="153" s="1"/>
  <c r="Q44" i="150"/>
  <c r="S14" i="153"/>
  <c r="S16" i="153" s="1"/>
  <c r="Q78" i="149"/>
  <c r="O34" i="149"/>
  <c r="M100" i="152" l="1"/>
  <c r="D13" i="153" s="1"/>
  <c r="C13" i="153"/>
  <c r="M110" i="152"/>
  <c r="D10" i="153" s="1"/>
  <c r="H10" i="153" s="1"/>
  <c r="C30" i="158"/>
  <c r="C39" i="158" s="1"/>
  <c r="C7" i="148"/>
  <c r="E7" i="148" s="1"/>
  <c r="K74" i="149"/>
  <c r="K92" i="149" s="1"/>
  <c r="C12" i="149"/>
  <c r="O12" i="149" s="1"/>
  <c r="P10" i="149"/>
  <c r="C10" i="149"/>
  <c r="O10" i="149" s="1"/>
  <c r="J91" i="149"/>
  <c r="N91" i="149" s="1"/>
  <c r="C52" i="158"/>
  <c r="H31" i="158"/>
  <c r="N76" i="149"/>
  <c r="N75" i="149" s="1"/>
  <c r="H7" i="158"/>
  <c r="J7" i="158" s="1"/>
  <c r="C46" i="158"/>
  <c r="E41" i="158"/>
  <c r="E57" i="158" s="1"/>
  <c r="E42" i="158"/>
  <c r="C10" i="158"/>
  <c r="E10" i="158" s="1"/>
  <c r="E33" i="155"/>
  <c r="T50" i="150"/>
  <c r="E58" i="158"/>
  <c r="E11" i="148"/>
  <c r="Q91" i="149"/>
  <c r="P12" i="149"/>
  <c r="O24" i="165"/>
  <c r="O26" i="165" s="1"/>
  <c r="M58" i="149"/>
  <c r="B32" i="143"/>
  <c r="I45" i="150"/>
  <c r="I50" i="150"/>
  <c r="U45" i="150"/>
  <c r="U51" i="150" s="1"/>
  <c r="H8" i="143"/>
  <c r="J9" i="163"/>
  <c r="G34" i="163"/>
  <c r="P45" i="150"/>
  <c r="D51" i="150"/>
  <c r="K12" i="163"/>
  <c r="J12" i="163"/>
  <c r="D20" i="148"/>
  <c r="E21" i="148"/>
  <c r="K10" i="163"/>
  <c r="J10" i="163"/>
  <c r="K11" i="163"/>
  <c r="J11" i="163"/>
  <c r="O43" i="149"/>
  <c r="C9" i="148" s="1"/>
  <c r="M43" i="149"/>
  <c r="Q43" i="149" s="1"/>
  <c r="O93" i="149"/>
  <c r="Q93" i="149" s="1"/>
  <c r="J74" i="149"/>
  <c r="E10" i="148"/>
  <c r="B11" i="148"/>
  <c r="Q76" i="149"/>
  <c r="E5" i="151"/>
  <c r="G9" i="151"/>
  <c r="I9" i="151" s="1"/>
  <c r="K9" i="151" s="1"/>
  <c r="G46" i="151"/>
  <c r="I46" i="151" s="1"/>
  <c r="K46" i="151" s="1"/>
  <c r="E42" i="151"/>
  <c r="G42" i="151" s="1"/>
  <c r="C9" i="163"/>
  <c r="K107" i="152"/>
  <c r="C9" i="153" s="1"/>
  <c r="K74" i="152"/>
  <c r="C11" i="153" s="1"/>
  <c r="G11" i="153" s="1"/>
  <c r="K11" i="153" s="1"/>
  <c r="AB11" i="153" s="1"/>
  <c r="F9" i="153"/>
  <c r="J9" i="153" s="1"/>
  <c r="AA9" i="153" s="1"/>
  <c r="S45" i="150"/>
  <c r="S51" i="150" s="1"/>
  <c r="F13" i="153"/>
  <c r="J13" i="153" s="1"/>
  <c r="AA13" i="153" s="1"/>
  <c r="G56" i="158"/>
  <c r="Q50" i="150"/>
  <c r="E45" i="150"/>
  <c r="B12" i="153"/>
  <c r="F11" i="153"/>
  <c r="G39" i="158"/>
  <c r="G46" i="158" s="1"/>
  <c r="E212" i="157"/>
  <c r="B26" i="148"/>
  <c r="B25" i="148" s="1"/>
  <c r="B33" i="148" s="1"/>
  <c r="B38" i="148" s="1"/>
  <c r="B39" i="158"/>
  <c r="B52" i="158" s="1"/>
  <c r="O75" i="149"/>
  <c r="B8" i="158"/>
  <c r="B8" i="148"/>
  <c r="I92" i="149"/>
  <c r="N51" i="150"/>
  <c r="O91" i="149"/>
  <c r="Q30" i="149"/>
  <c r="G51" i="158"/>
  <c r="G25" i="158"/>
  <c r="B9" i="158"/>
  <c r="O30" i="149"/>
  <c r="C8" i="148" s="1"/>
  <c r="H39" i="158" l="1"/>
  <c r="J39" i="158" s="1"/>
  <c r="J31" i="158"/>
  <c r="L10" i="153"/>
  <c r="C12" i="153"/>
  <c r="C14" i="153" s="1"/>
  <c r="G9" i="153"/>
  <c r="E10" i="153"/>
  <c r="M74" i="152"/>
  <c r="D11" i="153" s="1"/>
  <c r="M107" i="152"/>
  <c r="D9" i="153" s="1"/>
  <c r="E9" i="153" s="1"/>
  <c r="E30" i="158"/>
  <c r="M74" i="149"/>
  <c r="E12" i="149"/>
  <c r="Q12" i="149" s="1"/>
  <c r="E10" i="149"/>
  <c r="Q10" i="149" s="1"/>
  <c r="T45" i="150"/>
  <c r="T51" i="150" s="1"/>
  <c r="V51" i="150" s="1"/>
  <c r="G13" i="153"/>
  <c r="J92" i="149"/>
  <c r="B15" i="148"/>
  <c r="B17" i="148" s="1"/>
  <c r="H46" i="158"/>
  <c r="J46" i="158" s="1"/>
  <c r="H40" i="158"/>
  <c r="J40" i="158" s="1"/>
  <c r="H10" i="158"/>
  <c r="J10" i="158" s="1"/>
  <c r="H9" i="158"/>
  <c r="C9" i="158"/>
  <c r="E9" i="158" s="1"/>
  <c r="E8" i="148"/>
  <c r="C8" i="158"/>
  <c r="E8" i="158" s="1"/>
  <c r="E9" i="148"/>
  <c r="I10" i="153"/>
  <c r="E39" i="158"/>
  <c r="E56" i="158"/>
  <c r="E19" i="158"/>
  <c r="I42" i="151"/>
  <c r="K42" i="151" s="1"/>
  <c r="D11" i="149" s="1"/>
  <c r="M45" i="150"/>
  <c r="M51" i="150"/>
  <c r="AC10" i="153"/>
  <c r="H13" i="153"/>
  <c r="L13" i="153" s="1"/>
  <c r="E13" i="153"/>
  <c r="P51" i="150"/>
  <c r="E20" i="148"/>
  <c r="AE13" i="153"/>
  <c r="AJ13" i="153" s="1"/>
  <c r="F18" i="143"/>
  <c r="V50" i="150"/>
  <c r="E27" i="148"/>
  <c r="D25" i="148"/>
  <c r="D17" i="148"/>
  <c r="E17" i="148" s="1"/>
  <c r="E15" i="148"/>
  <c r="Q75" i="149"/>
  <c r="E4" i="151"/>
  <c r="E89" i="151" s="1"/>
  <c r="G89" i="151" s="1"/>
  <c r="I89" i="151" s="1"/>
  <c r="K89" i="151" s="1"/>
  <c r="G5" i="151"/>
  <c r="I5" i="151" s="1"/>
  <c r="K5" i="151" s="1"/>
  <c r="B11" i="149"/>
  <c r="N11" i="149" s="1"/>
  <c r="C19" i="163"/>
  <c r="C21" i="163" s="1"/>
  <c r="F12" i="153"/>
  <c r="F14" i="153" s="1"/>
  <c r="F15" i="153" s="1"/>
  <c r="F16" i="153" s="1"/>
  <c r="G52" i="158"/>
  <c r="G53" i="158" s="1"/>
  <c r="O49" i="165"/>
  <c r="G55" i="158"/>
  <c r="Q12" i="153"/>
  <c r="Q14" i="153" s="1"/>
  <c r="M10" i="153"/>
  <c r="I51" i="150"/>
  <c r="M92" i="149"/>
  <c r="E51" i="150"/>
  <c r="Q45" i="150"/>
  <c r="B14" i="153"/>
  <c r="J11" i="153"/>
  <c r="AA11" i="153" s="1"/>
  <c r="AA12" i="153" s="1"/>
  <c r="AA14" i="153" s="1"/>
  <c r="G40" i="158"/>
  <c r="B46" i="158"/>
  <c r="H52" i="158" l="1"/>
  <c r="H17" i="158"/>
  <c r="H25" i="158" s="1"/>
  <c r="D12" i="153"/>
  <c r="H11" i="153"/>
  <c r="I11" i="153" s="1"/>
  <c r="K9" i="153"/>
  <c r="AB9" i="153" s="1"/>
  <c r="AB12" i="153" s="1"/>
  <c r="G12" i="153"/>
  <c r="K12" i="153" s="1"/>
  <c r="E11" i="153"/>
  <c r="E12" i="153" s="1"/>
  <c r="E14" i="153" s="1"/>
  <c r="H9" i="153"/>
  <c r="L9" i="153" s="1"/>
  <c r="AC9" i="153" s="1"/>
  <c r="P11" i="149"/>
  <c r="C11" i="149"/>
  <c r="O11" i="149" s="1"/>
  <c r="K13" i="153"/>
  <c r="V45" i="150"/>
  <c r="H51" i="158"/>
  <c r="J9" i="158"/>
  <c r="E55" i="158"/>
  <c r="E46" i="158"/>
  <c r="E52" i="158"/>
  <c r="O52" i="165"/>
  <c r="O50" i="165"/>
  <c r="AC13" i="153"/>
  <c r="I13" i="153"/>
  <c r="B9" i="163"/>
  <c r="B19" i="163" s="1"/>
  <c r="B21" i="163" s="1"/>
  <c r="D14" i="153"/>
  <c r="E26" i="148"/>
  <c r="G61" i="158"/>
  <c r="D33" i="148"/>
  <c r="G4" i="151"/>
  <c r="B9" i="149"/>
  <c r="C94" i="163"/>
  <c r="C95" i="163" s="1"/>
  <c r="C34" i="163"/>
  <c r="J12" i="153"/>
  <c r="J14" i="153" s="1"/>
  <c r="J16" i="153" s="1"/>
  <c r="AD10" i="153"/>
  <c r="Q51" i="150"/>
  <c r="J52" i="158"/>
  <c r="H53" i="158" l="1"/>
  <c r="H61" i="158" s="1"/>
  <c r="J51" i="158"/>
  <c r="G14" i="153"/>
  <c r="G15" i="153" s="1"/>
  <c r="L11" i="153"/>
  <c r="AC11" i="153" s="1"/>
  <c r="AC12" i="153" s="1"/>
  <c r="AC14" i="153" s="1"/>
  <c r="H12" i="153"/>
  <c r="L12" i="153" s="1"/>
  <c r="L14" i="153" s="1"/>
  <c r="L16" i="153" s="1"/>
  <c r="I9" i="153"/>
  <c r="I12" i="153" s="1"/>
  <c r="I14" i="153" s="1"/>
  <c r="E11" i="149"/>
  <c r="Q11" i="149" s="1"/>
  <c r="K14" i="153"/>
  <c r="K16" i="153" s="1"/>
  <c r="AB13" i="153"/>
  <c r="AB14" i="153" s="1"/>
  <c r="M13" i="153"/>
  <c r="AD13" i="153" s="1"/>
  <c r="H14" i="153"/>
  <c r="H15" i="153" s="1"/>
  <c r="M9" i="153"/>
  <c r="AD9" i="153" s="1"/>
  <c r="AE9" i="153"/>
  <c r="AJ9" i="153" s="1"/>
  <c r="B34" i="163"/>
  <c r="B94" i="163"/>
  <c r="B95" i="163" s="1"/>
  <c r="J17" i="158"/>
  <c r="E25" i="148"/>
  <c r="E33" i="148"/>
  <c r="D38" i="148"/>
  <c r="N9" i="149"/>
  <c r="N8" i="149" s="1"/>
  <c r="N7" i="149" s="1"/>
  <c r="B8" i="149"/>
  <c r="B7" i="149" s="1"/>
  <c r="B74" i="149" s="1"/>
  <c r="B92" i="149" s="1"/>
  <c r="I4" i="151"/>
  <c r="K4" i="151" s="1"/>
  <c r="D9" i="149" s="1"/>
  <c r="J25" i="158"/>
  <c r="M11" i="153" l="1"/>
  <c r="AD11" i="153" s="1"/>
  <c r="I15" i="153"/>
  <c r="I16" i="153" s="1"/>
  <c r="P9" i="149"/>
  <c r="P8" i="149" s="1"/>
  <c r="P7" i="149" s="1"/>
  <c r="C9" i="149"/>
  <c r="C8" i="149" s="1"/>
  <c r="C7" i="149" s="1"/>
  <c r="C74" i="149" s="1"/>
  <c r="C92" i="149" s="1"/>
  <c r="J53" i="158"/>
  <c r="E38" i="148"/>
  <c r="P52" i="165"/>
  <c r="AD12" i="153"/>
  <c r="AD14" i="153" s="1"/>
  <c r="AE12" i="153"/>
  <c r="AJ12" i="153" s="1"/>
  <c r="J61" i="158"/>
  <c r="M12" i="153"/>
  <c r="M14" i="153" s="1"/>
  <c r="M16" i="153" s="1"/>
  <c r="B7" i="158"/>
  <c r="B17" i="158" s="1"/>
  <c r="B6" i="148"/>
  <c r="B13" i="148" s="1"/>
  <c r="B18" i="148" s="1"/>
  <c r="N74" i="149"/>
  <c r="N15" i="153"/>
  <c r="N92" i="149"/>
  <c r="D34" i="143"/>
  <c r="C10" i="143" s="1"/>
  <c r="H39" i="143"/>
  <c r="H44" i="143"/>
  <c r="H43" i="143"/>
  <c r="H37" i="143"/>
  <c r="H13" i="143"/>
  <c r="C42" i="143"/>
  <c r="C58" i="143" s="1"/>
  <c r="D25" i="143"/>
  <c r="C20" i="143"/>
  <c r="C57" i="143" s="1"/>
  <c r="B60" i="143"/>
  <c r="B44" i="143"/>
  <c r="B61" i="143" s="1"/>
  <c r="F42" i="143"/>
  <c r="F58" i="143" s="1"/>
  <c r="H24" i="143"/>
  <c r="H23" i="143"/>
  <c r="D23" i="143"/>
  <c r="C45" i="143" s="1"/>
  <c r="H22" i="143"/>
  <c r="F20" i="143"/>
  <c r="F57" i="143" s="1"/>
  <c r="D14" i="143"/>
  <c r="D13" i="143"/>
  <c r="D12" i="143"/>
  <c r="D8" i="149" l="1"/>
  <c r="D7" i="149" s="1"/>
  <c r="O9" i="149"/>
  <c r="O8" i="149" s="1"/>
  <c r="O7" i="149" s="1"/>
  <c r="E9" i="149"/>
  <c r="Q9" i="149" s="1"/>
  <c r="Q8" i="149" s="1"/>
  <c r="Q7" i="149" s="1"/>
  <c r="Q74" i="149" s="1"/>
  <c r="D6" i="148"/>
  <c r="D7" i="158"/>
  <c r="P74" i="149"/>
  <c r="R92" i="149" s="1"/>
  <c r="E8" i="149"/>
  <c r="AE14" i="153"/>
  <c r="AJ14" i="153" s="1"/>
  <c r="B51" i="158"/>
  <c r="B53" i="158" s="1"/>
  <c r="B18" i="158"/>
  <c r="B25" i="158"/>
  <c r="N16" i="153"/>
  <c r="F56" i="143"/>
  <c r="C22" i="143"/>
  <c r="C60" i="143" s="1"/>
  <c r="H21" i="143"/>
  <c r="G42" i="143"/>
  <c r="G58" i="143" s="1"/>
  <c r="I58" i="143" s="1"/>
  <c r="H36" i="143"/>
  <c r="H38" i="143"/>
  <c r="B42" i="143"/>
  <c r="B58" i="143" s="1"/>
  <c r="H14" i="143"/>
  <c r="H42" i="143"/>
  <c r="H58" i="143" s="1"/>
  <c r="H35" i="143"/>
  <c r="H16" i="143"/>
  <c r="D11" i="143"/>
  <c r="C56" i="143"/>
  <c r="B59" i="143"/>
  <c r="C7" i="158" l="1"/>
  <c r="C17" i="158" s="1"/>
  <c r="C51" i="158" s="1"/>
  <c r="C53" i="158" s="1"/>
  <c r="C6" i="148"/>
  <c r="C13" i="148" s="1"/>
  <c r="C18" i="148" s="1"/>
  <c r="C25" i="158"/>
  <c r="O74" i="149"/>
  <c r="C18" i="158"/>
  <c r="D17" i="158"/>
  <c r="C8" i="143"/>
  <c r="D8" i="143" s="1"/>
  <c r="O8" i="165"/>
  <c r="O20" i="165" s="1"/>
  <c r="O27" i="165" s="1"/>
  <c r="O32" i="165" s="1"/>
  <c r="E7" i="149"/>
  <c r="D74" i="149"/>
  <c r="D13" i="148"/>
  <c r="B61" i="158"/>
  <c r="G62" i="158" s="1"/>
  <c r="G54" i="158"/>
  <c r="G20" i="143"/>
  <c r="H20" i="143" s="1"/>
  <c r="H57" i="143" s="1"/>
  <c r="H56" i="143" s="1"/>
  <c r="D22" i="143"/>
  <c r="D60" i="143" s="1"/>
  <c r="D31" i="143"/>
  <c r="D43" i="143"/>
  <c r="D42" i="143" s="1"/>
  <c r="D58" i="143" s="1"/>
  <c r="H31" i="143"/>
  <c r="D33" i="143"/>
  <c r="C40" i="143"/>
  <c r="C53" i="143" s="1"/>
  <c r="H33" i="143"/>
  <c r="H9" i="143"/>
  <c r="C44" i="143"/>
  <c r="D45" i="143"/>
  <c r="D44" i="143" s="1"/>
  <c r="D61" i="143" s="1"/>
  <c r="H15" i="143"/>
  <c r="B40" i="143"/>
  <c r="D32" i="143"/>
  <c r="H32" i="143"/>
  <c r="F40" i="143"/>
  <c r="H54" i="158" l="1"/>
  <c r="C61" i="158"/>
  <c r="E7" i="158"/>
  <c r="E6" i="148"/>
  <c r="E74" i="149"/>
  <c r="D92" i="149"/>
  <c r="R74" i="149"/>
  <c r="D51" i="158"/>
  <c r="D53" i="158" s="1"/>
  <c r="D25" i="158"/>
  <c r="E25" i="158" s="1"/>
  <c r="D18" i="158"/>
  <c r="E17" i="158"/>
  <c r="O15" i="153"/>
  <c r="E13" i="148"/>
  <c r="D18" i="148"/>
  <c r="P32" i="165" s="1"/>
  <c r="G57" i="143"/>
  <c r="D59" i="143"/>
  <c r="G40" i="143"/>
  <c r="G47" i="143" s="1"/>
  <c r="H17" i="143"/>
  <c r="I18" i="163" s="1"/>
  <c r="D40" i="143"/>
  <c r="D53" i="143" s="1"/>
  <c r="D10" i="143"/>
  <c r="D9" i="143"/>
  <c r="H10" i="143"/>
  <c r="D21" i="143"/>
  <c r="B20" i="143"/>
  <c r="C61" i="143"/>
  <c r="C59" i="143" s="1"/>
  <c r="C47" i="143"/>
  <c r="H40" i="143"/>
  <c r="H47" i="143" s="1"/>
  <c r="F53" i="143"/>
  <c r="F47" i="143"/>
  <c r="H11" i="143"/>
  <c r="B53" i="143"/>
  <c r="F41" i="143"/>
  <c r="B47" i="143"/>
  <c r="E51" i="158" l="1"/>
  <c r="O16" i="153"/>
  <c r="D61" i="158"/>
  <c r="I62" i="158" s="1"/>
  <c r="I54" i="158"/>
  <c r="J54" i="158" s="1"/>
  <c r="P15" i="153"/>
  <c r="P16" i="153" s="1"/>
  <c r="E92" i="149"/>
  <c r="Q92" i="149" s="1"/>
  <c r="P92" i="149"/>
  <c r="E18" i="158"/>
  <c r="E18" i="148"/>
  <c r="G38" i="148" s="1"/>
  <c r="I19" i="163"/>
  <c r="J18" i="163"/>
  <c r="J19" i="163" s="1"/>
  <c r="J21" i="163" s="1"/>
  <c r="K18" i="163"/>
  <c r="H18" i="143"/>
  <c r="H52" i="143" s="1"/>
  <c r="E53" i="158"/>
  <c r="O92" i="149"/>
  <c r="G56" i="143"/>
  <c r="I56" i="143" s="1"/>
  <c r="I57" i="143"/>
  <c r="G53" i="143"/>
  <c r="I53" i="143" s="1"/>
  <c r="D47" i="143"/>
  <c r="I40" i="143"/>
  <c r="G41" i="143"/>
  <c r="G18" i="143"/>
  <c r="G26" i="143" s="1"/>
  <c r="B57" i="143"/>
  <c r="B56" i="143" s="1"/>
  <c r="D20" i="143"/>
  <c r="D57" i="143" s="1"/>
  <c r="D56" i="143" s="1"/>
  <c r="H41" i="143"/>
  <c r="H53" i="143"/>
  <c r="C18" i="143"/>
  <c r="Q15" i="153" l="1"/>
  <c r="Q16" i="153" s="1"/>
  <c r="K19" i="163"/>
  <c r="I21" i="163"/>
  <c r="J34" i="163"/>
  <c r="K94" i="163"/>
  <c r="E61" i="158"/>
  <c r="I18" i="143"/>
  <c r="H26" i="143"/>
  <c r="F26" i="143"/>
  <c r="G52" i="143"/>
  <c r="H54" i="143"/>
  <c r="F52" i="143"/>
  <c r="F54" i="143" s="1"/>
  <c r="F62" i="143" s="1"/>
  <c r="C52" i="143"/>
  <c r="C54" i="143" s="1"/>
  <c r="C19" i="143"/>
  <c r="C26" i="143"/>
  <c r="B18" i="143"/>
  <c r="D18" i="143"/>
  <c r="I34" i="163" l="1"/>
  <c r="I94" i="163"/>
  <c r="J94" i="163" s="1"/>
  <c r="H62" i="158"/>
  <c r="G54" i="143"/>
  <c r="G55" i="143" s="1"/>
  <c r="I52" i="143"/>
  <c r="H62" i="143"/>
  <c r="H64" i="143" s="1"/>
  <c r="C62" i="143"/>
  <c r="D52" i="143"/>
  <c r="D54" i="143" s="1"/>
  <c r="H55" i="143" s="1"/>
  <c r="D19" i="143"/>
  <c r="D26" i="143"/>
  <c r="B26" i="143"/>
  <c r="B19" i="143"/>
  <c r="B52" i="143"/>
  <c r="B54" i="143" s="1"/>
  <c r="K62" i="158" l="1"/>
  <c r="J62" i="158"/>
  <c r="G62" i="143"/>
  <c r="H63" i="143" s="1"/>
  <c r="I54" i="143"/>
  <c r="F55" i="143"/>
  <c r="I55" i="143" s="1"/>
  <c r="B62" i="143"/>
  <c r="D64" i="143" s="1"/>
  <c r="D62" i="143"/>
  <c r="C63" i="143" l="1"/>
  <c r="D63" i="143"/>
  <c r="D66" i="143"/>
  <c r="B63" i="143"/>
  <c r="G120" i="152" l="1"/>
  <c r="G134" i="152" l="1"/>
  <c r="I120" i="152"/>
  <c r="K120" i="152" s="1"/>
  <c r="M120" i="152" s="1"/>
  <c r="I134" i="152" l="1"/>
  <c r="K134" i="152" s="1"/>
  <c r="G136" i="152"/>
  <c r="K136" i="152" l="1"/>
  <c r="M134" i="152"/>
  <c r="C18" i="153"/>
  <c r="B18" i="153"/>
  <c r="B15" i="153" s="1"/>
  <c r="I136" i="152"/>
  <c r="C15" i="153" l="1"/>
  <c r="AB15" i="153" s="1"/>
  <c r="AB16" i="153" s="1"/>
  <c r="B16" i="153"/>
  <c r="AA15" i="153"/>
  <c r="AA16" i="153" s="1"/>
  <c r="C16" i="153" l="1"/>
  <c r="M31" i="152" l="1"/>
  <c r="L32" i="152"/>
  <c r="L136" i="152" l="1"/>
  <c r="E18" i="153" s="1"/>
  <c r="E15" i="153" s="1"/>
  <c r="E16" i="153" s="1"/>
  <c r="Q17" i="152"/>
  <c r="M32" i="152"/>
  <c r="M136" i="152" s="1"/>
  <c r="D18" i="153" s="1"/>
  <c r="D15" i="153" s="1"/>
  <c r="AD15" i="153"/>
  <c r="AD16" i="153" s="1"/>
  <c r="D16" i="153" l="1"/>
  <c r="D9" i="163"/>
  <c r="D19" i="163" s="1"/>
  <c r="D21" i="163" s="1"/>
  <c r="AC15" i="153"/>
  <c r="AC16" i="153" s="1"/>
  <c r="E9" i="163" l="1"/>
  <c r="E19" i="163" s="1"/>
  <c r="E21" i="163" s="1"/>
  <c r="E94" i="163" s="1"/>
  <c r="E95" i="163" s="1"/>
  <c r="D34" i="163"/>
  <c r="D94" i="163"/>
  <c r="D95" i="163" s="1"/>
  <c r="E34" i="163" l="1"/>
</calcChain>
</file>

<file path=xl/sharedStrings.xml><?xml version="1.0" encoding="utf-8"?>
<sst xmlns="http://schemas.openxmlformats.org/spreadsheetml/2006/main" count="2336" uniqueCount="1084">
  <si>
    <t>Füred Dixiland Band támogatása</t>
  </si>
  <si>
    <t>4. Működési bevételek áfa visszatérülés (felhalm.)</t>
  </si>
  <si>
    <t xml:space="preserve"> - Balatonfüred Kézilabda Sportjáért Közhasznú Alapítvány </t>
  </si>
  <si>
    <t>Zákonyi u. mélygarázs fenntartási ktg.</t>
  </si>
  <si>
    <t>Balatonfüred Kézilabda Sportjáért Közhasznú Alapítvány</t>
  </si>
  <si>
    <t>Balatonfüred Város Sportjáért Közhasznú Alapítvány</t>
  </si>
  <si>
    <t>EFOP-1.5.2-16-2017-00016 Humán közszolgáltatások fejlesztése az Észak-Balatoni térségben</t>
  </si>
  <si>
    <t>TOP-3.2.2-15-VE1-2016-00002 Biomassza alapú ORC erőmű Balatonfüred</t>
  </si>
  <si>
    <t>EFOP-4.1.8-16-2017-00140 A könyvtárral a tudásért - megújult épületben, korszerű technikával Balatonfüreden</t>
  </si>
  <si>
    <t>TOP-2.1.3-16-VE1-2017-00008 Balatonfüred csapadékcsatorna hálózatának fejlesztése</t>
  </si>
  <si>
    <t>GINOP-7.1.9-17-2017-0001 Gyógyhelyfejlesztés Balatonfüred Városában</t>
  </si>
  <si>
    <t>GINOP-7.1.6.16-2017-00004 Balaton-felvidéki Kultúrtáj Világörökség várományos helyszín turisztikai célú fejlesztése</t>
  </si>
  <si>
    <t xml:space="preserve">     TOP-3.2.2-15-VE1-2016-00002 Biomassza alapú ORC erőmű Balatonfüred</t>
  </si>
  <si>
    <t xml:space="preserve">      EFOP-1.5.2-16-2017-00016 Humán közszolgáltatások fejlesztése az Észak-Balatoni térségben</t>
  </si>
  <si>
    <t xml:space="preserve">     EFOP-4.1.8-16-2017-00140 A könyvtárral a tudásért - megújult épületben, korszerű technikával Balatonfüreden</t>
  </si>
  <si>
    <t xml:space="preserve">     TOP-2.1.3-16-VE1-2017-00008 Balatonfüred csapadékcsatorna hálózatának fejlesztése</t>
  </si>
  <si>
    <t xml:space="preserve">    GINOP-7.1.9-17-2017-0001 Gyógyhelyfejlesztés Balatonfüred Városában</t>
  </si>
  <si>
    <t xml:space="preserve">    GINOP-7.1.6.16-2017-00004 Balaton-felvidéki Kultúrtáj Világörökség várományos helyszín turisztikai célú fejlesztése</t>
  </si>
  <si>
    <t xml:space="preserve">    TOP-3.2.1-16-VE2-2017-00001 Fenntartható Energia és Klíma Akcióterv (SECAP) kidolgozása Veszprém megyében</t>
  </si>
  <si>
    <t xml:space="preserve">Horgász Klubház </t>
  </si>
  <si>
    <t xml:space="preserve"> -Balatonfüred-Dörgicse Evangélikus Egyházközség fejlesztési támogatás</t>
  </si>
  <si>
    <t xml:space="preserve">     Vizilabda fejlesztés önrész</t>
  </si>
  <si>
    <t xml:space="preserve"> - Anna Grand Hotel fejlesztési támogatás</t>
  </si>
  <si>
    <t>4. Pénzforgalom nélküli kiadások (tartalék)</t>
  </si>
  <si>
    <t>Költségvetési hiány / többlet:</t>
  </si>
  <si>
    <t>Intézmény</t>
  </si>
  <si>
    <t>Bútor</t>
  </si>
  <si>
    <t>Informatikai eszközök</t>
  </si>
  <si>
    <t>egyéb kisértékű eszközök</t>
  </si>
  <si>
    <t>informatikai eszközök</t>
  </si>
  <si>
    <t>Orvosi műszerek</t>
  </si>
  <si>
    <t>ÖSSZESEN:</t>
  </si>
  <si>
    <t>71-es út forgalmi rend felülvizsgálat</t>
  </si>
  <si>
    <t>Utcai zöldterületek fejlesztése</t>
  </si>
  <si>
    <t>Stabilizált gyöngykavics burkolatok készítése</t>
  </si>
  <si>
    <t>Gyermeklétszám (8 hó)</t>
  </si>
  <si>
    <t>Gyermeklétszám (4 hó)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</si>
  <si>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</si>
  <si>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</si>
  <si>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</si>
  <si>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</si>
  <si>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</si>
  <si>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</si>
  <si>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</si>
  <si>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</si>
  <si>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</si>
  <si>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1. Hitel, kölcsön felvétele áh-n kívülről</t>
  </si>
  <si>
    <t>1.1. Hosszú lejáratú hitelek, kölcsönök felvétele</t>
  </si>
  <si>
    <t>1.2. Likviditási célú hitelek, kölcsönök felvétele pénzügyi vállalkozástól</t>
  </si>
  <si>
    <t>1.3. Rövid lejáratú hitelek, kölcsönök felvétele</t>
  </si>
  <si>
    <t>2. Belföldi értékpapírok bevételei</t>
  </si>
  <si>
    <t xml:space="preserve">  2.2. Forgatási célú értékpapírok kibocsátása</t>
  </si>
  <si>
    <t xml:space="preserve"> 2.3. Befektetési célú belföldi értékpapírok beváltása, értékesítése</t>
  </si>
  <si>
    <t xml:space="preserve"> 2.4. Befektetési célú belföldi értékpapírok kibocsátása</t>
  </si>
  <si>
    <t>Finanszírozási bevételek összesen:</t>
  </si>
  <si>
    <t>Összes bevétel:</t>
  </si>
  <si>
    <t xml:space="preserve">  ebből közfoglalkoztatott</t>
  </si>
  <si>
    <t>KÖLTSÉGVETÉSI SZERVEK ÖSSZESEN</t>
  </si>
  <si>
    <t>I. Működési célú támogatások államházatartáson belülről</t>
  </si>
  <si>
    <t>II. Közhatalmi bevételek</t>
  </si>
  <si>
    <t>3. Irányító szervi támogatások</t>
  </si>
  <si>
    <t>Létszámadatok intézményenként</t>
  </si>
  <si>
    <t>technikai állomány (fő)</t>
  </si>
  <si>
    <t>szakmai állomány (fő)</t>
  </si>
  <si>
    <t>közfoglalkoztatott (fő)</t>
  </si>
  <si>
    <t>Összesen (fő):</t>
  </si>
  <si>
    <t>Önkormányzat engedélyezett létszám</t>
  </si>
  <si>
    <t>Önkormányzat közfoglalkoztatott (fő)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</si>
  <si>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</si>
  <si>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</si>
  <si>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</si>
  <si>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</si>
  <si>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</si>
  <si>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</si>
  <si>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</si>
  <si>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</si>
  <si>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</si>
  <si>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</si>
  <si>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</si>
  <si>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</si>
  <si>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Családi iroda</t>
  </si>
  <si>
    <t xml:space="preserve">     Közösségi Ház</t>
  </si>
  <si>
    <t xml:space="preserve">     Befizetendő áfa</t>
  </si>
  <si>
    <t xml:space="preserve">     szociális étkeztetés</t>
  </si>
  <si>
    <t xml:space="preserve">  Fogyatékos és demens személyek nappali intézményi ellátása</t>
  </si>
  <si>
    <t xml:space="preserve">     fogyatékos személyek nappali intézményi ellátása</t>
  </si>
  <si>
    <t xml:space="preserve">     foglalkoztatási támog-ban részesülő fogyatékos nappali intézményben ellátottak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</si>
  <si>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</si>
  <si>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</si>
  <si>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</si>
  <si>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Óvodapedagógusok elismert létszáma (8 hó)</t>
  </si>
  <si>
    <t>Óvodapedagógusok munkáját kvetlenül segítők (8 hó)</t>
  </si>
  <si>
    <t>Óvodapedagógusok elismert létszáma (4 hó)</t>
  </si>
  <si>
    <t>Óvodapedagógusok munkáját kvetlenül segítők (4 hó)</t>
  </si>
  <si>
    <t>Kulturális feladatok támogatása</t>
  </si>
  <si>
    <t>Nyilvános könyvtári és közművelődési feladatok támogatása</t>
  </si>
  <si>
    <t>Üdülőhelyi feladatok támogatása</t>
  </si>
  <si>
    <t>Lakott külterületekkel kapcsolatos feladatok támogatása</t>
  </si>
  <si>
    <t>Összesen</t>
  </si>
  <si>
    <t>Mell.</t>
  </si>
  <si>
    <t>Sorszám</t>
  </si>
  <si>
    <t>Megnevezés</t>
  </si>
  <si>
    <t>II.1.</t>
  </si>
  <si>
    <t>II.2.</t>
  </si>
  <si>
    <t>Óvodaműködtetési támogatás (8 hó)</t>
  </si>
  <si>
    <t>Óvodaműködtetési támogatás (4 hó)</t>
  </si>
  <si>
    <t>Gyermekétkeztetés támogatása (bértámogatás)</t>
  </si>
  <si>
    <t>Gyermekétkeztetés üzemeltetési  támogatása</t>
  </si>
  <si>
    <t>Iskolai étkeztetés támogatása (bértámogatás)</t>
  </si>
  <si>
    <t>III.3.</t>
  </si>
  <si>
    <t>Egyes szociális és gyermekjóléti feladatok támog.</t>
  </si>
  <si>
    <t>III.3. c.</t>
  </si>
  <si>
    <t>III.3. f.</t>
  </si>
  <si>
    <t>III.3. g.</t>
  </si>
  <si>
    <t>Önkormányzati hivatal működtetésének támogatás</t>
  </si>
  <si>
    <t>IV. 1.d.</t>
  </si>
  <si>
    <t>Nyilvános könyvtári feladatok támogatása</t>
  </si>
  <si>
    <t>Település üz-hez kapcsolódó feladatellát.támog.</t>
  </si>
  <si>
    <t>Önkormányzat feladatok összesen:</t>
  </si>
  <si>
    <t>Támogatások összesen</t>
  </si>
  <si>
    <t>ÖNKORMÁNYZATI TÁMOGATÁS</t>
  </si>
  <si>
    <t>IRÁNYÍTÓ SZERVTŐL KAPOTT TÁMOGATÁS</t>
  </si>
  <si>
    <t>SAJÁT BEVÉTEL</t>
  </si>
  <si>
    <t>MARADVÁNY IGÉNYBEVÉTEL</t>
  </si>
  <si>
    <t>FINANSZÍROZÁSI CÉLÚ BEVÉTELEK</t>
  </si>
  <si>
    <t>BEVÉTELEK ÖSSZESEN</t>
  </si>
  <si>
    <t>Költségvetési szervek összesen:</t>
  </si>
  <si>
    <t>Intézmények összesen:</t>
  </si>
  <si>
    <t>Mindösszesen:</t>
  </si>
  <si>
    <t>SZEMÉLYI JUTTATÁS</t>
  </si>
  <si>
    <t>MUNKAADÓKAT TERH. JÁRULÉKOK ÉS SZOCIÁLIS HOZZÁJÁRULÁSI ADÓ</t>
  </si>
  <si>
    <t>DOLOGI KIADÁSOK</t>
  </si>
  <si>
    <t xml:space="preserve">ELLÁTOTTAK  PÉNZBELI JUTTATÁSAI </t>
  </si>
  <si>
    <t>EGYÉB MŰKÖDÉSI CÉLÚ KIADÁSOK</t>
  </si>
  <si>
    <t xml:space="preserve"> BERUHÁZÁSOK</t>
  </si>
  <si>
    <t>FELÚJÍTÁSOK</t>
  </si>
  <si>
    <t>EGYÉB FELHALMOZÁSI KIADÁSOK</t>
  </si>
  <si>
    <t>FINANSZÍROZÁSI KIADÁSOK</t>
  </si>
  <si>
    <t>ÖSSZESEN</t>
  </si>
  <si>
    <t>Összesen:</t>
  </si>
  <si>
    <t>1. Személyi juttatás</t>
  </si>
  <si>
    <t>2. Munkaadót terhelő járulékok</t>
  </si>
  <si>
    <t>3. Dologi kiadások</t>
  </si>
  <si>
    <t xml:space="preserve">          Igazgatás dologi Balatonfüred</t>
  </si>
  <si>
    <t xml:space="preserve">          Telephelyek dologi</t>
  </si>
  <si>
    <t>4.1.  Ellátottak pénzbeli juttatásai Balatonfüred</t>
  </si>
  <si>
    <t xml:space="preserve">   Rendszeres gyermekvédelmi támogatás</t>
  </si>
  <si>
    <t>4.2. Ellátottak pénzbeli juttatásai  telephelyek</t>
  </si>
  <si>
    <t>5. Egyéb működési célú kiadások</t>
  </si>
  <si>
    <t>6. Saját hatáskörű fejlesztések</t>
  </si>
  <si>
    <t>1. Személyi juttatások</t>
  </si>
  <si>
    <t xml:space="preserve">  Képviselő-testület személyi juttatásai</t>
  </si>
  <si>
    <t xml:space="preserve">  Városi Kitüntetések</t>
  </si>
  <si>
    <t xml:space="preserve">  Megbízási díjak</t>
  </si>
  <si>
    <t xml:space="preserve">  Ösztöndíjak</t>
  </si>
  <si>
    <t>2. Munkaadót terhelő járulékok és szociális hozzájárulási adó</t>
  </si>
  <si>
    <t>Építés és településfejlesztés</t>
  </si>
  <si>
    <t>Városüzemeltetés</t>
  </si>
  <si>
    <t>Idegenforgalmi feladatok</t>
  </si>
  <si>
    <t>Oktatás, nevelés</t>
  </si>
  <si>
    <t>Közművelődés</t>
  </si>
  <si>
    <t>Sport</t>
  </si>
  <si>
    <t>TV és újság</t>
  </si>
  <si>
    <t>Lakásgazdálkodás</t>
  </si>
  <si>
    <t>Vagyonhasznosítás</t>
  </si>
  <si>
    <t>ÁFA befizetés</t>
  </si>
  <si>
    <t>Munkaegészségügyi ellát</t>
  </si>
  <si>
    <t>Házi segítségnyújtás</t>
  </si>
  <si>
    <t>Fejlesztési célú hitel kamata</t>
  </si>
  <si>
    <t>4. Ellátottak pénzbeli juttatásai</t>
  </si>
  <si>
    <t>Rendkívüli gyermekvédelmi támogatás</t>
  </si>
  <si>
    <t>Átm szociális segély (kölcsön)</t>
  </si>
  <si>
    <t>Köztemetés</t>
  </si>
  <si>
    <t>1. Elvonások, befizetések</t>
  </si>
  <si>
    <t>2. Működési célú garancia- és kezességvállalásból származó kifizetés államháztartáson belülre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</si>
  <si>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</si>
  <si>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</si>
  <si>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</si>
  <si>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</si>
  <si>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</si>
  <si>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</si>
  <si>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Országos Mentőszolgálat támogatás</t>
  </si>
  <si>
    <t xml:space="preserve">Veszprém Megyei Rendőr-főkapitányság </t>
  </si>
  <si>
    <t>Balatonfüredi Többcélú Társulás BSZAK</t>
  </si>
  <si>
    <t>Renaissance Festiváls Kft. Balaton-Ifjúság-Művészet Nemzetiközi Fesztivál</t>
  </si>
  <si>
    <t>Közösségi közlekedés támogatása</t>
  </si>
  <si>
    <t>I.5.</t>
  </si>
  <si>
    <t>I.1.</t>
  </si>
  <si>
    <t>Felhalmozási célú önormányzati támogatások</t>
  </si>
  <si>
    <t>Intézményi elkülönített keret</t>
  </si>
  <si>
    <t>TOP-4.1.1.-15 VE Egészségügyi alapellátás infrastruktúrális fejlesztése pályázat előkészítés</t>
  </si>
  <si>
    <t xml:space="preserve">  - Rendelőintézet műszerbeszerzés támogatása (orvos pályázati alap)</t>
  </si>
  <si>
    <t>Közoktatási Intézményfenntartó Társulás Óvodák</t>
  </si>
  <si>
    <t>Önkéntes Tűzoltóság</t>
  </si>
  <si>
    <t>Vagyonvédelmi Alapítvány</t>
  </si>
  <si>
    <t>Váll. Fejl. Közalapítvány</t>
  </si>
  <si>
    <t>Városért Közalapítvány</t>
  </si>
  <si>
    <t>Balatonfüred Város Közalapítvány Tempevölgy</t>
  </si>
  <si>
    <t>Kovászna Testvérvárosi Egyesület</t>
  </si>
  <si>
    <t>Opatija Testvérvárosi Egyesület</t>
  </si>
  <si>
    <t>Kouvala Testvérvárosi Egyesület</t>
  </si>
  <si>
    <t>QUASIMODO Alapítvány</t>
  </si>
  <si>
    <t>Fordítóház Alapítvány</t>
  </si>
  <si>
    <t>SOS Alapítvány Vállalkozásfejlesztő Aliroda</t>
  </si>
  <si>
    <t>Balatonfüred Református Egyházközség</t>
  </si>
  <si>
    <t>Balatonfüred-Arács Református Egyházközség</t>
  </si>
  <si>
    <t>Balatonfüred-Dörgicse Evangélikus Egyházközség</t>
  </si>
  <si>
    <t>Római Katolikus Plébánia</t>
  </si>
  <si>
    <t>Civil pályázati alap</t>
  </si>
  <si>
    <t>Polgármesteri keret</t>
  </si>
  <si>
    <t>Alpolgármesteri keret</t>
  </si>
  <si>
    <t>Képviselői keret</t>
  </si>
  <si>
    <t>Érzékeny Gyermekeinkét Alapít. (liszt és szűróvizsgálat is)</t>
  </si>
  <si>
    <t>Gitár fesztivál-Balatonfüredi Nemzetközi Gitárfesztivál Alapítvány</t>
  </si>
  <si>
    <t>Művészeti együttesek nemzetközi kapcsolattartás</t>
  </si>
  <si>
    <t>Reformkori Hagyományőrzők Egyesülete</t>
  </si>
  <si>
    <t>Művészeti együttesek formaruha pályázat</t>
  </si>
  <si>
    <t>"S.O.S. és Könyvelő" Szociálisan Rászorultakat Segítő Kft</t>
  </si>
  <si>
    <t xml:space="preserve">Sportesemények támogatása: Magyar Vitorlás Szövetség Kékszalag Fesztivál </t>
  </si>
  <si>
    <t>Balatonfüred Kulturális Nonprofit Kft.</t>
  </si>
  <si>
    <t>Múzsák Egyesülete Sirály táncfesztivál</t>
  </si>
  <si>
    <t>Arácsi Népház karbantartás felújítási alap terhére</t>
  </si>
  <si>
    <t>GINOP 7.1.9-17. pályázathoz engedélyezési és kiviteli tervek</t>
  </si>
  <si>
    <t>BALATONFÜREDI KÖZÖS ÖNKORMÁNYZATI HIVATAL</t>
  </si>
  <si>
    <t>Balatonfüredi Közös Önkormányzati Hivatal</t>
  </si>
  <si>
    <t>Lipták Gábor Városi Könyvtár</t>
  </si>
  <si>
    <t>LIPTÁK GÁBOR VÁROSI KÖNYVTÁR</t>
  </si>
  <si>
    <t>I.  Balatonfüredi Közös Önkormányzati Hivatal költségvetése</t>
  </si>
  <si>
    <t xml:space="preserve">Üzletrész vásárlás részletek </t>
  </si>
  <si>
    <t>Balatonfüredi Néptánc Egyesület</t>
  </si>
  <si>
    <t>Rákóczy Szövetség</t>
  </si>
  <si>
    <t>Füred Studió Kft.</t>
  </si>
  <si>
    <t>Siloam Református Otthon támogatása</t>
  </si>
  <si>
    <t>Konferencia Központ Kft.</t>
  </si>
  <si>
    <t>Balaton Best Nonprofit Kft.</t>
  </si>
  <si>
    <t>I. Kötelezettséggel terhelt fejlesztések</t>
  </si>
  <si>
    <t xml:space="preserve"> - Orvosok pályázati alap (műszer beszerzés)</t>
  </si>
  <si>
    <t>Forgatási célú értékpapír vásárlás</t>
  </si>
  <si>
    <t xml:space="preserve"> - Lakásépítés, -vásárlás kölcsön (dolgozói + lakáshoz jutás tám.)</t>
  </si>
  <si>
    <t>Tervek, megvalósítási tanulmányok, pályázatok</t>
  </si>
  <si>
    <t>I. összesen:</t>
  </si>
  <si>
    <t>Ebből: bérleti díj</t>
  </si>
  <si>
    <t>3. Betét bevonás</t>
  </si>
  <si>
    <t>Beruházásokhoz kapcsolódó dologi kiadások</t>
  </si>
  <si>
    <t xml:space="preserve">  -Többcélú Társulás (BSZAK fejlesztési tám.)</t>
  </si>
  <si>
    <t xml:space="preserve">  - Közoktatási Társulás (óvodák fejlesztési tám.)</t>
  </si>
  <si>
    <t>Meglévő részesedések növeléséhez kapcsolódó kiadások: törzstőke emelés</t>
  </si>
  <si>
    <t>Részesedések beszerzése:</t>
  </si>
  <si>
    <t>II. összesen:</t>
  </si>
  <si>
    <t>I+II. összesen:</t>
  </si>
  <si>
    <t xml:space="preserve">    Informatikai fejlesztések (kisértékű, nagyértékű)</t>
  </si>
  <si>
    <t>Felhalmozási célú visszatérítendő támogatások, kölcsönök nyújtása áh-n kívülre</t>
  </si>
  <si>
    <t>Egyéb felhalmozási célú támogatások áh-n belülre</t>
  </si>
  <si>
    <t>Egyéb felhalmozási célú támogatások áh-n kívülre</t>
  </si>
  <si>
    <t>Ebből: bérleti díjak</t>
  </si>
  <si>
    <t xml:space="preserve">      - Köztársaság u. 19. (panelprogram 8/2009.)</t>
  </si>
  <si>
    <t xml:space="preserve">      - Köztársaság u. 17. (panelprogram 9/2009.)</t>
  </si>
  <si>
    <t xml:space="preserve">      - Köztársaság u. 15. (panelprogram 10/2009.)</t>
  </si>
  <si>
    <t xml:space="preserve">      - Köztársaság u. 11. (panelprogram 11/2009.)</t>
  </si>
  <si>
    <t xml:space="preserve">      - Köztársaság u. 1. (panelprogram 12/2009.)</t>
  </si>
  <si>
    <t>III. összesen:</t>
  </si>
  <si>
    <t>I+II+III. összesen:</t>
  </si>
  <si>
    <t>IV. Finanszírozási kiadások</t>
  </si>
  <si>
    <t>Hitel törlesztés</t>
  </si>
  <si>
    <t>IV. Finanszírozási kiadások összesen:</t>
  </si>
  <si>
    <t>V. Felújítások</t>
  </si>
  <si>
    <t>Lakásfelújítás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</si>
  <si>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</si>
  <si>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</si>
  <si>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</si>
  <si>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</si>
  <si>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</si>
  <si>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</si>
  <si>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Működési célú támogatások áh-n belülre:</t>
  </si>
  <si>
    <t>Működési célú támogatások áh-n kívülre: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</si>
  <si>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</si>
  <si>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</si>
  <si>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</si>
  <si>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</si>
  <si>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</si>
  <si>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</si>
  <si>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</si>
  <si>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</si>
  <si>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</si>
  <si>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</si>
  <si>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</si>
  <si>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</si>
  <si>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</si>
  <si>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</si>
  <si>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</si>
  <si>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</si>
  <si>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</si>
  <si>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</si>
  <si>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</si>
  <si>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</si>
  <si>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</si>
  <si>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</si>
  <si>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</si>
  <si>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</si>
  <si>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</si>
  <si>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</si>
  <si>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</si>
  <si>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</si>
  <si>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</si>
  <si>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</si>
  <si>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</si>
  <si>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</si>
  <si>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</si>
  <si>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</si>
  <si>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</si>
  <si>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</si>
  <si>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</si>
  <si>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</si>
  <si>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</si>
  <si>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</si>
  <si>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</si>
  <si>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</si>
  <si>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</si>
  <si>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</si>
  <si>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</si>
  <si>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</si>
  <si>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</si>
  <si>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</si>
  <si>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</si>
  <si>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</si>
  <si>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</si>
  <si>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</si>
  <si>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</si>
  <si>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MEGNEVEZÉS</t>
  </si>
  <si>
    <t xml:space="preserve">ÁLLAMI TÁMOGATÁS </t>
  </si>
  <si>
    <t xml:space="preserve">      2.3.3. Települési adó</t>
  </si>
  <si>
    <t>Egyéb önkormányzati feladatok támogatása</t>
  </si>
  <si>
    <t>Települési önkormányzatok szociális feladatainak egyéb támogatása</t>
  </si>
  <si>
    <t>Pénzbeli szociális ellátások kiegészítése</t>
  </si>
  <si>
    <t>demens személyek nappali int-i ellát - társulás által történő feladatellátás</t>
  </si>
  <si>
    <t>Pedagógus II. kategóriába sorolt óvodapedagógusok kieg. támog.</t>
  </si>
  <si>
    <t>Települési ápolási támogatás</t>
  </si>
  <si>
    <t>Települési gyógyszertámogatás</t>
  </si>
  <si>
    <t>Települési lakhatási támogatás</t>
  </si>
  <si>
    <t>Sportesemények támogatása: Úszó Világkupa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</si>
  <si>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</si>
  <si>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</si>
  <si>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</si>
  <si>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</si>
  <si>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6. Pénzforgalom nélküli kiadások (tartalék)</t>
  </si>
  <si>
    <t xml:space="preserve">  Megbízási díjak </t>
  </si>
  <si>
    <t xml:space="preserve">2. Elvonások, befizetések </t>
  </si>
  <si>
    <t>5. Egyéb felhalmozási célú támogatások államháztartáson belülről</t>
  </si>
  <si>
    <t>Intézményi létszámok:</t>
  </si>
  <si>
    <t>TARTALÉKOK</t>
  </si>
  <si>
    <t>Egyéb sporttámogatás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</si>
  <si>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</si>
  <si>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</si>
  <si>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</si>
  <si>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</si>
  <si>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8. Hitelek törlesztése</t>
  </si>
  <si>
    <t>ÉNYKK (Balaton Volán jogutódja)</t>
  </si>
  <si>
    <t>4. Államháztartáson belüli megelőlegezések</t>
  </si>
  <si>
    <t xml:space="preserve">  Rendezvényekhez kapcsolódó személyi</t>
  </si>
  <si>
    <t xml:space="preserve">  Rendezvényekhez kapcsolódó járulék és kifizetői adó</t>
  </si>
  <si>
    <t xml:space="preserve">EREDETI EI. </t>
  </si>
  <si>
    <t>Könyvtári érdekeltségnövelő</t>
  </si>
  <si>
    <t>Elszámolásból származó bevételek</t>
  </si>
  <si>
    <t>IV.1.i.</t>
  </si>
  <si>
    <t>Helyi Önkormányzatok kiegészítő támogatásai (működési)</t>
  </si>
  <si>
    <t>Morvai J. u. ivóvíz házlózat tervezése</t>
  </si>
  <si>
    <t xml:space="preserve"> - Füredkult. Kft. fejlesztési támogatás</t>
  </si>
  <si>
    <t>Forgatási célú értékpapír vásárlása</t>
  </si>
  <si>
    <t>10. Forgatási célú értékpapír vásárlás</t>
  </si>
  <si>
    <t>8. Állami támogatás megelőlegezés visszafizetése</t>
  </si>
  <si>
    <t>9. Betét vásárlás</t>
  </si>
  <si>
    <t>Felhalmozási célú visszatérítendő támogatások, kölcsönök nyújtása áh-n belülre</t>
  </si>
  <si>
    <t>3.3. Felhalmozási célú visszatérítendő támogatások, kölcsönök nyújtása áh-n belülre</t>
  </si>
  <si>
    <t>2.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</si>
  <si>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</si>
  <si>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</si>
  <si>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</si>
  <si>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</si>
  <si>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</si>
  <si>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</si>
  <si>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</si>
  <si>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</si>
  <si>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</si>
  <si>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</si>
  <si>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>Védett szőlők támogatása</t>
  </si>
  <si>
    <t xml:space="preserve">    -Andrew John Prest Koloska u. 8. helyi védettség alatt álló épület felújítása 311/2015.(XII.17.)</t>
  </si>
  <si>
    <t xml:space="preserve">   -Hegyi Rita Dózsa György u. 1/a helyi védettség alatt álló épület felújítása 312/2015.(XII.17.) </t>
  </si>
  <si>
    <t xml:space="preserve"> -Pósvári Gábor Arácsi út 94. helyi védett épület felújítása tám. 314/2015. (XII.17.) </t>
  </si>
  <si>
    <t>4.1. Üzemeltetési díjak</t>
  </si>
  <si>
    <t xml:space="preserve"> 1.5. Működési célú költségvetési támogatások és kiegészítő támogatások</t>
  </si>
  <si>
    <t>1. Készletértékesítés bevétele</t>
  </si>
  <si>
    <t>2. Szolgáltatások ellenértéke</t>
  </si>
  <si>
    <t>10. Biztosító által fizetett kártérítés</t>
  </si>
  <si>
    <t xml:space="preserve">11. Egyéb működési bevételek </t>
  </si>
  <si>
    <t>9. Egyéb pénzügyi műveletek bevételei</t>
  </si>
  <si>
    <t xml:space="preserve"> - tagi hitel Gótika Kft.</t>
  </si>
  <si>
    <t xml:space="preserve"> -Balatonfüredi Utánpótlás Sport Club infrastruktúrális fejlesztések</t>
  </si>
  <si>
    <t>II. Javasolt fejlesztések</t>
  </si>
  <si>
    <t>III. Egyéb felhalmozási kiadások</t>
  </si>
  <si>
    <t xml:space="preserve">    1.1. Előző év költségvetési maradványának  igénybevétele működési célra</t>
  </si>
  <si>
    <t xml:space="preserve"> 1.6. Elszámolásból származó bevételek</t>
  </si>
  <si>
    <t xml:space="preserve">4. Tulajdonosi bevételek </t>
  </si>
  <si>
    <t>1. Települési önkormányzatok működésének támogatása</t>
  </si>
  <si>
    <t>Könyvtári érdekeltségnövelő támogatás</t>
  </si>
  <si>
    <t>Hivatal működési kiadások összesen:</t>
  </si>
  <si>
    <t>Egyéb ktg. (bankktg, postai befiz. ktg., tagdíjak, késedelmi kamat, stb.)</t>
  </si>
  <si>
    <t>7. Működési célú visszatérítendő támogatások, kölcsönök nyújtása áh-n kívülre</t>
  </si>
  <si>
    <t xml:space="preserve">BURSA Hungarica ösztöndíj </t>
  </si>
  <si>
    <t xml:space="preserve"> - BYC infrastruktúrális fejlesztések</t>
  </si>
  <si>
    <t xml:space="preserve"> - Balatonfüredi Futball Club infrastruktúrális fejlesztések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</si>
  <si>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</si>
  <si>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</si>
  <si>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</si>
  <si>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</si>
  <si>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</si>
  <si>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</si>
  <si>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</si>
  <si>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</si>
  <si>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</si>
  <si>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</si>
  <si>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</si>
  <si>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</si>
  <si>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</si>
  <si>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</si>
  <si>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Önkormányzati  Hivatal</t>
  </si>
  <si>
    <t>Intézmények</t>
  </si>
  <si>
    <t>Felhalmozási kiadások</t>
  </si>
  <si>
    <t>Fejlesztési kiadások</t>
  </si>
  <si>
    <t>Intézm saját hatásk fejl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</si>
  <si>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</si>
  <si>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</si>
  <si>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</si>
  <si>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</si>
  <si>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</si>
  <si>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</si>
  <si>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</si>
  <si>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</si>
  <si>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Céltartalék:</t>
  </si>
  <si>
    <t>MÁK forgótőke</t>
  </si>
  <si>
    <t xml:space="preserve"> környezetvédelmi alap</t>
  </si>
  <si>
    <t>Polgármester saját hatáskörű keret</t>
  </si>
  <si>
    <t>Népház, posta pénzügyi alap</t>
  </si>
  <si>
    <t xml:space="preserve">Helyi védelem </t>
  </si>
  <si>
    <t xml:space="preserve">Közhasznú foglalkoztatás </t>
  </si>
  <si>
    <t>ÖNKORMÁNYZAT</t>
  </si>
  <si>
    <t xml:space="preserve">KÖLTSÉGVETÉSI SZERVEK </t>
  </si>
  <si>
    <t>ÖNKORMÁNYZAT ÖSSZESEN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</si>
  <si>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</si>
  <si>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</si>
  <si>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</si>
  <si>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</si>
  <si>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</si>
  <si>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</si>
  <si>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</si>
  <si>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</si>
  <si>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</si>
  <si>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</si>
  <si>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</si>
  <si>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</si>
  <si>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</si>
  <si>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</si>
  <si>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 xml:space="preserve"> 4. Egyéb felhalmozási célú támogatások államháztartáson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</si>
  <si>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</si>
  <si>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</si>
  <si>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</si>
  <si>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</si>
  <si>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</si>
  <si>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</si>
  <si>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</si>
  <si>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</si>
  <si>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</si>
  <si>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</si>
  <si>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</si>
  <si>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1V. Működési bevételek</t>
  </si>
  <si>
    <t>3. Közvetített szolgáltatások ellenértéke</t>
  </si>
  <si>
    <t>4. Tulajdonosi bevételek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</si>
  <si>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</si>
  <si>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</si>
  <si>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</si>
  <si>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</si>
  <si>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</si>
  <si>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</si>
  <si>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</si>
  <si>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</si>
  <si>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</si>
  <si>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</si>
  <si>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Lóczy L. u. 52. ingatlan felújítás</t>
  </si>
  <si>
    <t>Forgalomtechnikai feladatok tervezése</t>
  </si>
  <si>
    <t>Vizes VB parkolófejlesztés Zákonyi mélygarázs</t>
  </si>
  <si>
    <t>1.7. Vis major</t>
  </si>
  <si>
    <t>Cimbora Alapítvány az Egészséges és Kulturált Gyermekekért</t>
  </si>
  <si>
    <t>Zöldterület-gazdálk-al kapcsolatos feladatok ellátásának támog. (HA)</t>
  </si>
  <si>
    <t xml:space="preserve">     házi segítségnyújtás - szociális segítés</t>
  </si>
  <si>
    <t>hűtő</t>
  </si>
  <si>
    <t>fűnyíró</t>
  </si>
  <si>
    <t xml:space="preserve">       TOP-1.1.2-15 Balatonfüred és Balatonalmádi közös helyi foglalkoztatási együttműködés</t>
  </si>
  <si>
    <t xml:space="preserve">        KÖFOP-1.2.1. ASP központhoz való csatlakozás</t>
  </si>
  <si>
    <t>Aszófői útnál belterületbe vont ingatlanok közművesítése</t>
  </si>
  <si>
    <t>Államháztartáson belüli megelőlegezés visszafizetés</t>
  </si>
  <si>
    <t xml:space="preserve"> - Veszprém Kereszténységért Közhasznú Alapítvány Horváth Balázs broznz dombormű</t>
  </si>
  <si>
    <t>Arculati Kézikönyv</t>
  </si>
  <si>
    <t>4. Értékpapírok vásárlása</t>
  </si>
  <si>
    <t>5. Egyéb működési célú kiadások áh-n belülre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</si>
  <si>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</si>
  <si>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 xml:space="preserve">  Közfoglalkoztatás +diákmunka</t>
  </si>
  <si>
    <t xml:space="preserve"> - Balaton Vívóklub fejlesztési támogatás Eötvös tornaterem felújításra (340/2017.(X.24.)</t>
  </si>
  <si>
    <t xml:space="preserve"> - Dunántúli Református Egyházközség a Balatonfüredi Református Általános Iskola energiahatékonysági felújításához fejlesztési támogatás</t>
  </si>
  <si>
    <t>Panelprogram támogatás</t>
  </si>
  <si>
    <t>Pedagógus II. kat. sorolt óvodapedag. kieg. támog.-minősítés 2016. dec.31-ig szerezték meg</t>
  </si>
  <si>
    <t xml:space="preserve">    finansz.szempontjából elismert szakmai dolgozók bértámogatása: felsőfokú végzettségű kisgyermeknevelők,szaktanácsadók</t>
  </si>
  <si>
    <t xml:space="preserve">    finansz.szempontjából elismert szakmai dolgozók bértámogatása: bölcsödei dajkák, középfokú végzettségű kisgyermeknevelők, szaktanácsadók</t>
  </si>
  <si>
    <t>Létszám</t>
  </si>
  <si>
    <t>II.4.a</t>
  </si>
  <si>
    <t>Finansz.szempontjából elismert szakmai dolgozók bértámogatása: felsőfokú végzettségű kisgyermeknevelők,szaktanácsadók</t>
  </si>
  <si>
    <t>Finansz.szempontjából elismert szakmai dolgozók bértámogatása: bölcsödei dajkák, középfokú végzettségű kisgyermeknevelők, szaktanácsadók</t>
  </si>
  <si>
    <t>I.1.a.</t>
  </si>
  <si>
    <t>Önkormányzati Tűzoltóság tagdíj</t>
  </si>
  <si>
    <t>Arácsi Református Egyházközség (óvoda)</t>
  </si>
  <si>
    <t>V. összesen:</t>
  </si>
  <si>
    <t>TOP-1.2.1.-15 Széchenyi strand fejlesztése</t>
  </si>
  <si>
    <t>TOP-1.1.1.-15 Térségi kihatással bíró ipartelepítés infrastrukturálás feltételeinek megteremtése</t>
  </si>
  <si>
    <t>TOP-4.1.1.-15 Egészségügyi alapellátás fejlesztése Balatonfüreden</t>
  </si>
  <si>
    <t>Annagóra Park Bevásárlóközpont Társasház 41,11 % tulajdoni hányad megvásárlása</t>
  </si>
  <si>
    <t>Balatonfüredi Turisztikai Egyesület  (BTE)</t>
  </si>
  <si>
    <t>Ingatlanok vásárlása közpark részére (071/76,069/27-069/30,071/68,071/70,071/101,071/102</t>
  </si>
  <si>
    <t xml:space="preserve"> - Észak-Balatoni Regionális Konferencia Központ Kft.</t>
  </si>
  <si>
    <t xml:space="preserve"> - Balatonfüredi Református Egyházközség (gyülekezeti rész konyha, mosdó teljes felújítás, burkolat, víz, gáz, elektromos vezeték)</t>
  </si>
  <si>
    <t xml:space="preserve">Társasházak vissza nem térítendő támogatás </t>
  </si>
  <si>
    <t xml:space="preserve"> - Balatonfüred Tamási Áron u. 27.</t>
  </si>
  <si>
    <t xml:space="preserve"> - Balatonfüred Arad u. 16.</t>
  </si>
  <si>
    <t xml:space="preserve"> - Balatonfüred Arad u. 22.</t>
  </si>
  <si>
    <t xml:space="preserve"> - Balatonfüred Kéki u. 1.</t>
  </si>
  <si>
    <t xml:space="preserve"> - Balatonfüred Csárda u. 11.</t>
  </si>
  <si>
    <t xml:space="preserve"> - Balatonfüred Hársköz1.</t>
  </si>
  <si>
    <t>Szünidei szociális gyermekétkeztetés</t>
  </si>
  <si>
    <t>Egyéb kisértékű eszközök (könyvtár)</t>
  </si>
  <si>
    <t>Dokumentumbeszerzés (könyvtár)</t>
  </si>
  <si>
    <t>Pedagógus II. kat. sorolt óvodapedag. kieg. támog.-minősítés 2017. dec.31-ig szerezték meg</t>
  </si>
  <si>
    <t>II.4.b</t>
  </si>
  <si>
    <t xml:space="preserve">     Pedagógus II. kategóriába sorolt óvodapedagógusok kieg. támog. (lemodás)</t>
  </si>
  <si>
    <t xml:space="preserve">  ebből: támogatott projektek</t>
  </si>
  <si>
    <t>BALATONFÜREDI VÁROSI BÖLCSÖDE</t>
  </si>
  <si>
    <t>BALATONFÜREDI VÁROSI SZAKORVOSI RENDELŐINTÉZET</t>
  </si>
  <si>
    <t>Balatonfüredi Városi Szakorvosi Rendelőintézet</t>
  </si>
  <si>
    <t>Balatonfüredi Városi Bölcsőde</t>
  </si>
  <si>
    <t>Lipták Gábor Városi Könyvtár összesen:</t>
  </si>
  <si>
    <t>Balatonfüredi Közös Önkormányzati Hivatal összesen:</t>
  </si>
  <si>
    <t>Balatonfüredi Szociális Alapszolgáltatási Központ összesen:</t>
  </si>
  <si>
    <t>Kökörcsin Tagóvoda összesen:</t>
  </si>
  <si>
    <t>Balatonfüredi Tündérkert óvoda összesen:</t>
  </si>
  <si>
    <t>Balatonfüredi Óvárosi óvoda összesen:</t>
  </si>
  <si>
    <t>Balatonfüredi Kiserdei óvoda összesen:</t>
  </si>
  <si>
    <t>BALATONFÜREDI VÁROSI BÖLCSŐDE</t>
  </si>
  <si>
    <t>BALATONFÜRED VÁROS ÖNKORMÁNYZAT BEVÉTELI ELŐIRÁNYZATAI KÖLTSÉGVETÉSI SZERVEK SZERINTI BONTÁSBAN</t>
  </si>
  <si>
    <t>Költségve-tési szervek</t>
  </si>
  <si>
    <t>Önkormányzat összesen</t>
  </si>
  <si>
    <t>3.4. Felhalmozási célú visszatérítendő támogatások, kölcsönök nyújtása áh-n kívülre</t>
  </si>
  <si>
    <t>4. Értékpapírok visszavásárlása</t>
  </si>
  <si>
    <t>Költségvetési hiány:</t>
  </si>
  <si>
    <t>Intézményfinanszírozás</t>
  </si>
  <si>
    <t>Önkormányzati támogatás</t>
  </si>
  <si>
    <t>Kötelező feladatok</t>
  </si>
  <si>
    <t>Önként vállalt feladatok</t>
  </si>
  <si>
    <t>Útépítések 2018. év</t>
  </si>
  <si>
    <t>közvilágítás bővítés</t>
  </si>
  <si>
    <t>Játszótéri eszközök pótlása, korszerűsítése, bővítése</t>
  </si>
  <si>
    <t>Hulladékgyűjtők, kutyapiszok gyűjtők cseréje, szóróanyagtároló beszerzése</t>
  </si>
  <si>
    <t>Széchenyi Park emléktáblák felújítás I. ütem</t>
  </si>
  <si>
    <t xml:space="preserve">Morvai utca vízvezeték hálózat építés </t>
  </si>
  <si>
    <t>Térinformatikai rendszer bevezetése</t>
  </si>
  <si>
    <t xml:space="preserve">Zákonyi sétány stabilizált gyöngykavics burkolat </t>
  </si>
  <si>
    <t>Zákonyi sétány BYC előtti " fadobogó " felújítása</t>
  </si>
  <si>
    <t>Kovászna Parkban vízkivételi mű létesítése</t>
  </si>
  <si>
    <t>településrendezési eszközök</t>
  </si>
  <si>
    <t xml:space="preserve">     házi segítségnyújtás - személyi gondozás - társuál által történő feladatellátás</t>
  </si>
  <si>
    <t>III.3. da</t>
  </si>
  <si>
    <t>III.3. g(2)</t>
  </si>
  <si>
    <t>III.3. g (4)</t>
  </si>
  <si>
    <t>III.3. g (6)</t>
  </si>
  <si>
    <t>3. Egyéb közhatalmi bevételek  (bírság, pótlék, településrendezési szerz.)</t>
  </si>
  <si>
    <t>Zsinagóga felújítási alap</t>
  </si>
  <si>
    <t xml:space="preserve">      óvodákban évközben jelentkező SNI többletktg.</t>
  </si>
  <si>
    <t>Gyermekétkeztetés iskolákban</t>
  </si>
  <si>
    <t>Zsinagóga építés</t>
  </si>
  <si>
    <t>072 hrsz-ú ingatlan megvásárlása 2016. évi ütem</t>
  </si>
  <si>
    <t>Probio Zrt közszolgáltatási feladatok</t>
  </si>
  <si>
    <t xml:space="preserve">    Református Általános Iskola tornaterem TAO önrész</t>
  </si>
  <si>
    <t xml:space="preserve">   - Kurutz Károly helyi védettség alatt álló épület felújítása (300/2010.és 39/2013.(II.07.))</t>
  </si>
  <si>
    <t xml:space="preserve"> -Kripta Csaba Bfüred Itató köz 5. helyi védett épüle felújítása tám. 411/2017.(XII.14.)</t>
  </si>
  <si>
    <t>7. Államháztartáson belüli megelőlegezés visszafizetése</t>
  </si>
  <si>
    <t>6. Államháztartáson belüli megelőlegezés visszafizetése</t>
  </si>
  <si>
    <t>2019. évi eredeti ei.</t>
  </si>
  <si>
    <t>AZ ÖNKORMÁNYZAT MŰKÖDÉSI ÉS FELHALMOZÁSI MÉRLEGE KÖLTSÉGVETÉSI SZERVEK ÉS ÖNKORMÁNYZAT BONTÁSBAN 2019. ÉV</t>
  </si>
  <si>
    <t xml:space="preserve"> Az Önkormányzat  működési bevételei és kiadásai  2019. év</t>
  </si>
  <si>
    <t xml:space="preserve"> Az Önkormányzat felhalmozási bevételei és kiadásai  2019. év</t>
  </si>
  <si>
    <t>Bevétele és kiadások mérlege 2019. év</t>
  </si>
  <si>
    <t>AZ ÖNKORMÁNYZAT 2019. ÉVI KÖLTSÉGVETÉSÉNEK FŐÖSSZESÍTŐJE</t>
  </si>
  <si>
    <t xml:space="preserve">      2018. évi bérkompenzáció előleg</t>
  </si>
  <si>
    <t xml:space="preserve">    Zsidó temetők rekonstrukciójára kapott támogatás</t>
  </si>
  <si>
    <t>BEVÉTELEK ELŐIRÁNYZATA 2019. ÉV</t>
  </si>
  <si>
    <t xml:space="preserve">   2.1. Forgatási célú értékpapírok beváltása, értékesítése</t>
  </si>
  <si>
    <t>BEVÉTELEK ELŐIRÁNYZATA INTÉZMÉNYEK SZERINTI BONTÁSBAN 2019. ÉV</t>
  </si>
  <si>
    <t>határozott idejű (fő)</t>
  </si>
  <si>
    <t>ÁLLAMI TÁMOGATÁSOK 2019. ÉV</t>
  </si>
  <si>
    <t>2. 2018. évről áthúzódó és 2019. évi bérkompenzáció támogatása</t>
  </si>
  <si>
    <t>Óvodai és iskolai szociális segítő tevékenység</t>
  </si>
  <si>
    <t>Gyermekek napközbeni ellátása</t>
  </si>
  <si>
    <t xml:space="preserve">   bölcsődei üzemeltetési támogatás</t>
  </si>
  <si>
    <t>Szociális ágazati összevont pótlék</t>
  </si>
  <si>
    <t>Kulturális illetménypótlék</t>
  </si>
  <si>
    <t>2019. évi lakosssági víz- és csatornatámogatás</t>
  </si>
  <si>
    <t>ÁLLAMI TÁMOGATÁSOK INTÉZMÉNYENKÉNT 2019. ÉV</t>
  </si>
  <si>
    <t>III. 5.aa</t>
  </si>
  <si>
    <t>III. 5.ab</t>
  </si>
  <si>
    <t>2018. évről áthúzódó és 2019. évi bérkompenzáció támogatása</t>
  </si>
  <si>
    <t>III.6. a (1)</t>
  </si>
  <si>
    <t>III.6. a (2)</t>
  </si>
  <si>
    <t>III.6. b.</t>
  </si>
  <si>
    <t>bölcsődei üzemeltetési támogatás</t>
  </si>
  <si>
    <t>III.1.</t>
  </si>
  <si>
    <t>III.3. a.+III.3. oa</t>
  </si>
  <si>
    <t>III.3. b.+III.3. oa</t>
  </si>
  <si>
    <t>III.3. db + III.3. oa</t>
  </si>
  <si>
    <t>III.3. n. (6)</t>
  </si>
  <si>
    <t>IV.3.</t>
  </si>
  <si>
    <t>I.1.b.</t>
  </si>
  <si>
    <t>I.1.ba.</t>
  </si>
  <si>
    <t>I.1.bb.</t>
  </si>
  <si>
    <t>I.1.bc.</t>
  </si>
  <si>
    <t>I.1.bd.</t>
  </si>
  <si>
    <t>I.1.c.</t>
  </si>
  <si>
    <t>I.1.d.</t>
  </si>
  <si>
    <t>I.1.e.</t>
  </si>
  <si>
    <t>III. 5.b.</t>
  </si>
  <si>
    <t>A rászoruló gyermekek int. kívüli szünidei étk. támogatása</t>
  </si>
  <si>
    <t>II.4.</t>
  </si>
  <si>
    <t>I.11</t>
  </si>
  <si>
    <t>BALATONFÜRED VÁROS ÖNKORMÁNYZAT BEVÉTELI ELŐIRÁNYZATAI KÖLTSÉGVETÉSI SZERVEK SZERINTI BONTÁSBAN 2019. ÉV</t>
  </si>
  <si>
    <t>Államigazgatási feladatok</t>
  </si>
  <si>
    <t>Állami támogatás, saját bevétel és költségvetési maradvány</t>
  </si>
  <si>
    <t>2019. ÉV</t>
  </si>
  <si>
    <t>MŰKÖDÉSI KIADÁSOK ÖNKORMÁNYZAT, HIVATAL BONTÁSBAN 2019. ÉV</t>
  </si>
  <si>
    <t>Kisértékű tárgyi eszközök</t>
  </si>
  <si>
    <t>I. Balatonfüredi Közös Önkormányzati Hivatal összesen:</t>
  </si>
  <si>
    <t>II.  Balatonfüred Város Önkormányzat költségvetése</t>
  </si>
  <si>
    <t>Magyarországi Zsidó örökség Közalapítványtól támogatás a felhagyott zsidó temető rehabilitációjára</t>
  </si>
  <si>
    <t xml:space="preserve">Modern idők játszóház </t>
  </si>
  <si>
    <t xml:space="preserve">      Magyarországi Zsidó örökség Közalapítványtól támogatás a felhagyott zsidó temető rehabilitációjára</t>
  </si>
  <si>
    <t>TOP-2.1.2-16-VE1-2017-00009 azonosítószámú, Balatonfüred Ófalu fejlesztése dologi kiadás 2018.</t>
  </si>
  <si>
    <t>TÁMOGATÁSOK 2019. ÉV</t>
  </si>
  <si>
    <t>Veszprémi Református Egyházközség</t>
  </si>
  <si>
    <t>Patrónus Lions Club adományozás</t>
  </si>
  <si>
    <t>Zsidó Kiválóságok Háza Alapítvány</t>
  </si>
  <si>
    <t>FELHALMOZÁSI KIADÁSOK 2019. ÉV</t>
  </si>
  <si>
    <t xml:space="preserve">Tervezési feladatok:                                                                                                      - útépítési tervek készítése(Déry T.utca, Balaton utca , Mészöly G.utca,Illyés Gy. Utca   P. Horváth Ádám u. Arácsi út - Rajk László u.                                                                                                                          - légvezeték hálózatok kiváltásának tervezése I. ütem (Öreghegyi út, Völgy utca alsó szakasza , Régi temető utca, Déry T. utca)                                                     - környezetrendezési terv  készítése Aranyhíd sétány                                             - gyepmesteri telep áthelyezésének tervezése ( Aszófői úti iparterületen)        </t>
  </si>
  <si>
    <t>Információs táblák 2018.</t>
  </si>
  <si>
    <t>Autóbusz várók 2018.</t>
  </si>
  <si>
    <t>Zöldterület fejlesztés 2018.</t>
  </si>
  <si>
    <t>Brázay étterem, csónakkikötő tervezés előkészítés</t>
  </si>
  <si>
    <t>Bajcsy-Zs. U. és Vázsonyi út közötti szakasz útépítési engedélyezési terv felülvizsgálata</t>
  </si>
  <si>
    <t>P. Horváth Á. U. közművek tervezése</t>
  </si>
  <si>
    <t>TOP-2.1.2.-16VE1 Ófalu településrész fejlesztése tanulmányterv</t>
  </si>
  <si>
    <t xml:space="preserve">Ófalu településrész fejlesztése ingatlanok megvásárlása </t>
  </si>
  <si>
    <t>TOP-2.1.2-16-VE1-2017-00009 azonosítószámú, Balatonfüred Ófalu fejlesztése</t>
  </si>
  <si>
    <t>Zákonyi mélygarázs felett B épület</t>
  </si>
  <si>
    <t>Zákonyi mélygarázs felett D épület</t>
  </si>
  <si>
    <t>Balaton első négyévszakos családi élményháza Balatonfüreden 2018-2019. önrész</t>
  </si>
  <si>
    <t>Balatonfüred felhagyott zsidó temető rehabilitációja</t>
  </si>
  <si>
    <t>Népi építészeti emlékek helyreállítása Lóczy L. u. 101. tájház</t>
  </si>
  <si>
    <t xml:space="preserve"> Lóczy L. u. 101. kerítés</t>
  </si>
  <si>
    <t>Iskola u. 2. környezetrendezés</t>
  </si>
  <si>
    <t>Balatonfüredi Református Iskola energiahatékonysági felújítás kiegészítő műszaki tartalom kivitelezése</t>
  </si>
  <si>
    <t>2381 hrsz-ú ingatlan kisajátítás előtti vétel (Öreghegyi u.)</t>
  </si>
  <si>
    <t>Papsoka felhagyott temetők felújítása III. ütemben történő rehabilitációja</t>
  </si>
  <si>
    <t>Beruházás előkészítő és tervezési kiadások</t>
  </si>
  <si>
    <t>Útépítések 2019. évi</t>
  </si>
  <si>
    <t>P. Horváth Á. Utca (járda, légvezeték)</t>
  </si>
  <si>
    <t>Légvezeték kiváltás</t>
  </si>
  <si>
    <t>Hulladékgyűjtők, utcabútorok cseréje 2019. évi</t>
  </si>
  <si>
    <t>Temető felújítás</t>
  </si>
  <si>
    <t>Városi zöldfelület fejlesztés 2019.</t>
  </si>
  <si>
    <t>Könyvtár bútorok</t>
  </si>
  <si>
    <t xml:space="preserve">területszerzés, kisajátítás </t>
  </si>
  <si>
    <t>Süttői mészkő csere</t>
  </si>
  <si>
    <t>Zákonyi sétány dobogó felújítás</t>
  </si>
  <si>
    <t>játszóterek felújítása, bővítése 2019.</t>
  </si>
  <si>
    <t>Kéki patak vízkivételi mű</t>
  </si>
  <si>
    <t xml:space="preserve">Lakóterületi belső út felújítása </t>
  </si>
  <si>
    <t>Buszvárók cseréje</t>
  </si>
  <si>
    <t>Információs táblarendszer 2019. év</t>
  </si>
  <si>
    <t>Közvilágítás bővítés 2019. év</t>
  </si>
  <si>
    <t>Kemping fejlesztés I. ütem</t>
  </si>
  <si>
    <t>Forrás Sportpark fejlesztés</t>
  </si>
  <si>
    <t>Horgász kikötő</t>
  </si>
  <si>
    <t>Brázay étterem</t>
  </si>
  <si>
    <t>Brázay park</t>
  </si>
  <si>
    <t>Rendőrségi útjelzők</t>
  </si>
  <si>
    <t>Tesco sétány</t>
  </si>
  <si>
    <t>Széchényi park emléktáblák cseréje</t>
  </si>
  <si>
    <t>Kiserdő felújítás</t>
  </si>
  <si>
    <t>Hulladékgyűjtő szigetek takarása (Köztársaság u. 11, Noszopy G.u.)</t>
  </si>
  <si>
    <t>Gyepmesteri telephely kialakítás (tervezés, engedélyezés)</t>
  </si>
  <si>
    <t>Papsoka felhagyott temetők felújítása IV. ütemben történő rehabilitációja</t>
  </si>
  <si>
    <t xml:space="preserve"> - Balatonfüredi Utánpótlás Sport Club parkoló létesítés TAO önrész</t>
  </si>
  <si>
    <t xml:space="preserve"> - Balatonfüredi Utánpótlás Sport Club fűnyíró beszerzés TAO önrész</t>
  </si>
  <si>
    <t xml:space="preserve"> - Balatonfüredi Vízisport és Szabadidő Nonprofit Kft. Bejárható Magyarország kikötő fejlesztés</t>
  </si>
  <si>
    <t xml:space="preserve"> - Református Általános Iskola tornaterem felújítás TAO önrész</t>
  </si>
  <si>
    <t xml:space="preserve"> - Szent Benedek Gimnázium EFOP pályázat önrész I. ütem</t>
  </si>
  <si>
    <t xml:space="preserve"> - Zsidó Kiválóságok Háza Alapítvány</t>
  </si>
  <si>
    <t>Intézményi felújítások 2018. évi kötváll.</t>
  </si>
  <si>
    <t>Intézményi felújítások 2019. évi</t>
  </si>
  <si>
    <t>Informatikai eszközök (zsinagóga)</t>
  </si>
  <si>
    <t>Sport támogatási keretösszeg</t>
  </si>
  <si>
    <t xml:space="preserve"> - Sportegyesületi infrastrukturális fejlesztések támogatása</t>
  </si>
  <si>
    <t>Balatonfüredi Kézilabda Klub</t>
  </si>
  <si>
    <t>Óvodapedagógusok továbbképzésre elkülönített keret</t>
  </si>
  <si>
    <t>GINOP-7.1.9-17-2018-00008 Turisztikailag frekventált térségek integrált termék- és szolgáltatás fejlesztése</t>
  </si>
  <si>
    <t>Okos Város közigazgatási mintaprojekt</t>
  </si>
  <si>
    <t xml:space="preserve">Balaton első négyévszakos családi élményháza Balatonfüreden projekt </t>
  </si>
  <si>
    <t>GINOP Balatoni Vízi megállóhelyek létesítése</t>
  </si>
  <si>
    <t xml:space="preserve">GINOP Négy évszakos kulturális és rendezvényhelyszín fejlesztése Balatonfüreden </t>
  </si>
  <si>
    <t>Téli rezsicsökkentés támogatása</t>
  </si>
  <si>
    <t>Elkerülő út saját forrás</t>
  </si>
  <si>
    <t>Aszófői út melletti lakóterület közművesítés (Laki dülő víz, szennyvíz)</t>
  </si>
  <si>
    <t>078/2 hrsz-ú ingatlanból 23 m2 megvásárlása</t>
  </si>
  <si>
    <t>EURÓPAI UNIÓS TÁMOGATÁSSAL MEGVALÓSULÓ PROGRAMOK BEVÉTELEI ÉS KIADÁSAI 2019. ÉV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</si>
  <si>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</si>
  <si>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</si>
  <si>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</si>
  <si>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</si>
  <si>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2018. év</t>
  </si>
  <si>
    <t>2019. év</t>
  </si>
  <si>
    <t>2020. év</t>
  </si>
  <si>
    <t>EU forrás</t>
  </si>
  <si>
    <t>Egyéb forrás</t>
  </si>
  <si>
    <t>Saját forrás</t>
  </si>
  <si>
    <t>Kiadások</t>
  </si>
  <si>
    <t xml:space="preserve">2018. évben pénzügyileg teljesült </t>
  </si>
  <si>
    <t>személyi juttatások (bérköltség)</t>
  </si>
  <si>
    <t>személyi juttatások járulékai</t>
  </si>
  <si>
    <t>egyéb személyi kiadások</t>
  </si>
  <si>
    <t>dologi kiadások</t>
  </si>
  <si>
    <t>felújítások</t>
  </si>
  <si>
    <t>beruházások</t>
  </si>
  <si>
    <t>átadott pénzeszközök</t>
  </si>
  <si>
    <t>TOP-3.2.2-15-VE1-2016-00002</t>
  </si>
  <si>
    <t>Biomassza alapú ORC erőmű Balatonfüred</t>
  </si>
  <si>
    <t>visszaigényelhető ÁFA</t>
  </si>
  <si>
    <t xml:space="preserve">személyi juttatások </t>
  </si>
  <si>
    <t>EFOP-4.1.8-16-2017-00140</t>
  </si>
  <si>
    <t>A könyvtárral a tudásért - megújult épületben, korszerű technikával Balatonfüreden</t>
  </si>
  <si>
    <t>TOP-2.1.3-16-VE1-2017-00008</t>
  </si>
  <si>
    <t>Balatonfüred csapadékcsatorna hálózatának fejlesztése</t>
  </si>
  <si>
    <t>GINOP-7.1.9-17-2017-0001</t>
  </si>
  <si>
    <t>Gyógyhelyfejlesztés Balatonfüred Városában</t>
  </si>
  <si>
    <t xml:space="preserve">2018.12.31-ig pénzügyileg teljesült </t>
  </si>
  <si>
    <t>GINOP-7.1.6.16-2017-00004</t>
  </si>
  <si>
    <t>Balaton-felvidéki Kultúrtáj Világörökség várományos helyszín turisztikai célú fejlesztése</t>
  </si>
  <si>
    <t>TOP-3.2.1-16-VE2-2017-00001</t>
  </si>
  <si>
    <t>Fenntartható Energia és Klíma Akcióterv (SECAP) kidolgozása Veszprém megyében</t>
  </si>
  <si>
    <t>TOP-1.2.1-15-VE1-2016-00029</t>
  </si>
  <si>
    <t>"Balatonfüred, Széchenyi strand turisztikai infrastruktúrájának fejlesztése"</t>
  </si>
  <si>
    <t>2017.év</t>
  </si>
  <si>
    <t>2018.év</t>
  </si>
  <si>
    <t xml:space="preserve">2017. évben pénzügyileg teljesült </t>
  </si>
  <si>
    <t>TOP-1.1.1-15-VE1-2016-00010</t>
  </si>
  <si>
    <t>"Térségi kihatással bíró ipartelepítés infrastruktúrális feltételeinek megteremtése Balatonfüreden"</t>
  </si>
  <si>
    <t>TOP-4.1.1-15-VE1-2016-00019</t>
  </si>
  <si>
    <t>"Az egészségügyi alapellátás fejlesztése Balatonfüreden"</t>
  </si>
  <si>
    <t>fizetendő fordított áfa</t>
  </si>
  <si>
    <t>TOP-2.1.2-16-VE1-2017-00009</t>
  </si>
  <si>
    <t>"Balatonfüred Ófalu fejlesztése és új közösségi tér kialakítása"</t>
  </si>
  <si>
    <t>2019.év</t>
  </si>
  <si>
    <t>2018. évben pénzügyileg teljesült</t>
  </si>
  <si>
    <t>fizetendő fordított ÁFA</t>
  </si>
  <si>
    <t>KÖFOP-1.2.1-VEKOP-16-2017-01024</t>
  </si>
  <si>
    <t>"Balatonfüred Város Önkormányzata ASP központhoz való csatlakozása"</t>
  </si>
  <si>
    <t>2017. év</t>
  </si>
  <si>
    <t>2019 év</t>
  </si>
  <si>
    <t>személyi juttatások</t>
  </si>
  <si>
    <t>TOP-5.1.2-15-VE1-2016-00001</t>
  </si>
  <si>
    <t>"Balatonfüred és Balatonalmádi közös helyi foglalkoztatási együttműködés"</t>
  </si>
  <si>
    <t>GINOP-7.1.9-17-2018-0002</t>
  </si>
  <si>
    <t>"Négy évszakos kulturális és rendezvényhelyszín fejlesztése Balatonfüreden a meglévő kulturális kínálat erősítésével"</t>
  </si>
  <si>
    <t>GINOP-7.1.9-17-2018-00026</t>
  </si>
  <si>
    <t>Balatoni vízi megállóhelyek létesítése</t>
  </si>
  <si>
    <t>TFC-2.1.1-2018-D</t>
  </si>
  <si>
    <t>A Balaton első négyévszakos családi élményháza Balatonfüreden</t>
  </si>
  <si>
    <t>GINOP-7.1.9-17-2018-00008</t>
  </si>
  <si>
    <t>Balatonfüred reformkori városrészének integrált termék- és szolgáltatás fejlesztése</t>
  </si>
  <si>
    <t>Könyvtár bővítéshez, felújításhoz többlet forrás</t>
  </si>
  <si>
    <t>Az önkormányzat működési bevételei és kiadásai, a felhalmozási bevételei és kiadásai kiemelt előirányzatok, 
és kötelező feladatok, önként vállalt feladatok és államigazgatási feladatok bontásban 2019. év</t>
  </si>
  <si>
    <t xml:space="preserve"> Az Önkormányzat  kötelező feladatok bevételei és kiadásai  2019. év</t>
  </si>
  <si>
    <t>Önkormányzati Hivatal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</si>
  <si>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</si>
  <si>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</si>
  <si>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</si>
  <si>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működési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</si>
  <si>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</si>
  <si>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</si>
  <si>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</si>
  <si>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</si>
  <si>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</si>
  <si>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</si>
  <si>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</si>
  <si>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</si>
  <si>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</si>
  <si>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</si>
  <si>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Költségvetési felhalmozási bevételek kötelező feladatok szerinti bontásban</t>
  </si>
  <si>
    <t>Költségvetési felhalmozási kiadások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</si>
  <si>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</si>
  <si>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</si>
  <si>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 xml:space="preserve"> Az Önkormányzat önként vállalt feladatok bevételei és kiadásai  2019. év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</si>
  <si>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</si>
  <si>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</si>
  <si>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</si>
  <si>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</si>
  <si>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</si>
  <si>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</si>
  <si>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</si>
  <si>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</si>
  <si>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 xml:space="preserve"> Az Önkormányzat államigazgatási feladatok bevételei és kiadásai  2019. év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</si>
  <si>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</si>
  <si>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</si>
  <si>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</si>
  <si>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</si>
  <si>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</si>
  <si>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</si>
  <si>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FELÚJÍTÁSOK 2019. ÉV</t>
  </si>
  <si>
    <t>Intézmény / munkanemek</t>
  </si>
  <si>
    <t>1. Kiserdei Óvoda Park u.</t>
  </si>
  <si>
    <t>ÉK-i csoportszoba beázás javítása, tető javítása</t>
  </si>
  <si>
    <t>Konyhában régi tűzhely eltávolítása, burkolás</t>
  </si>
  <si>
    <t>Konyha ajtó csere</t>
  </si>
  <si>
    <t>Villamos szekrény felújítása</t>
  </si>
  <si>
    <t>Melegvíz ellátás kézmosókhoz</t>
  </si>
  <si>
    <t>Épület DNY-i sarok helyreállítása</t>
  </si>
  <si>
    <t>Csúszda megerősítése, stabilizálása</t>
  </si>
  <si>
    <t>Kertrendezési terv kert felújításhoz</t>
  </si>
  <si>
    <t>4. Tündérkert Óvoda</t>
  </si>
  <si>
    <t>Világítótestek cseréje</t>
  </si>
  <si>
    <t>Folyosó PVC padló felújítása</t>
  </si>
  <si>
    <t>Balesetveszélyes udvari játékok cseréje</t>
  </si>
  <si>
    <t>Zsámoly (konyhai sütő) betáp kábel átépítése</t>
  </si>
  <si>
    <t>Irodák PVC padló felújítása</t>
  </si>
  <si>
    <t>Füvesítés három szakaszban</t>
  </si>
  <si>
    <t>Solar rendszer beüzemelése</t>
  </si>
  <si>
    <t>Füvesítés folytatása következő szakasz</t>
  </si>
  <si>
    <t>Udvari játékok</t>
  </si>
  <si>
    <t>Udvari ivókút</t>
  </si>
  <si>
    <t>5. Városi Bölcsőde</t>
  </si>
  <si>
    <t>Faház</t>
  </si>
  <si>
    <t>6. Óvárosi Óvoda</t>
  </si>
  <si>
    <t>Kossuth utcai külső homlokzat javítás, falfestés</t>
  </si>
  <si>
    <t>Kossuth utcai homlokzat eresz csatorna felújítása</t>
  </si>
  <si>
    <t>Világítás felújítása</t>
  </si>
  <si>
    <t xml:space="preserve">Külső falfelület felújítása </t>
  </si>
  <si>
    <t>7. Mogyoró u. Óvoda</t>
  </si>
  <si>
    <t xml:space="preserve">8. Eötvös Loránd Általános Iskola </t>
  </si>
  <si>
    <t>tornaterem festés  (előző évi kötelezettségvállalás)</t>
  </si>
  <si>
    <t xml:space="preserve">9. Református Általános Iskola </t>
  </si>
  <si>
    <t>főépület kémények bontása</t>
  </si>
  <si>
    <t xml:space="preserve">10. Radnóti Miklós Általános Iskola </t>
  </si>
  <si>
    <t xml:space="preserve">11. Fekete István Általános Iskola </t>
  </si>
  <si>
    <t>12. Ferencsik János Zeneiskola</t>
  </si>
  <si>
    <t>13. Szent Benedek Gimnázium</t>
  </si>
  <si>
    <t xml:space="preserve"> Összesen</t>
  </si>
  <si>
    <t>14. Lóczy Lajos Gimnázium</t>
  </si>
  <si>
    <t>15. Közösségi Ház</t>
  </si>
  <si>
    <t>16. BSZAK</t>
  </si>
  <si>
    <t>Kert renedzés, felújítás</t>
  </si>
  <si>
    <t>Ereszcsatorna bekötése csapadékaknába</t>
  </si>
  <si>
    <t>18. Lipták Gábor Városi Könyvtár</t>
  </si>
  <si>
    <t>Viharkár miatti homlokzat felújítás (K., ÉK. oldal)</t>
  </si>
  <si>
    <t>B épület iroda felújítás (padló, villany, klíma)</t>
  </si>
  <si>
    <t>Tetőfelújítás, tetősík ablakok cseréje</t>
  </si>
  <si>
    <t>24. Konferencia Központ</t>
  </si>
  <si>
    <t>25. Tartalék</t>
  </si>
  <si>
    <t xml:space="preserve">27.Egyéb épület: </t>
  </si>
  <si>
    <t>Kötelezettségek</t>
  </si>
  <si>
    <t>2019. évi ei.</t>
  </si>
  <si>
    <t>lakásfelújítás</t>
  </si>
  <si>
    <t>ÖSSZESEN: (a tábla vége)</t>
  </si>
  <si>
    <t>BEVÉTELEK ÉS KIADÁSOK ELŐIRÁNYZATÁNAK HAVI ÜTEMEZÉSE 2019. ÉV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</si>
  <si>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</si>
  <si>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</si>
  <si>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</si>
  <si>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</si>
  <si>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</si>
  <si>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</si>
  <si>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</si>
  <si>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</si>
  <si>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</si>
  <si>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</si>
  <si>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</si>
  <si>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</si>
  <si>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Nyitó pénzkészlet</t>
  </si>
  <si>
    <t>Működési célú támogatások áh-n belülről</t>
  </si>
  <si>
    <t>Közhatalmi bevételek</t>
  </si>
  <si>
    <t xml:space="preserve">Működési célú átvett pénzeszközök </t>
  </si>
  <si>
    <t>Közös Önkormányzati Hivatal</t>
  </si>
  <si>
    <t>Működési célú átvett pénzeszközök</t>
  </si>
  <si>
    <t>Működési bevételek összesen:</t>
  </si>
  <si>
    <t>Felhalmozási célú támogatások áh-n belülről</t>
  </si>
  <si>
    <t>Felhalmozási  bevételek</t>
  </si>
  <si>
    <t>Felhalmozási célú átvett pénzeszközök</t>
  </si>
  <si>
    <t>Közös Önkormányzati Hivatal felhalm.bev.</t>
  </si>
  <si>
    <t>Intézményi felhalmozási bevételek</t>
  </si>
  <si>
    <t>Felhalmozási bevételek összesen</t>
  </si>
  <si>
    <t>Finanszírozási bevételek (hitel, kötvény, értékpapír, betét, állami támogatás megelőlegezés)</t>
  </si>
  <si>
    <t>Pénzforgalom nélküli bevételek Önkormányzat</t>
  </si>
  <si>
    <t>Pénzforgalom nélküli bevételek Hivatal</t>
  </si>
  <si>
    <t>Pénzforgalom nélküli bevételek Intézmények</t>
  </si>
  <si>
    <t>Közös Önkormányzati Hivatal működési kiadásai személyi juttatás</t>
  </si>
  <si>
    <t>Önkormányzat személyi juttatás</t>
  </si>
  <si>
    <t>Közös Önkormányzati Hivatal működési kiadásai munkaadót terhelő járulék</t>
  </si>
  <si>
    <t>Önkormányzat munkaadót terhelő járulék</t>
  </si>
  <si>
    <t>Közös Önkormányzati Hivatal működési kiadásai dologi kiadás</t>
  </si>
  <si>
    <t>Önkormányzat dologi kiadás</t>
  </si>
  <si>
    <t>Közös Önkormányzati Hivatal működési kiadásai ellátottak juttatásai</t>
  </si>
  <si>
    <t>Önkormányzat ellátottak pénzbeli juttatásai</t>
  </si>
  <si>
    <t>Önkormányzat egyéb működési célú kiadások</t>
  </si>
  <si>
    <t>Intézmények működési kiadásai (személyi, jár, dologi)</t>
  </si>
  <si>
    <t>Tartalék</t>
  </si>
  <si>
    <t>Működési kiadások összesen:</t>
  </si>
  <si>
    <t>Beruházások</t>
  </si>
  <si>
    <t>Felújítások</t>
  </si>
  <si>
    <t>Saját hatáskörű intézményi fejl.</t>
  </si>
  <si>
    <t>Egyéb felhalmozási célú kiadások</t>
  </si>
  <si>
    <t>Felhalmozási célú kiadások összesen</t>
  </si>
  <si>
    <t>Finanszírozási kiadások (hitel törlesztés, értékpapír visszavásárlás)</t>
  </si>
  <si>
    <t>Korrekció</t>
  </si>
  <si>
    <t>Záró pénzkészlet</t>
  </si>
  <si>
    <t>INTÉZMÉNYI SAJÁTHATÁSKÖRŰ FEJLESZTÉSEK 2019. ÉV</t>
  </si>
  <si>
    <t>Eltérés</t>
  </si>
  <si>
    <t>2019. évi módosított ei. I.</t>
  </si>
  <si>
    <t>17. Városi Szakorvosi Rendelőintézet</t>
  </si>
  <si>
    <t>22. Balatonfüredi Közös Önkormányzati Hivatal épülete</t>
  </si>
  <si>
    <t>23. Arácsi Népház, Posta</t>
  </si>
  <si>
    <t>ELTÉRÉS</t>
  </si>
  <si>
    <t>2019. ÉVI MÓDOSÍTOTT EI. I.</t>
  </si>
  <si>
    <t>Rendkívüli önkormányzati támogatás Tűzoltóság támogatása</t>
  </si>
  <si>
    <t xml:space="preserve">Könyvtári, közművelődési normatíva </t>
  </si>
  <si>
    <t>Veszrpém Megyei Kormányhivatal Balatonfüredi Járási Hivatala közfoglalkoztatási előleg visszafizetés</t>
  </si>
  <si>
    <t>Balatonfüredi Református Egyházegyházközség hittantábor támogatása</t>
  </si>
  <si>
    <t>Magyar Szkander Szövetség magyar bajnokság támogatása</t>
  </si>
  <si>
    <t>Ivókút kiépítése</t>
  </si>
  <si>
    <t xml:space="preserve">Bordás fal és függönytartó </t>
  </si>
  <si>
    <t>udvari kapu kiépítése</t>
  </si>
  <si>
    <t>Ereszcsatorna felújítása</t>
  </si>
  <si>
    <t>Iroda felújítás</t>
  </si>
  <si>
    <t>Külső lábazat vízszigetelése, felújítása</t>
  </si>
  <si>
    <t>Kemping kerítés és térbeton bontása</t>
  </si>
  <si>
    <t>Hunyadi utcai óvoda beruházás 2019. évi ütem</t>
  </si>
  <si>
    <t>GINOP 7.1.9. Gyógyhelyfejlesztés Balatonfüred Városában pótmunkák</t>
  </si>
  <si>
    <t>Eszterházy villa villamos energia ellátás közmű</t>
  </si>
  <si>
    <t>Zákonyi mélygarázs feletti üzletek hálózatfejlesztés</t>
  </si>
  <si>
    <t>Világháborús emlékmű felújítása</t>
  </si>
  <si>
    <t>P. Horváth M. u. 77/a ingatlan vásárlás</t>
  </si>
  <si>
    <t>Hunyadi utcai óvoda eszközbeszerzés</t>
  </si>
  <si>
    <t xml:space="preserve"> - Balatonfüred, Bartók Béla u. 19. Társasház</t>
  </si>
  <si>
    <t xml:space="preserve"> - Gótika tagi kölcsön</t>
  </si>
  <si>
    <t xml:space="preserve"> - Balatonfüredi Tankerületi Központ Fekete István Speciális Általános Iskola tanterem kialakítás támogatása</t>
  </si>
  <si>
    <t xml:space="preserve">  Foglalkoztatottak személyi juttatásai</t>
  </si>
  <si>
    <t xml:space="preserve"> TOP-3.2.1-16-VE1-2018-00033 A Balatonfüredi Lipták Gábor Városi Könyvtár energetikai korszerűsítése</t>
  </si>
  <si>
    <t xml:space="preserve"> A Balatonfüredi Lipták Gábor Városi Könyvtár energetikai korszerűsítése</t>
  </si>
  <si>
    <t xml:space="preserve"> TOP-3.2.1-16-VE1-2018-00033</t>
  </si>
  <si>
    <t>2021. év</t>
  </si>
  <si>
    <t xml:space="preserve">      GINOP-7.1.9-17-2018-00008 Turisztikailag frekventált térségek integrált termék- és szolgáltatás fejlesztése</t>
  </si>
  <si>
    <t xml:space="preserve">      TOP-3.2.1-16-VE1-2018-00033 A Balatonfüredi Lipták Gábor Városi Könyvtár energetikai korszerűsítése</t>
  </si>
  <si>
    <t xml:space="preserve">   Balatonfüred Városért Közalapítvány</t>
  </si>
  <si>
    <t>fizetendő ÁFA</t>
  </si>
  <si>
    <t>Tamási Áron és Ferencsik János utcák kereszteződésében a közvilágítási légvezeték hálózat kiváltása földkábelre</t>
  </si>
  <si>
    <t>Bútorok</t>
  </si>
  <si>
    <t xml:space="preserve">    Magyarországi Zsidó örökség Közalapítványtól támogatás a felhagyott zsidó temető rehabilitációjára</t>
  </si>
  <si>
    <t>DRV Zrt. 2019. évi víz- és csatornaszolgáltatás támogatása</t>
  </si>
  <si>
    <t xml:space="preserve">26. Lakásfelújítás 2019 évi </t>
  </si>
  <si>
    <t>Klíma</t>
  </si>
  <si>
    <t>2019. évi módosított ei. II.</t>
  </si>
  <si>
    <t>2019. ÉVI MÓDOSÍTOTT EI. II.</t>
  </si>
  <si>
    <t>III. 5.</t>
  </si>
  <si>
    <t>Jó adatszolgáltató önkormányzatok támogatása</t>
  </si>
  <si>
    <t>3.</t>
  </si>
  <si>
    <t>II.2.a.</t>
  </si>
  <si>
    <t>Kötelező önk-i feladatot ellátó intézmények fejlesztése, felújítása (Kiserdei Óvoda)</t>
  </si>
  <si>
    <t>Köt. önk-i feladatot ellátó intézm. fejl, felújítása (Kiserdei óvoda)</t>
  </si>
  <si>
    <t xml:space="preserve">Kiegészítő támogatás </t>
  </si>
  <si>
    <t>Kiegészítő támogatás óvodaped. és az e ped. munkáját kvetlenül segítők bértámogatásához</t>
  </si>
  <si>
    <t xml:space="preserve">     kiegészít támogatás család- és gyermekjóléti feladatra</t>
  </si>
  <si>
    <t xml:space="preserve">     kiegészítő támogatás szociális étkeztetés</t>
  </si>
  <si>
    <t xml:space="preserve">     kiegészítő támogatás időskorúak nappali intézényi ellátása</t>
  </si>
  <si>
    <t xml:space="preserve">  Kiegészítő támogatás fogyatékos és demens személyek nappali intézményi ellátása</t>
  </si>
  <si>
    <t xml:space="preserve">    demens személyek nappali intézményi ellátása - társulás által történő feladatellátás</t>
  </si>
  <si>
    <t>Kiegészítő támogatás nyilvános könyvtári és közművelődési feladatokra</t>
  </si>
  <si>
    <t>Kiegészítő támogatás gyermekétkeztetés támogatására</t>
  </si>
  <si>
    <t>I.6.</t>
  </si>
  <si>
    <t>Kiegészítő támogatás nyilvános könyvtári és közm-i feladatokra</t>
  </si>
  <si>
    <t>Kieg.tám.óvodaped. és az e ped. munkáját kvetlenül segítők bértám-hoz</t>
  </si>
  <si>
    <t>Kieg.támog.fogyatékos és demens szem. nappali int.ellátása</t>
  </si>
  <si>
    <t>bútor, egyéb nagyértékű eszközök</t>
  </si>
  <si>
    <t>bútor, egyéb nagyértékű eszköz</t>
  </si>
  <si>
    <t>Savanyúvizes kutak védterület kijelölése (340/2007 sz. hat.) hidrogeológiai geodéziai anyag készítése</t>
  </si>
  <si>
    <t>Tájház pályázati önerő Lóczy u. 101.103. (203/2019.(VII.19.))</t>
  </si>
  <si>
    <t>KÖFOP-1.2.1. ASP központhoz való csatlakozás</t>
  </si>
  <si>
    <t xml:space="preserve">TOP-1.2.1-15 Széchényi Strand turisztikai infrastruktúra fejlesztés </t>
  </si>
  <si>
    <t xml:space="preserve">TOP-4.1.1-15 Egészségügyi alapellátás fejlesztése </t>
  </si>
  <si>
    <t>TOP-1.1.2-15 Balatonfüred és Balatonalmádi közös helyi foglalkoztatási együttműködés</t>
  </si>
  <si>
    <t>TOP-3.2.1-16-VE2-2017-00001 Fenntartható Energia és Klíma Akcióterv (SECAP) kidolgozása Veszprém megyében</t>
  </si>
  <si>
    <t>ebből: KÖFOP-1.2.1. ASP központhoz való csatlakozás</t>
  </si>
  <si>
    <t xml:space="preserve">           TOP-1.1.2-15 Balatonfüred és Balatonalmádi közös helyi foglalkoztatási együttműködés</t>
  </si>
  <si>
    <t xml:space="preserve">  Szent Benedek Általános Iskola, Középiskola, Alapfokú Művészeti Iskola és Kollégium nyugdíjasa részére elmaradt jub. jutalom</t>
  </si>
  <si>
    <t>ebből: KÖFOP-1.2.1. ASP központhoz való csatlakozás (migráció)</t>
  </si>
  <si>
    <t xml:space="preserve">    GINOP-7.1.9-17-2017-0001 Gyógyhelyfejlesztés Balatonfüred Városában pályázaton kívül </t>
  </si>
  <si>
    <t>GINOP Négy évszakos kulturális és rendezvényhelyszín mélygarázs koncepció terve</t>
  </si>
  <si>
    <t>TOP-1.2.1-16. Társadalmi és környezeti szempontból fenntartható turizmusfejlesztés</t>
  </si>
  <si>
    <t>Papsoka felhagyott temetők IV. ütem előkészítés</t>
  </si>
  <si>
    <t xml:space="preserve">Magyar Fitkid Szövetség XVII. FITKID Európa Kupa támogatása </t>
  </si>
  <si>
    <t xml:space="preserve">Szent Benedek Általános Iskola, Középiskola, Alapfokú Művészeti Iskola és Kollégium </t>
  </si>
  <si>
    <t xml:space="preserve">2. Református Óvoda - Iskolalépcső u. </t>
  </si>
  <si>
    <t xml:space="preserve">3. Hunyadi u. Óvoda </t>
  </si>
  <si>
    <t>Könyvtár környezetrendezés</t>
  </si>
  <si>
    <t>Hunyadi utcai óvoda infrastruktúrális fejlesztése hazai forrás</t>
  </si>
  <si>
    <t>Lakás vásárlás Kéki u. II.104. lakás</t>
  </si>
  <si>
    <t>Lakás vásárlás Kéki u. II.102. lakás</t>
  </si>
  <si>
    <t>Lakás vásárlás Kéki u. II.103. lakás</t>
  </si>
  <si>
    <t xml:space="preserve">    Gótika Kft.</t>
  </si>
  <si>
    <t xml:space="preserve">    Balatonfüredi Vízisport és Szabadidő Központ NKft. pótbefizetés </t>
  </si>
  <si>
    <t>352/3 hrsz-ú ingatlan 16/1496-od rész megvás. Táncsics u. 7/A</t>
  </si>
  <si>
    <t>Siske u. 9. 1992 hrsz-ú ingatlan megvásárlása 2019. évi rész</t>
  </si>
  <si>
    <t>Indiai külügyminiszter emléktábla faültetésnél</t>
  </si>
  <si>
    <t>Bocsár dülő 0118/33 ingatlanon létesítendő KIF hálózati kábel kiépítése</t>
  </si>
  <si>
    <t>054 hrsz-ú „rét, szántó, kivett út, szőlő, gyümölcsös” művelési ágú ingatlan megvásárlása a Nemzeti Földalapkezelő Szervezettől</t>
  </si>
  <si>
    <t xml:space="preserve"> - lakásvásárláshoz önkormányzati visszatérítendő támogatás </t>
  </si>
  <si>
    <t xml:space="preserve">  - Siófok Város Önkormányzata síremlék állításhoz</t>
  </si>
  <si>
    <t xml:space="preserve">  - Állami Szívkórház</t>
  </si>
  <si>
    <t xml:space="preserve">  - Veszprém Megyei Rendőrfőkapítányság támogatása Balatonfüredi Rendőrkapitányság udvar felújítása</t>
  </si>
  <si>
    <t xml:space="preserve">  - Veszprém Megyei Rendőrfőkapítányság támogatása Balatonfüredi Rendőrkapitányság inteligens gyalogátkelőhely</t>
  </si>
  <si>
    <t xml:space="preserve"> - Nádor u. 45. helyi védett épület felújítása 194/2019 (VI.28.)</t>
  </si>
  <si>
    <t xml:space="preserve"> - Major u. 1. helyi védett épület felújítása 195/2019 (VI.28.)</t>
  </si>
  <si>
    <t xml:space="preserve"> - Siske u. 49. helyi védett épület felújítása 196/2019 (VI.28.)</t>
  </si>
  <si>
    <t xml:space="preserve"> - Bajcsy Zs. U. 18. helyi védett épület felújítása 197/2019 (VI.28.)</t>
  </si>
  <si>
    <t xml:space="preserve"> - Segesdi u. 10. helyi védett épület felújítása 198/2019 (VI.28.)</t>
  </si>
  <si>
    <t xml:space="preserve"> -lakás vásárláshoz vissza nem térítendő támogatás</t>
  </si>
  <si>
    <t>Könyvtár belső felújítás TOP 7.1.1-16-H-030-4</t>
  </si>
  <si>
    <t>2019. évi módosított ei. III.</t>
  </si>
  <si>
    <t>2019. évi módosított ei.  III.</t>
  </si>
  <si>
    <t>2019. ÉVI MÓDOSÍTOTT EI. III.</t>
  </si>
  <si>
    <t>Kulturális közművelődési érdekeltségnövelő támogatás</t>
  </si>
  <si>
    <t>Kubinyi program Balatonfüredi Városi Helytörténeti Gyűjtemény</t>
  </si>
  <si>
    <t>Muzeális intézmények szakmai támogatása (Kubinyi Ágoston pogram)</t>
  </si>
  <si>
    <t xml:space="preserve">           TOP-3.2.1-16-VE2-2017-00001 Fenntartható Energia és Klíma Akcióterv (SECAP) kidolgozása Veszprém megyében</t>
  </si>
  <si>
    <t xml:space="preserve">TOP-1.1.1-16 Ipari parkok, iparterületek fejlesztése (Új pályázatként) </t>
  </si>
  <si>
    <t>Alkony program koncepció terv</t>
  </si>
  <si>
    <t>Önkormányzati ingatlanok karbantartás (Iskola u. 2. kéménybontás, Kossuth u. 24. tetőjavítás)</t>
  </si>
  <si>
    <t xml:space="preserve">      Rendkívüli települési támogatás egyedi döntéssel</t>
  </si>
  <si>
    <t>Rendkívüli települési támogatás</t>
  </si>
  <si>
    <t>Települési temetési támogatás</t>
  </si>
  <si>
    <t xml:space="preserve">   Balatonfüred Kulturális Nonprofit Kft. Füred Gastro rendezvény</t>
  </si>
  <si>
    <t>Kelemen Ház adomány</t>
  </si>
  <si>
    <t>Konyha mennyezet gipszkarton</t>
  </si>
  <si>
    <t xml:space="preserve">Astória homlokzat felújítás  </t>
  </si>
  <si>
    <t>Astória homlokzat felújítás folytatása</t>
  </si>
  <si>
    <t>ZP-1-2019 zártkeri besorolású földrészletek mg-i hasznosítását segítő, infrastrukturális hátterét biztosító fejlesztések</t>
  </si>
  <si>
    <t>Petőfi S. utca- Séta utca csomópont döntés előkészítő terv</t>
  </si>
  <si>
    <t>TOP-1.1.2-15 Balatonfüred és Balatonalmádi közös helyi foglalkoztatási együttműködés eszközbeszerzés</t>
  </si>
  <si>
    <t>TOP-1.1.1-16 Ipari parkok, iparterületek fejlesztése (Új pályázatként)</t>
  </si>
  <si>
    <t>GIRO kártyaolvasó</t>
  </si>
  <si>
    <t>Kisértékű eszköz szivattyú</t>
  </si>
  <si>
    <t>Ivópohár gyűjtemény 70 db-os</t>
  </si>
  <si>
    <t xml:space="preserve">Városi Bölcsőde faház </t>
  </si>
  <si>
    <t>Eötvös Loránd emlékkő</t>
  </si>
  <si>
    <t>Kodolányi János emléktábla</t>
  </si>
  <si>
    <t>403/27/A hrsz-ú ingatlan "egyéb épület, áruház" megvásárlása 2019. évi ütem</t>
  </si>
  <si>
    <t xml:space="preserve"> - TOP-1.1.1-15-VE-2016-00010 a TOP-1.1.1-15-VE1-2016-00010 azonosítószámú, „Térségi kihatással bíró ipartelepítés infrastrukturális feltételeinek megteremtése Balatonfüreden" visszafizetés lemondás miatt</t>
  </si>
  <si>
    <t xml:space="preserve"> - Füred Stúdió Kft. fejlesztési támogatás (műszaki fejlesztés pályázati önrész)</t>
  </si>
  <si>
    <t>TOP-1.1.1-16</t>
  </si>
  <si>
    <t xml:space="preserve"> Ipari parkok, iparterületek fejlesztése</t>
  </si>
  <si>
    <t>2020.év</t>
  </si>
  <si>
    <t>AZ ÖNKORMÁNYZAT KIADÁSI ELŐIRÁNYZATAI INTÉZMÉNYEK SZERINTI BONTÁSBAN KIEMELT ELŐIRÁNYZATONKÉNT    2019. ÉV</t>
  </si>
  <si>
    <t xml:space="preserve">TOP-1.2.1-15 Széchenyi strand fejlesztése pályázat </t>
  </si>
  <si>
    <t xml:space="preserve">TOP-2.1.3.-16  Csapadékcsatorna hálózat fejlesztése pályázat </t>
  </si>
  <si>
    <t xml:space="preserve">TOP-2.1.2-15 Zöld város kialakítása pályázat </t>
  </si>
  <si>
    <t xml:space="preserve">TOP-1.1.1.-15  Ipari parkok, iparterületek fejlesztése pályázat </t>
  </si>
  <si>
    <t xml:space="preserve">122/4 hrsz-ú ingatlanon épülő mélygarázsban 58db parkoló megvásárlása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</si>
</sst>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"/>
    <numFmt numFmtId="166" formatCode="0.0"/>
    <numFmt numFmtId="167" formatCode="#,##0;[Red]#,##0"/>
  </numFmts>
  <fonts count="5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i/>
      <u/>
      <sz val="10"/>
      <name val="Arial"/>
      <family val="2"/>
      <charset val="238"/>
    </font>
    <font>
      <b/>
      <sz val="10"/>
      <name val="Times New Roman"/>
      <family val="1"/>
      <charset val="238"/>
    </font>
    <font>
      <i/>
      <sz val="12"/>
      <name val="Arial"/>
      <family val="2"/>
      <charset val="238"/>
    </font>
    <font>
      <i/>
      <sz val="14"/>
      <name val="Arial"/>
      <family val="2"/>
      <charset val="238"/>
    </font>
    <font>
      <sz val="12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8"/>
      </patternFill>
    </fill>
  </fills>
  <borders count="1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41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7" fillId="0" borderId="0"/>
    <xf numFmtId="0" fontId="13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ill="0" applyBorder="0" applyAlignment="0" applyProtection="0"/>
    <xf numFmtId="43" fontId="33" fillId="0" borderId="0" applyFill="0" applyBorder="0" applyAlignment="0" applyProtection="0"/>
    <xf numFmtId="43" fontId="2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7" fillId="26" borderId="7" applyNumberFormat="0" applyFont="0" applyAlignment="0" applyProtection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7" fillId="0" borderId="0"/>
    <xf numFmtId="0" fontId="42" fillId="0" borderId="0"/>
    <xf numFmtId="0" fontId="43" fillId="0" borderId="0"/>
    <xf numFmtId="0" fontId="43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8" fillId="24" borderId="2" applyNumberFormat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1" fillId="25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0" fillId="0" borderId="0"/>
    <xf numFmtId="0" fontId="15" fillId="22" borderId="0" applyNumberFormat="0" applyBorder="0" applyAlignment="0" applyProtection="0"/>
    <xf numFmtId="0" fontId="16" fillId="28" borderId="0" applyNumberFormat="0" applyBorder="0" applyAlignment="0" applyProtection="0"/>
    <xf numFmtId="0" fontId="17" fillId="23" borderId="1" applyNumberFormat="0" applyAlignment="0" applyProtection="0"/>
    <xf numFmtId="0" fontId="27" fillId="0" borderId="0"/>
    <xf numFmtId="0" fontId="27" fillId="0" borderId="0"/>
    <xf numFmtId="0" fontId="14" fillId="0" borderId="0"/>
    <xf numFmtId="0" fontId="27" fillId="0" borderId="0"/>
    <xf numFmtId="0" fontId="14" fillId="0" borderId="0"/>
  </cellStyleXfs>
  <cellXfs count="1463">
    <xf numFmtId="0" fontId="0" fillId="0" borderId="0" xfId="0"/>
    <xf numFmtId="0" fontId="21" fillId="0" borderId="0" xfId="107" applyFont="1"/>
    <xf numFmtId="3" fontId="21" fillId="0" borderId="0" xfId="107" applyNumberFormat="1" applyFont="1"/>
    <xf numFmtId="3" fontId="21" fillId="0" borderId="0" xfId="107" applyNumberFormat="1" applyFont="1" applyFill="1"/>
    <xf numFmtId="0" fontId="21" fillId="0" borderId="0" xfId="107" applyFont="1" applyFill="1"/>
    <xf numFmtId="0" fontId="24" fillId="0" borderId="0" xfId="111" applyFont="1" applyFill="1" applyAlignment="1">
      <alignment horizontal="center" vertical="center" wrapText="1"/>
    </xf>
    <xf numFmtId="3" fontId="24" fillId="0" borderId="0" xfId="111" applyNumberFormat="1" applyFont="1" applyFill="1" applyAlignment="1">
      <alignment horizontal="center" vertical="center" wrapText="1"/>
    </xf>
    <xf numFmtId="0" fontId="25" fillId="0" borderId="0" xfId="107" applyFont="1" applyFill="1" applyBorder="1"/>
    <xf numFmtId="0" fontId="25" fillId="0" borderId="0" xfId="107" applyFont="1"/>
    <xf numFmtId="0" fontId="27" fillId="0" borderId="0" xfId="107" applyFont="1"/>
    <xf numFmtId="0" fontId="27" fillId="0" borderId="0" xfId="114" applyFont="1"/>
    <xf numFmtId="0" fontId="27" fillId="0" borderId="0" xfId="114" applyFont="1" applyAlignment="1">
      <alignment horizontal="center" vertical="center"/>
    </xf>
    <xf numFmtId="0" fontId="21" fillId="0" borderId="0" xfId="114" applyFont="1" applyBorder="1"/>
    <xf numFmtId="0" fontId="21" fillId="0" borderId="0" xfId="114" applyFont="1"/>
    <xf numFmtId="0" fontId="21" fillId="29" borderId="0" xfId="114" applyFont="1" applyFill="1" applyBorder="1"/>
    <xf numFmtId="0" fontId="21" fillId="29" borderId="0" xfId="114" applyFont="1" applyFill="1"/>
    <xf numFmtId="0" fontId="27" fillId="0" borderId="0" xfId="114" applyFont="1" applyBorder="1"/>
    <xf numFmtId="0" fontId="27" fillId="0" borderId="0" xfId="114" applyFont="1" applyAlignment="1">
      <alignment wrapText="1"/>
    </xf>
    <xf numFmtId="0" fontId="28" fillId="0" borderId="0" xfId="114" applyFont="1" applyBorder="1"/>
    <xf numFmtId="0" fontId="28" fillId="29" borderId="0" xfId="114" applyFont="1" applyFill="1" applyBorder="1"/>
    <xf numFmtId="0" fontId="29" fillId="29" borderId="0" xfId="114" applyFont="1" applyFill="1" applyBorder="1"/>
    <xf numFmtId="0" fontId="30" fillId="29" borderId="0" xfId="114" applyFont="1" applyFill="1" applyBorder="1"/>
    <xf numFmtId="0" fontId="31" fillId="29" borderId="0" xfId="114" applyFont="1" applyFill="1" applyBorder="1"/>
    <xf numFmtId="3" fontId="29" fillId="29" borderId="0" xfId="114" applyNumberFormat="1" applyFont="1" applyFill="1" applyBorder="1" applyAlignment="1">
      <alignment vertical="center"/>
    </xf>
    <xf numFmtId="0" fontId="29" fillId="29" borderId="0" xfId="114" applyFont="1" applyFill="1" applyBorder="1" applyAlignment="1">
      <alignment vertical="center"/>
    </xf>
    <xf numFmtId="0" fontId="28" fillId="29" borderId="0" xfId="114" applyFont="1" applyFill="1" applyBorder="1" applyAlignment="1">
      <alignment vertical="center" wrapText="1"/>
    </xf>
    <xf numFmtId="0" fontId="28" fillId="29" borderId="0" xfId="114" applyFont="1" applyFill="1" applyBorder="1" applyAlignment="1">
      <alignment vertical="center"/>
    </xf>
    <xf numFmtId="0" fontId="19" fillId="0" borderId="11" xfId="114" applyFont="1" applyBorder="1"/>
    <xf numFmtId="0" fontId="19" fillId="0" borderId="11" xfId="114" applyFont="1" applyFill="1" applyBorder="1"/>
    <xf numFmtId="0" fontId="19" fillId="0" borderId="0" xfId="114" applyFont="1" applyBorder="1"/>
    <xf numFmtId="0" fontId="19" fillId="0" borderId="0" xfId="114" applyFont="1" applyFill="1" applyBorder="1"/>
    <xf numFmtId="0" fontId="29" fillId="0" borderId="0" xfId="114" applyFont="1" applyBorder="1"/>
    <xf numFmtId="0" fontId="21" fillId="0" borderId="0" xfId="114" applyFont="1" applyAlignment="1">
      <alignment wrapText="1"/>
    </xf>
    <xf numFmtId="0" fontId="26" fillId="0" borderId="0" xfId="114" applyFont="1" applyAlignment="1">
      <alignment horizontal="center" vertical="center" wrapText="1"/>
    </xf>
    <xf numFmtId="0" fontId="27" fillId="29" borderId="0" xfId="114" applyFont="1" applyFill="1" applyBorder="1"/>
    <xf numFmtId="3" fontId="27" fillId="29" borderId="0" xfId="114" applyNumberFormat="1" applyFont="1" applyFill="1" applyBorder="1" applyAlignment="1">
      <alignment horizontal="right"/>
    </xf>
    <xf numFmtId="3" fontId="27" fillId="29" borderId="0" xfId="114" applyNumberFormat="1" applyFont="1" applyFill="1" applyBorder="1"/>
    <xf numFmtId="0" fontId="27" fillId="29" borderId="0" xfId="114" applyFont="1" applyFill="1"/>
    <xf numFmtId="3" fontId="27" fillId="0" borderId="0" xfId="114" applyNumberFormat="1" applyFont="1" applyBorder="1"/>
    <xf numFmtId="0" fontId="27" fillId="0" borderId="0" xfId="114" applyFont="1" applyFill="1" applyBorder="1"/>
    <xf numFmtId="3" fontId="27" fillId="0" borderId="0" xfId="114" applyNumberFormat="1" applyFont="1" applyFill="1" applyBorder="1"/>
    <xf numFmtId="0" fontId="27" fillId="0" borderId="0" xfId="114" applyFont="1" applyFill="1"/>
    <xf numFmtId="3" fontId="21" fillId="0" borderId="0" xfId="114" applyNumberFormat="1" applyFont="1" applyBorder="1"/>
    <xf numFmtId="3" fontId="27" fillId="0" borderId="0" xfId="107" applyNumberFormat="1" applyFont="1"/>
    <xf numFmtId="0" fontId="26" fillId="0" borderId="0" xfId="114" applyFont="1" applyAlignment="1">
      <alignment horizontal="center"/>
    </xf>
    <xf numFmtId="0" fontId="27" fillId="0" borderId="0" xfId="107" applyFont="1" applyAlignment="1">
      <alignment horizontal="right"/>
    </xf>
    <xf numFmtId="0" fontId="24" fillId="0" borderId="0" xfId="114" applyFont="1" applyFill="1" applyBorder="1" applyAlignment="1">
      <alignment horizontal="left" vertical="center" wrapText="1" indent="1"/>
    </xf>
    <xf numFmtId="3" fontId="24" fillId="0" borderId="0" xfId="114" applyNumberFormat="1" applyFont="1" applyFill="1" applyBorder="1"/>
    <xf numFmtId="0" fontId="24" fillId="0" borderId="0" xfId="114" applyFont="1" applyFill="1" applyBorder="1" applyAlignment="1">
      <alignment horizontal="left" vertical="center" wrapText="1" indent="2"/>
    </xf>
    <xf numFmtId="3" fontId="24" fillId="0" borderId="0" xfId="114" applyNumberFormat="1" applyFont="1" applyFill="1" applyBorder="1" applyAlignment="1">
      <alignment horizontal="right" wrapText="1"/>
    </xf>
    <xf numFmtId="0" fontId="25" fillId="0" borderId="0" xfId="114" applyFont="1" applyFill="1" applyBorder="1"/>
    <xf numFmtId="3" fontId="25" fillId="0" borderId="0" xfId="114" applyNumberFormat="1" applyFont="1" applyFill="1" applyBorder="1" applyAlignment="1">
      <alignment horizontal="right" wrapText="1"/>
    </xf>
    <xf numFmtId="0" fontId="25" fillId="0" borderId="0" xfId="114" applyFont="1" applyFill="1" applyBorder="1" applyAlignment="1">
      <alignment horizontal="left" vertical="center" wrapText="1" indent="2"/>
    </xf>
    <xf numFmtId="0" fontId="25" fillId="0" borderId="0" xfId="114" applyFont="1" applyFill="1" applyBorder="1" applyAlignment="1">
      <alignment horizontal="left" vertical="center" wrapText="1" indent="1"/>
    </xf>
    <xf numFmtId="0" fontId="27" fillId="0" borderId="0" xfId="111" applyFont="1" applyFill="1"/>
    <xf numFmtId="3" fontId="21" fillId="0" borderId="0" xfId="104" applyNumberFormat="1" applyFont="1" applyBorder="1" applyAlignment="1">
      <alignment horizontal="center"/>
    </xf>
    <xf numFmtId="3" fontId="27" fillId="0" borderId="0" xfId="104" applyNumberFormat="1" applyFont="1"/>
    <xf numFmtId="3" fontId="27" fillId="0" borderId="0" xfId="104" applyNumberFormat="1" applyFont="1" applyAlignment="1">
      <alignment horizontal="center"/>
    </xf>
    <xf numFmtId="0" fontId="27" fillId="0" borderId="0" xfId="104" applyFont="1"/>
    <xf numFmtId="3" fontId="21" fillId="0" borderId="0" xfId="104" applyNumberFormat="1" applyFont="1" applyBorder="1"/>
    <xf numFmtId="3" fontId="27" fillId="0" borderId="0" xfId="104" applyNumberFormat="1" applyFont="1" applyFill="1" applyBorder="1"/>
    <xf numFmtId="3" fontId="27" fillId="0" borderId="0" xfId="104" applyNumberFormat="1" applyFont="1" applyFill="1"/>
    <xf numFmtId="3" fontId="27" fillId="0" borderId="0" xfId="104" applyNumberFormat="1" applyFont="1" applyFill="1" applyAlignment="1">
      <alignment horizontal="center"/>
    </xf>
    <xf numFmtId="0" fontId="27" fillId="0" borderId="0" xfId="104" applyFont="1" applyFill="1"/>
    <xf numFmtId="167" fontId="27" fillId="0" borderId="0" xfId="107" applyNumberFormat="1" applyFont="1" applyFill="1" applyBorder="1" applyAlignment="1">
      <alignment horizontal="right" vertical="top" wrapText="1"/>
    </xf>
    <xf numFmtId="167" fontId="27" fillId="0" borderId="0" xfId="107" applyNumberFormat="1" applyFont="1" applyBorder="1" applyAlignment="1">
      <alignment horizontal="right" vertical="top" wrapText="1"/>
    </xf>
    <xf numFmtId="3" fontId="21" fillId="0" borderId="0" xfId="104" applyNumberFormat="1" applyFont="1"/>
    <xf numFmtId="3" fontId="21" fillId="0" borderId="0" xfId="104" applyNumberFormat="1" applyFont="1" applyAlignment="1">
      <alignment horizontal="center"/>
    </xf>
    <xf numFmtId="0" fontId="21" fillId="0" borderId="0" xfId="104" applyFont="1"/>
    <xf numFmtId="0" fontId="27" fillId="0" borderId="0" xfId="107" applyFont="1" applyAlignment="1">
      <alignment wrapText="1"/>
    </xf>
    <xf numFmtId="3" fontId="25" fillId="0" borderId="0" xfId="104" applyNumberFormat="1" applyFont="1" applyAlignment="1">
      <alignment wrapText="1"/>
    </xf>
    <xf numFmtId="0" fontId="27" fillId="0" borderId="11" xfId="114" applyFont="1" applyBorder="1"/>
    <xf numFmtId="0" fontId="27" fillId="0" borderId="14" xfId="114" applyFont="1" applyBorder="1"/>
    <xf numFmtId="0" fontId="27" fillId="0" borderId="15" xfId="114" applyFont="1" applyBorder="1"/>
    <xf numFmtId="3" fontId="25" fillId="0" borderId="17" xfId="104" applyNumberFormat="1" applyFont="1" applyFill="1" applyBorder="1" applyAlignment="1">
      <alignment wrapText="1"/>
    </xf>
    <xf numFmtId="3" fontId="24" fillId="0" borderId="18" xfId="104" applyNumberFormat="1" applyFont="1" applyBorder="1" applyAlignment="1">
      <alignment wrapText="1"/>
    </xf>
    <xf numFmtId="0" fontId="20" fillId="29" borderId="19" xfId="114" applyFont="1" applyFill="1" applyBorder="1"/>
    <xf numFmtId="0" fontId="25" fillId="0" borderId="20" xfId="114" applyFont="1" applyBorder="1" applyAlignment="1">
      <alignment horizontal="left" wrapText="1"/>
    </xf>
    <xf numFmtId="0" fontId="25" fillId="29" borderId="20" xfId="113" applyFont="1" applyFill="1" applyBorder="1" applyAlignment="1">
      <alignment wrapText="1"/>
    </xf>
    <xf numFmtId="0" fontId="24" fillId="0" borderId="20" xfId="114" applyFont="1" applyBorder="1" applyAlignment="1">
      <alignment horizontal="left" wrapText="1"/>
    </xf>
    <xf numFmtId="0" fontId="24" fillId="0" borderId="20" xfId="113" applyFont="1" applyBorder="1" applyAlignment="1">
      <alignment horizontal="left" wrapText="1"/>
    </xf>
    <xf numFmtId="0" fontId="24" fillId="29" borderId="20" xfId="114" applyFont="1" applyFill="1" applyBorder="1" applyAlignment="1">
      <alignment horizontal="left" wrapText="1"/>
    </xf>
    <xf numFmtId="0" fontId="24" fillId="29" borderId="20" xfId="114" applyFont="1" applyFill="1" applyBorder="1" applyAlignment="1">
      <alignment horizontal="left" vertical="top" wrapText="1"/>
    </xf>
    <xf numFmtId="0" fontId="19" fillId="0" borderId="20" xfId="114" applyFont="1" applyBorder="1" applyAlignment="1">
      <alignment horizontal="left" wrapText="1" indent="2"/>
    </xf>
    <xf numFmtId="3" fontId="19" fillId="0" borderId="19" xfId="114" applyNumberFormat="1" applyFont="1" applyBorder="1" applyAlignment="1">
      <alignment horizontal="right"/>
    </xf>
    <xf numFmtId="3" fontId="19" fillId="0" borderId="19" xfId="114" applyNumberFormat="1" applyFont="1" applyBorder="1"/>
    <xf numFmtId="3" fontId="19" fillId="0" borderId="19" xfId="114" applyNumberFormat="1" applyFont="1" applyFill="1" applyBorder="1"/>
    <xf numFmtId="3" fontId="20" fillId="0" borderId="19" xfId="114" applyNumberFormat="1" applyFont="1" applyBorder="1"/>
    <xf numFmtId="0" fontId="24" fillId="0" borderId="21" xfId="114" applyFont="1" applyFill="1" applyBorder="1" applyAlignment="1">
      <alignment horizontal="center" vertical="center" wrapText="1"/>
    </xf>
    <xf numFmtId="3" fontId="21" fillId="29" borderId="19" xfId="114" applyNumberFormat="1" applyFont="1" applyFill="1" applyBorder="1" applyAlignment="1">
      <alignment horizontal="right" wrapText="1"/>
    </xf>
    <xf numFmtId="3" fontId="27" fillId="29" borderId="19" xfId="114" applyNumberFormat="1" applyFont="1" applyFill="1" applyBorder="1" applyAlignment="1">
      <alignment horizontal="right" wrapText="1"/>
    </xf>
    <xf numFmtId="3" fontId="24" fillId="0" borderId="19" xfId="114" applyNumberFormat="1" applyFont="1" applyFill="1" applyBorder="1" applyAlignment="1">
      <alignment horizontal="right" wrapText="1"/>
    </xf>
    <xf numFmtId="3" fontId="25" fillId="0" borderId="19" xfId="114" applyNumberFormat="1" applyFont="1" applyFill="1" applyBorder="1" applyAlignment="1">
      <alignment horizontal="right" wrapText="1"/>
    </xf>
    <xf numFmtId="3" fontId="24" fillId="0" borderId="23" xfId="104" applyNumberFormat="1" applyFont="1" applyBorder="1" applyAlignment="1">
      <alignment wrapText="1"/>
    </xf>
    <xf numFmtId="3" fontId="21" fillId="29" borderId="20" xfId="114" applyNumberFormat="1" applyFont="1" applyFill="1" applyBorder="1" applyAlignment="1">
      <alignment horizontal="right" wrapText="1"/>
    </xf>
    <xf numFmtId="3" fontId="27" fillId="29" borderId="20" xfId="114" applyNumberFormat="1" applyFont="1" applyFill="1" applyBorder="1" applyAlignment="1">
      <alignment horizontal="right" wrapText="1"/>
    </xf>
    <xf numFmtId="3" fontId="19" fillId="0" borderId="27" xfId="114" applyNumberFormat="1" applyFont="1" applyBorder="1" applyAlignment="1">
      <alignment horizontal="right"/>
    </xf>
    <xf numFmtId="0" fontId="19" fillId="0" borderId="17" xfId="107" applyFont="1" applyBorder="1" applyAlignment="1">
      <alignment wrapText="1"/>
    </xf>
    <xf numFmtId="0" fontId="21" fillId="0" borderId="0" xfId="114" applyFont="1" applyFill="1" applyBorder="1"/>
    <xf numFmtId="0" fontId="21" fillId="0" borderId="0" xfId="111" applyFont="1" applyFill="1"/>
    <xf numFmtId="3" fontId="21" fillId="0" borderId="0" xfId="104" applyNumberFormat="1" applyFont="1" applyFill="1" applyBorder="1"/>
    <xf numFmtId="3" fontId="21" fillId="0" borderId="0" xfId="104" applyNumberFormat="1" applyFont="1" applyFill="1"/>
    <xf numFmtId="3" fontId="21" fillId="0" borderId="0" xfId="104" applyNumberFormat="1" applyFont="1" applyFill="1" applyAlignment="1">
      <alignment horizontal="center"/>
    </xf>
    <xf numFmtId="0" fontId="21" fillId="0" borderId="0" xfId="104" applyFont="1" applyFill="1"/>
    <xf numFmtId="167" fontId="21" fillId="0" borderId="0" xfId="107" applyNumberFormat="1" applyFont="1" applyBorder="1" applyAlignment="1">
      <alignment horizontal="right" vertical="top" wrapText="1"/>
    </xf>
    <xf numFmtId="0" fontId="0" fillId="0" borderId="0" xfId="0" applyFont="1"/>
    <xf numFmtId="3" fontId="20" fillId="29" borderId="19" xfId="114" applyNumberFormat="1" applyFont="1" applyFill="1" applyBorder="1" applyAlignment="1">
      <alignment horizontal="right" wrapText="1"/>
    </xf>
    <xf numFmtId="3" fontId="19" fillId="29" borderId="19" xfId="108" applyNumberFormat="1" applyFont="1" applyFill="1" applyBorder="1"/>
    <xf numFmtId="0" fontId="19" fillId="0" borderId="20" xfId="108" applyFont="1" applyFill="1" applyBorder="1"/>
    <xf numFmtId="0" fontId="19" fillId="0" borderId="19" xfId="0" applyFont="1" applyBorder="1"/>
    <xf numFmtId="0" fontId="19" fillId="0" borderId="19" xfId="108" applyFont="1" applyFill="1" applyBorder="1"/>
    <xf numFmtId="0" fontId="20" fillId="0" borderId="19" xfId="108" applyFont="1" applyFill="1" applyBorder="1"/>
    <xf numFmtId="0" fontId="19" fillId="0" borderId="0" xfId="0" applyFont="1"/>
    <xf numFmtId="0" fontId="20" fillId="0" borderId="20" xfId="108" applyFont="1" applyFill="1" applyBorder="1"/>
    <xf numFmtId="3" fontId="20" fillId="0" borderId="19" xfId="108" applyNumberFormat="1" applyFont="1" applyFill="1" applyBorder="1"/>
    <xf numFmtId="3" fontId="20" fillId="29" borderId="19" xfId="108" applyNumberFormat="1" applyFont="1" applyFill="1" applyBorder="1"/>
    <xf numFmtId="4" fontId="20" fillId="0" borderId="19" xfId="108" applyNumberFormat="1" applyFont="1" applyFill="1" applyBorder="1"/>
    <xf numFmtId="4" fontId="19" fillId="0" borderId="19" xfId="108" applyNumberFormat="1" applyFont="1" applyFill="1" applyBorder="1"/>
    <xf numFmtId="0" fontId="19" fillId="0" borderId="20" xfId="109" applyFont="1" applyFill="1" applyBorder="1"/>
    <xf numFmtId="3" fontId="19" fillId="0" borderId="19" xfId="108" applyNumberFormat="1" applyFont="1" applyFill="1" applyBorder="1"/>
    <xf numFmtId="165" fontId="19" fillId="29" borderId="19" xfId="108" applyNumberFormat="1" applyFont="1" applyFill="1" applyBorder="1"/>
    <xf numFmtId="0" fontId="19" fillId="0" borderId="20" xfId="0" applyFont="1" applyBorder="1"/>
    <xf numFmtId="2" fontId="19" fillId="0" borderId="19" xfId="108" applyNumberFormat="1" applyFont="1" applyFill="1" applyBorder="1"/>
    <xf numFmtId="0" fontId="19" fillId="0" borderId="19" xfId="108" applyFont="1" applyBorder="1"/>
    <xf numFmtId="0" fontId="19" fillId="0" borderId="20" xfId="108" applyFont="1" applyFill="1" applyBorder="1" applyAlignment="1">
      <alignment wrapText="1"/>
    </xf>
    <xf numFmtId="0" fontId="22" fillId="0" borderId="19" xfId="108" applyFont="1" applyFill="1" applyBorder="1"/>
    <xf numFmtId="3" fontId="22" fillId="0" borderId="19" xfId="108" applyNumberFormat="1" applyFont="1" applyFill="1" applyBorder="1"/>
    <xf numFmtId="3" fontId="22" fillId="29" borderId="19" xfId="108" applyNumberFormat="1" applyFont="1" applyFill="1" applyBorder="1"/>
    <xf numFmtId="2" fontId="20" fillId="0" borderId="19" xfId="108" applyNumberFormat="1" applyFont="1" applyFill="1" applyBorder="1"/>
    <xf numFmtId="1" fontId="19" fillId="0" borderId="19" xfId="108" applyNumberFormat="1" applyFont="1" applyFill="1" applyBorder="1"/>
    <xf numFmtId="165" fontId="19" fillId="0" borderId="19" xfId="108" applyNumberFormat="1" applyFont="1" applyFill="1" applyBorder="1"/>
    <xf numFmtId="2" fontId="19" fillId="0" borderId="19" xfId="108" applyNumberFormat="1" applyFont="1" applyBorder="1"/>
    <xf numFmtId="0" fontId="19" fillId="0" borderId="19" xfId="108" applyFont="1" applyFill="1" applyBorder="1" applyAlignment="1">
      <alignment wrapText="1"/>
    </xf>
    <xf numFmtId="0" fontId="22" fillId="0" borderId="19" xfId="108" applyFont="1" applyFill="1" applyBorder="1" applyAlignment="1">
      <alignment wrapText="1"/>
    </xf>
    <xf numFmtId="1" fontId="20" fillId="0" borderId="19" xfId="108" applyNumberFormat="1" applyFont="1" applyFill="1" applyBorder="1"/>
    <xf numFmtId="4" fontId="19" fillId="29" borderId="19" xfId="108" applyNumberFormat="1" applyFont="1" applyFill="1" applyBorder="1"/>
    <xf numFmtId="2" fontId="19" fillId="0" borderId="22" xfId="108" applyNumberFormat="1" applyFont="1" applyFill="1" applyBorder="1"/>
    <xf numFmtId="0" fontId="19" fillId="0" borderId="22" xfId="108" applyFont="1" applyFill="1" applyBorder="1"/>
    <xf numFmtId="3" fontId="19" fillId="0" borderId="22" xfId="108" applyNumberFormat="1" applyFont="1" applyFill="1" applyBorder="1"/>
    <xf numFmtId="3" fontId="20" fillId="0" borderId="26" xfId="114" applyNumberFormat="1" applyFont="1" applyBorder="1"/>
    <xf numFmtId="3" fontId="20" fillId="0" borderId="28" xfId="114" applyNumberFormat="1" applyFont="1" applyBorder="1"/>
    <xf numFmtId="3" fontId="19" fillId="29" borderId="19" xfId="114" applyNumberFormat="1" applyFont="1" applyFill="1" applyBorder="1" applyAlignment="1">
      <alignment horizontal="right" wrapText="1"/>
    </xf>
    <xf numFmtId="4" fontId="19" fillId="29" borderId="19" xfId="114" applyNumberFormat="1" applyFont="1" applyFill="1" applyBorder="1" applyAlignment="1">
      <alignment horizontal="right" wrapText="1"/>
    </xf>
    <xf numFmtId="3" fontId="19" fillId="29" borderId="27" xfId="114" applyNumberFormat="1" applyFont="1" applyFill="1" applyBorder="1" applyAlignment="1">
      <alignment horizontal="right" wrapText="1"/>
    </xf>
    <xf numFmtId="0" fontId="20" fillId="29" borderId="19" xfId="114" applyFont="1" applyFill="1" applyBorder="1" applyAlignment="1">
      <alignment vertical="center"/>
    </xf>
    <xf numFmtId="3" fontId="20" fillId="29" borderId="28" xfId="114" applyNumberFormat="1" applyFont="1" applyFill="1" applyBorder="1" applyAlignment="1">
      <alignment horizontal="right" wrapText="1"/>
    </xf>
    <xf numFmtId="4" fontId="27" fillId="0" borderId="0" xfId="114" applyNumberFormat="1" applyFont="1" applyBorder="1"/>
    <xf numFmtId="0" fontId="19" fillId="0" borderId="16" xfId="107" applyFont="1" applyBorder="1" applyAlignment="1">
      <alignment wrapText="1"/>
    </xf>
    <xf numFmtId="0" fontId="20" fillId="0" borderId="16" xfId="107" applyFont="1" applyBorder="1" applyAlignment="1">
      <alignment wrapText="1"/>
    </xf>
    <xf numFmtId="0" fontId="20" fillId="0" borderId="18" xfId="107" applyFont="1" applyBorder="1" applyAlignment="1">
      <alignment wrapText="1"/>
    </xf>
    <xf numFmtId="3" fontId="25" fillId="0" borderId="19" xfId="114" applyNumberFormat="1" applyFont="1" applyBorder="1"/>
    <xf numFmtId="3" fontId="24" fillId="0" borderId="19" xfId="114" applyNumberFormat="1" applyFont="1" applyBorder="1"/>
    <xf numFmtId="3" fontId="24" fillId="0" borderId="19" xfId="114" applyNumberFormat="1" applyFont="1" applyBorder="1" applyAlignment="1">
      <alignment horizontal="right" wrapText="1"/>
    </xf>
    <xf numFmtId="3" fontId="24" fillId="29" borderId="19" xfId="114" applyNumberFormat="1" applyFont="1" applyFill="1" applyBorder="1" applyAlignment="1">
      <alignment horizontal="right" wrapText="1"/>
    </xf>
    <xf numFmtId="3" fontId="24" fillId="29" borderId="19" xfId="114" applyNumberFormat="1" applyFont="1" applyFill="1" applyBorder="1" applyAlignment="1">
      <alignment horizontal="right" vertical="center" wrapText="1"/>
    </xf>
    <xf numFmtId="4" fontId="27" fillId="29" borderId="22" xfId="114" applyNumberFormat="1" applyFont="1" applyFill="1" applyBorder="1" applyAlignment="1">
      <alignment horizontal="right" wrapText="1"/>
    </xf>
    <xf numFmtId="4" fontId="27" fillId="29" borderId="29" xfId="114" applyNumberFormat="1" applyFont="1" applyFill="1" applyBorder="1" applyAlignment="1">
      <alignment horizontal="right" wrapText="1"/>
    </xf>
    <xf numFmtId="3" fontId="20" fillId="29" borderId="20" xfId="114" applyNumberFormat="1" applyFont="1" applyFill="1" applyBorder="1" applyAlignment="1">
      <alignment horizontal="right" wrapText="1"/>
    </xf>
    <xf numFmtId="3" fontId="19" fillId="29" borderId="20" xfId="114" applyNumberFormat="1" applyFont="1" applyFill="1" applyBorder="1" applyAlignment="1">
      <alignment horizontal="right" wrapText="1"/>
    </xf>
    <xf numFmtId="4" fontId="19" fillId="29" borderId="20" xfId="114" applyNumberFormat="1" applyFont="1" applyFill="1" applyBorder="1" applyAlignment="1">
      <alignment horizontal="right" wrapText="1"/>
    </xf>
    <xf numFmtId="3" fontId="19" fillId="29" borderId="29" xfId="114" applyNumberFormat="1" applyFont="1" applyFill="1" applyBorder="1" applyAlignment="1">
      <alignment horizontal="right" wrapText="1"/>
    </xf>
    <xf numFmtId="3" fontId="20" fillId="29" borderId="30" xfId="114" applyNumberFormat="1" applyFont="1" applyFill="1" applyBorder="1" applyAlignment="1">
      <alignment horizontal="right" wrapText="1"/>
    </xf>
    <xf numFmtId="3" fontId="20" fillId="29" borderId="31" xfId="114" applyNumberFormat="1" applyFont="1" applyFill="1" applyBorder="1" applyAlignment="1">
      <alignment horizontal="right" wrapText="1"/>
    </xf>
    <xf numFmtId="3" fontId="19" fillId="0" borderId="20" xfId="114" applyNumberFormat="1" applyFont="1" applyBorder="1" applyAlignment="1">
      <alignment horizontal="right"/>
    </xf>
    <xf numFmtId="3" fontId="20" fillId="0" borderId="20" xfId="114" applyNumberFormat="1" applyFont="1" applyBorder="1"/>
    <xf numFmtId="3" fontId="19" fillId="0" borderId="20" xfId="114" applyNumberFormat="1" applyFont="1" applyBorder="1"/>
    <xf numFmtId="3" fontId="20" fillId="0" borderId="32" xfId="114" applyNumberFormat="1" applyFont="1" applyBorder="1" applyAlignment="1">
      <alignment horizontal="right"/>
    </xf>
    <xf numFmtId="0" fontId="21" fillId="0" borderId="0" xfId="0" applyFont="1"/>
    <xf numFmtId="3" fontId="19" fillId="0" borderId="28" xfId="114" applyNumberFormat="1" applyFont="1" applyBorder="1" applyAlignment="1">
      <alignment horizontal="right"/>
    </xf>
    <xf numFmtId="2" fontId="27" fillId="0" borderId="0" xfId="114" applyNumberFormat="1" applyFont="1" applyBorder="1"/>
    <xf numFmtId="3" fontId="32" fillId="29" borderId="19" xfId="114" applyNumberFormat="1" applyFont="1" applyFill="1" applyBorder="1" applyAlignment="1">
      <alignment horizontal="right" wrapText="1"/>
    </xf>
    <xf numFmtId="3" fontId="20" fillId="29" borderId="35" xfId="114" applyNumberFormat="1" applyFont="1" applyFill="1" applyBorder="1" applyAlignment="1">
      <alignment horizontal="right" wrapText="1"/>
    </xf>
    <xf numFmtId="4" fontId="19" fillId="29" borderId="35" xfId="114" applyNumberFormat="1" applyFont="1" applyFill="1" applyBorder="1" applyAlignment="1">
      <alignment horizontal="right" wrapText="1"/>
    </xf>
    <xf numFmtId="3" fontId="19" fillId="0" borderId="32" xfId="114" applyNumberFormat="1" applyFont="1" applyBorder="1"/>
    <xf numFmtId="3" fontId="19" fillId="0" borderId="32" xfId="114" applyNumberFormat="1" applyFont="1" applyFill="1" applyBorder="1"/>
    <xf numFmtId="3" fontId="20" fillId="29" borderId="36" xfId="114" applyNumberFormat="1" applyFont="1" applyFill="1" applyBorder="1" applyAlignment="1">
      <alignment horizontal="right" wrapText="1"/>
    </xf>
    <xf numFmtId="0" fontId="19" fillId="29" borderId="35" xfId="114" applyFont="1" applyFill="1" applyBorder="1"/>
    <xf numFmtId="3" fontId="19" fillId="29" borderId="35" xfId="114" applyNumberFormat="1" applyFont="1" applyFill="1" applyBorder="1" applyAlignment="1">
      <alignment horizontal="right" wrapText="1"/>
    </xf>
    <xf numFmtId="0" fontId="19" fillId="29" borderId="35" xfId="114" applyFont="1" applyFill="1" applyBorder="1" applyAlignment="1">
      <alignment vertical="center"/>
    </xf>
    <xf numFmtId="0" fontId="20" fillId="29" borderId="35" xfId="114" applyFont="1" applyFill="1" applyBorder="1" applyAlignment="1">
      <alignment vertical="center"/>
    </xf>
    <xf numFmtId="0" fontId="20" fillId="0" borderId="35" xfId="114" applyFont="1" applyBorder="1"/>
    <xf numFmtId="0" fontId="20" fillId="29" borderId="20" xfId="114" applyFont="1" applyFill="1" applyBorder="1"/>
    <xf numFmtId="0" fontId="20" fillId="29" borderId="20" xfId="114" applyFont="1" applyFill="1" applyBorder="1" applyAlignment="1">
      <alignment vertical="center"/>
    </xf>
    <xf numFmtId="4" fontId="19" fillId="29" borderId="29" xfId="114" applyNumberFormat="1" applyFont="1" applyFill="1" applyBorder="1" applyAlignment="1">
      <alignment horizontal="right" wrapText="1"/>
    </xf>
    <xf numFmtId="0" fontId="19" fillId="0" borderId="37" xfId="114" applyFont="1" applyBorder="1" applyAlignment="1">
      <alignment wrapText="1"/>
    </xf>
    <xf numFmtId="0" fontId="20" fillId="0" borderId="37" xfId="114" applyFont="1" applyBorder="1" applyAlignment="1">
      <alignment wrapText="1"/>
    </xf>
    <xf numFmtId="3" fontId="20" fillId="0" borderId="38" xfId="114" applyNumberFormat="1" applyFont="1" applyBorder="1"/>
    <xf numFmtId="3" fontId="20" fillId="0" borderId="39" xfId="114" applyNumberFormat="1" applyFont="1" applyBorder="1"/>
    <xf numFmtId="3" fontId="20" fillId="0" borderId="43" xfId="114" applyNumberFormat="1" applyFont="1" applyBorder="1"/>
    <xf numFmtId="0" fontId="21" fillId="29" borderId="45" xfId="114" applyFont="1" applyFill="1" applyBorder="1" applyAlignment="1">
      <alignment horizontal="center" vertical="center" wrapText="1"/>
    </xf>
    <xf numFmtId="4" fontId="27" fillId="29" borderId="20" xfId="114" applyNumberFormat="1" applyFont="1" applyFill="1" applyBorder="1" applyAlignment="1">
      <alignment horizontal="right" wrapText="1"/>
    </xf>
    <xf numFmtId="0" fontId="20" fillId="0" borderId="46" xfId="107" applyFont="1" applyBorder="1" applyAlignment="1">
      <alignment wrapText="1"/>
    </xf>
    <xf numFmtId="0" fontId="19" fillId="0" borderId="23" xfId="107" applyFont="1" applyBorder="1" applyAlignment="1">
      <alignment wrapText="1"/>
    </xf>
    <xf numFmtId="0" fontId="19" fillId="0" borderId="46" xfId="107" applyFont="1" applyBorder="1" applyAlignment="1">
      <alignment wrapText="1"/>
    </xf>
    <xf numFmtId="0" fontId="24" fillId="0" borderId="48" xfId="114" applyFont="1" applyFill="1" applyBorder="1" applyAlignment="1">
      <alignment horizontal="center" vertical="center" wrapText="1"/>
    </xf>
    <xf numFmtId="0" fontId="19" fillId="29" borderId="23" xfId="114" applyFont="1" applyFill="1" applyBorder="1" applyAlignment="1">
      <alignment wrapText="1"/>
    </xf>
    <xf numFmtId="0" fontId="19" fillId="29" borderId="16" xfId="114" applyFont="1" applyFill="1" applyBorder="1" applyAlignment="1">
      <alignment wrapText="1"/>
    </xf>
    <xf numFmtId="0" fontId="19" fillId="29" borderId="16" xfId="113" applyFont="1" applyFill="1" applyBorder="1" applyAlignment="1">
      <alignment wrapText="1"/>
    </xf>
    <xf numFmtId="0" fontId="20" fillId="0" borderId="17" xfId="107" applyFont="1" applyBorder="1" applyAlignment="1">
      <alignment wrapText="1"/>
    </xf>
    <xf numFmtId="0" fontId="0" fillId="0" borderId="0" xfId="0" applyFill="1"/>
    <xf numFmtId="0" fontId="19" fillId="0" borderId="0" xfId="0" applyFont="1" applyFill="1"/>
    <xf numFmtId="3" fontId="21" fillId="29" borderId="31" xfId="114" applyNumberFormat="1" applyFont="1" applyFill="1" applyBorder="1" applyAlignment="1">
      <alignment horizontal="right" wrapText="1"/>
    </xf>
    <xf numFmtId="0" fontId="19" fillId="29" borderId="37" xfId="114" applyFont="1" applyFill="1" applyBorder="1" applyAlignment="1">
      <alignment wrapText="1"/>
    </xf>
    <xf numFmtId="0" fontId="19" fillId="0" borderId="37" xfId="114" applyFont="1" applyFill="1" applyBorder="1" applyAlignment="1">
      <alignment wrapText="1"/>
    </xf>
    <xf numFmtId="3" fontId="19" fillId="0" borderId="37" xfId="114" applyNumberFormat="1" applyFont="1" applyFill="1" applyBorder="1" applyAlignment="1">
      <alignment wrapText="1"/>
    </xf>
    <xf numFmtId="3" fontId="24" fillId="0" borderId="27" xfId="114" applyNumberFormat="1" applyFont="1" applyFill="1" applyBorder="1" applyAlignment="1">
      <alignment horizontal="right" wrapText="1"/>
    </xf>
    <xf numFmtId="3" fontId="20" fillId="0" borderId="27" xfId="114" applyNumberFormat="1" applyFont="1" applyBorder="1"/>
    <xf numFmtId="3" fontId="27" fillId="0" borderId="0" xfId="107" applyNumberFormat="1" applyFont="1" applyAlignment="1">
      <alignment horizontal="right"/>
    </xf>
    <xf numFmtId="3" fontId="19" fillId="0" borderId="27" xfId="107" applyNumberFormat="1" applyFont="1" applyBorder="1" applyAlignment="1">
      <alignment horizontal="right"/>
    </xf>
    <xf numFmtId="3" fontId="20" fillId="0" borderId="19" xfId="78" applyNumberFormat="1" applyFont="1" applyBorder="1" applyAlignment="1">
      <alignment horizontal="right"/>
    </xf>
    <xf numFmtId="3" fontId="20" fillId="0" borderId="22" xfId="78" applyNumberFormat="1" applyFont="1" applyBorder="1" applyAlignment="1">
      <alignment horizontal="right"/>
    </xf>
    <xf numFmtId="3" fontId="20" fillId="0" borderId="27" xfId="78" applyNumberFormat="1" applyFont="1" applyBorder="1" applyAlignment="1">
      <alignment horizontal="right"/>
    </xf>
    <xf numFmtId="3" fontId="19" fillId="0" borderId="19" xfId="78" applyNumberFormat="1" applyFont="1" applyBorder="1" applyAlignment="1">
      <alignment horizontal="right"/>
    </xf>
    <xf numFmtId="3" fontId="20" fillId="0" borderId="19" xfId="107" applyNumberFormat="1" applyFont="1" applyBorder="1" applyAlignment="1">
      <alignment horizontal="right"/>
    </xf>
    <xf numFmtId="3" fontId="19" fillId="0" borderId="19" xfId="107" applyNumberFormat="1" applyFont="1" applyBorder="1" applyAlignment="1">
      <alignment horizontal="right"/>
    </xf>
    <xf numFmtId="3" fontId="20" fillId="0" borderId="22" xfId="107" applyNumberFormat="1" applyFont="1" applyBorder="1" applyAlignment="1">
      <alignment horizontal="right"/>
    </xf>
    <xf numFmtId="3" fontId="19" fillId="0" borderId="30" xfId="78" applyNumberFormat="1" applyFont="1" applyBorder="1" applyAlignment="1">
      <alignment horizontal="right"/>
    </xf>
    <xf numFmtId="3" fontId="19" fillId="0" borderId="20" xfId="78" applyNumberFormat="1" applyFont="1" applyBorder="1" applyAlignment="1">
      <alignment horizontal="right"/>
    </xf>
    <xf numFmtId="3" fontId="20" fillId="0" borderId="20" xfId="78" applyNumberFormat="1" applyFont="1" applyBorder="1" applyAlignment="1">
      <alignment horizontal="right"/>
    </xf>
    <xf numFmtId="3" fontId="20" fillId="0" borderId="27" xfId="107" applyNumberFormat="1" applyFont="1" applyBorder="1" applyAlignment="1">
      <alignment horizontal="right"/>
    </xf>
    <xf numFmtId="3" fontId="20" fillId="0" borderId="29" xfId="78" applyNumberFormat="1" applyFont="1" applyBorder="1" applyAlignment="1">
      <alignment horizontal="right"/>
    </xf>
    <xf numFmtId="3" fontId="19" fillId="0" borderId="20" xfId="107" applyNumberFormat="1" applyFont="1" applyBorder="1" applyAlignment="1">
      <alignment horizontal="right"/>
    </xf>
    <xf numFmtId="3" fontId="19" fillId="0" borderId="27" xfId="78" applyNumberFormat="1" applyFont="1" applyBorder="1" applyAlignment="1">
      <alignment horizontal="right"/>
    </xf>
    <xf numFmtId="3" fontId="20" fillId="0" borderId="50" xfId="78" applyNumberFormat="1" applyFont="1" applyBorder="1" applyAlignment="1">
      <alignment horizontal="right"/>
    </xf>
    <xf numFmtId="3" fontId="20" fillId="0" borderId="20" xfId="107" applyNumberFormat="1" applyFont="1" applyBorder="1" applyAlignment="1">
      <alignment horizontal="right"/>
    </xf>
    <xf numFmtId="3" fontId="20" fillId="0" borderId="29" xfId="107" applyNumberFormat="1" applyFont="1" applyBorder="1" applyAlignment="1">
      <alignment horizontal="right"/>
    </xf>
    <xf numFmtId="3" fontId="25" fillId="0" borderId="19" xfId="104" applyNumberFormat="1" applyFont="1" applyFill="1" applyBorder="1" applyAlignment="1">
      <alignment horizontal="right"/>
    </xf>
    <xf numFmtId="3" fontId="24" fillId="0" borderId="22" xfId="104" applyNumberFormat="1" applyFont="1" applyBorder="1" applyAlignment="1">
      <alignment horizontal="right"/>
    </xf>
    <xf numFmtId="3" fontId="25" fillId="0" borderId="0" xfId="104" applyNumberFormat="1" applyFont="1" applyAlignment="1">
      <alignment horizontal="right"/>
    </xf>
    <xf numFmtId="3" fontId="25" fillId="0" borderId="52" xfId="107" applyNumberFormat="1" applyFont="1" applyFill="1" applyBorder="1" applyAlignment="1">
      <alignment horizontal="right"/>
    </xf>
    <xf numFmtId="3" fontId="24" fillId="0" borderId="22" xfId="111" applyNumberFormat="1" applyFont="1" applyFill="1" applyBorder="1" applyAlignment="1">
      <alignment horizontal="right"/>
    </xf>
    <xf numFmtId="0" fontId="27" fillId="0" borderId="0" xfId="106" applyFont="1"/>
    <xf numFmtId="0" fontId="21" fillId="0" borderId="0" xfId="106" applyFont="1"/>
    <xf numFmtId="3" fontId="20" fillId="0" borderId="19" xfId="106" applyNumberFormat="1" applyFont="1" applyBorder="1"/>
    <xf numFmtId="3" fontId="27" fillId="0" borderId="0" xfId="106" applyNumberFormat="1" applyFont="1"/>
    <xf numFmtId="0" fontId="21" fillId="0" borderId="0" xfId="106" applyFont="1" applyAlignment="1">
      <alignment horizontal="center"/>
    </xf>
    <xf numFmtId="0" fontId="21" fillId="0" borderId="0" xfId="106" applyFont="1" applyAlignment="1">
      <alignment horizontal="center" wrapText="1"/>
    </xf>
    <xf numFmtId="0" fontId="21" fillId="0" borderId="53" xfId="106" applyFont="1" applyBorder="1" applyAlignment="1">
      <alignment horizontal="center" vertical="center"/>
    </xf>
    <xf numFmtId="0" fontId="21" fillId="0" borderId="54" xfId="106" applyFont="1" applyBorder="1" applyAlignment="1">
      <alignment horizontal="center" vertical="center" wrapText="1"/>
    </xf>
    <xf numFmtId="3" fontId="19" fillId="0" borderId="20" xfId="106" applyNumberFormat="1" applyFont="1" applyBorder="1"/>
    <xf numFmtId="3" fontId="19" fillId="0" borderId="27" xfId="106" applyNumberFormat="1" applyFont="1" applyBorder="1"/>
    <xf numFmtId="0" fontId="27" fillId="0" borderId="37" xfId="106" applyFont="1" applyBorder="1"/>
    <xf numFmtId="0" fontId="21" fillId="0" borderId="37" xfId="106" applyFont="1" applyBorder="1"/>
    <xf numFmtId="3" fontId="20" fillId="0" borderId="20" xfId="106" applyNumberFormat="1" applyFont="1" applyBorder="1"/>
    <xf numFmtId="0" fontId="21" fillId="0" borderId="55" xfId="106" applyFont="1" applyBorder="1"/>
    <xf numFmtId="0" fontId="27" fillId="0" borderId="56" xfId="106" applyFont="1" applyBorder="1"/>
    <xf numFmtId="0" fontId="35" fillId="0" borderId="56" xfId="106" applyFont="1" applyBorder="1" applyAlignment="1">
      <alignment wrapText="1"/>
    </xf>
    <xf numFmtId="0" fontId="21" fillId="0" borderId="56" xfId="106" applyFont="1" applyBorder="1"/>
    <xf numFmtId="0" fontId="27" fillId="0" borderId="55" xfId="106" applyFont="1" applyBorder="1"/>
    <xf numFmtId="0" fontId="21" fillId="0" borderId="56" xfId="106" applyFont="1" applyBorder="1" applyAlignment="1">
      <alignment wrapText="1"/>
    </xf>
    <xf numFmtId="0" fontId="21" fillId="0" borderId="58" xfId="106" applyFont="1" applyBorder="1"/>
    <xf numFmtId="0" fontId="27" fillId="0" borderId="0" xfId="106" applyFont="1" applyAlignment="1">
      <alignment wrapText="1"/>
    </xf>
    <xf numFmtId="3" fontId="20" fillId="0" borderId="0" xfId="106" applyNumberFormat="1" applyFont="1" applyAlignment="1">
      <alignment horizontal="center"/>
    </xf>
    <xf numFmtId="3" fontId="19" fillId="0" borderId="0" xfId="106" applyNumberFormat="1" applyFont="1"/>
    <xf numFmtId="0" fontId="19" fillId="0" borderId="59" xfId="107" applyFont="1" applyBorder="1" applyAlignment="1">
      <alignment wrapText="1"/>
    </xf>
    <xf numFmtId="3" fontId="19" fillId="0" borderId="28" xfId="107" applyNumberFormat="1" applyFont="1" applyBorder="1"/>
    <xf numFmtId="3" fontId="21" fillId="29" borderId="30" xfId="114" applyNumberFormat="1" applyFont="1" applyFill="1" applyBorder="1" applyAlignment="1">
      <alignment horizontal="right" wrapText="1"/>
    </xf>
    <xf numFmtId="4" fontId="27" fillId="29" borderId="19" xfId="114" applyNumberFormat="1" applyFont="1" applyFill="1" applyBorder="1" applyAlignment="1">
      <alignment horizontal="right" wrapText="1"/>
    </xf>
    <xf numFmtId="3" fontId="19" fillId="0" borderId="60" xfId="114" applyNumberFormat="1" applyFont="1" applyBorder="1"/>
    <xf numFmtId="3" fontId="20" fillId="0" borderId="60" xfId="114" applyNumberFormat="1" applyFont="1" applyBorder="1"/>
    <xf numFmtId="0" fontId="25" fillId="0" borderId="60" xfId="114" applyFont="1" applyFill="1" applyBorder="1" applyAlignment="1">
      <alignment horizontal="left" vertical="center" wrapText="1"/>
    </xf>
    <xf numFmtId="0" fontId="25" fillId="0" borderId="60" xfId="103" applyFont="1" applyFill="1" applyBorder="1" applyAlignment="1">
      <alignment wrapText="1"/>
    </xf>
    <xf numFmtId="0" fontId="25" fillId="0" borderId="60" xfId="107" applyFont="1" applyBorder="1" applyAlignment="1">
      <alignment horizontal="left" wrapText="1"/>
    </xf>
    <xf numFmtId="0" fontId="25" fillId="0" borderId="60" xfId="107" applyFont="1" applyFill="1" applyBorder="1" applyAlignment="1">
      <alignment horizontal="left" wrapText="1"/>
    </xf>
    <xf numFmtId="0" fontId="25" fillId="0" borderId="17" xfId="107" applyFont="1" applyFill="1" applyBorder="1" applyAlignment="1">
      <alignment horizontal="left" wrapText="1"/>
    </xf>
    <xf numFmtId="0" fontId="25" fillId="0" borderId="60" xfId="0" applyFont="1" applyFill="1" applyBorder="1" applyAlignment="1">
      <alignment wrapText="1"/>
    </xf>
    <xf numFmtId="3" fontId="24" fillId="0" borderId="61" xfId="104" applyNumberFormat="1" applyFont="1" applyBorder="1" applyAlignment="1">
      <alignment wrapText="1"/>
    </xf>
    <xf numFmtId="0" fontId="25" fillId="0" borderId="16" xfId="107" applyFont="1" applyBorder="1" applyAlignment="1">
      <alignment horizontal="left" wrapText="1"/>
    </xf>
    <xf numFmtId="0" fontId="25" fillId="0" borderId="17" xfId="107" applyFont="1" applyBorder="1" applyAlignment="1">
      <alignment horizontal="left" wrapText="1"/>
    </xf>
    <xf numFmtId="3" fontId="25" fillId="0" borderId="16" xfId="104" applyNumberFormat="1" applyFont="1" applyFill="1" applyBorder="1" applyAlignment="1">
      <alignment wrapText="1"/>
    </xf>
    <xf numFmtId="3" fontId="24" fillId="0" borderId="16" xfId="104" applyNumberFormat="1" applyFont="1" applyBorder="1" applyAlignment="1">
      <alignment wrapText="1"/>
    </xf>
    <xf numFmtId="3" fontId="24" fillId="0" borderId="19" xfId="104" applyNumberFormat="1" applyFont="1" applyBorder="1" applyAlignment="1">
      <alignment horizontal="right"/>
    </xf>
    <xf numFmtId="3" fontId="25" fillId="0" borderId="46" xfId="104" applyNumberFormat="1" applyFont="1" applyFill="1" applyBorder="1" applyAlignment="1">
      <alignment wrapText="1"/>
    </xf>
    <xf numFmtId="3" fontId="19" fillId="0" borderId="31" xfId="78" applyNumberFormat="1" applyFont="1" applyBorder="1" applyAlignment="1">
      <alignment horizontal="right"/>
    </xf>
    <xf numFmtId="3" fontId="19" fillId="0" borderId="51" xfId="107" applyNumberFormat="1" applyFont="1" applyBorder="1" applyAlignment="1">
      <alignment horizontal="right"/>
    </xf>
    <xf numFmtId="3" fontId="19" fillId="0" borderId="19" xfId="78" applyNumberFormat="1" applyFont="1" applyBorder="1" applyAlignment="1">
      <alignment horizontal="right" wrapText="1"/>
    </xf>
    <xf numFmtId="3" fontId="19" fillId="0" borderId="60" xfId="114" applyNumberFormat="1" applyFont="1" applyBorder="1" applyAlignment="1">
      <alignment horizontal="right"/>
    </xf>
    <xf numFmtId="3" fontId="19" fillId="29" borderId="28" xfId="114" applyNumberFormat="1" applyFont="1" applyFill="1" applyBorder="1" applyAlignment="1">
      <alignment horizontal="right" wrapText="1"/>
    </xf>
    <xf numFmtId="4" fontId="19" fillId="29" borderId="28" xfId="114" applyNumberFormat="1" applyFont="1" applyFill="1" applyBorder="1" applyAlignment="1">
      <alignment horizontal="right" wrapText="1"/>
    </xf>
    <xf numFmtId="0" fontId="25" fillId="0" borderId="0" xfId="114" applyFont="1"/>
    <xf numFmtId="0" fontId="24" fillId="0" borderId="52" xfId="114" applyFont="1" applyBorder="1" applyAlignment="1">
      <alignment wrapText="1"/>
    </xf>
    <xf numFmtId="0" fontId="0" fillId="0" borderId="29" xfId="114" applyFont="1" applyBorder="1" applyAlignment="1">
      <alignment wrapText="1"/>
    </xf>
    <xf numFmtId="0" fontId="25" fillId="0" borderId="0" xfId="111" applyFont="1" applyFill="1" applyAlignment="1">
      <alignment wrapText="1"/>
    </xf>
    <xf numFmtId="0" fontId="25" fillId="0" borderId="60" xfId="111" applyFont="1" applyFill="1" applyBorder="1" applyAlignment="1">
      <alignment wrapText="1"/>
    </xf>
    <xf numFmtId="0" fontId="25" fillId="0" borderId="52" xfId="111" applyFont="1" applyFill="1" applyBorder="1" applyAlignment="1">
      <alignment wrapText="1"/>
    </xf>
    <xf numFmtId="0" fontId="25" fillId="0" borderId="16" xfId="111" applyFont="1" applyBorder="1" applyAlignment="1">
      <alignment wrapText="1"/>
    </xf>
    <xf numFmtId="3" fontId="25" fillId="0" borderId="0" xfId="111" applyNumberFormat="1" applyFont="1" applyFill="1" applyAlignment="1">
      <alignment horizontal="right"/>
    </xf>
    <xf numFmtId="3" fontId="36" fillId="0" borderId="0" xfId="111" applyNumberFormat="1" applyFont="1" applyFill="1" applyAlignment="1">
      <alignment horizontal="right"/>
    </xf>
    <xf numFmtId="3" fontId="19" fillId="0" borderId="60" xfId="78" applyNumberFormat="1" applyFont="1" applyBorder="1" applyAlignment="1">
      <alignment horizontal="right"/>
    </xf>
    <xf numFmtId="3" fontId="19" fillId="0" borderId="65" xfId="107" applyNumberFormat="1" applyFont="1" applyBorder="1" applyAlignment="1">
      <alignment horizontal="right"/>
    </xf>
    <xf numFmtId="3" fontId="19" fillId="0" borderId="60" xfId="107" applyNumberFormat="1" applyFont="1" applyBorder="1" applyAlignment="1">
      <alignment horizontal="right"/>
    </xf>
    <xf numFmtId="3" fontId="20" fillId="0" borderId="60" xfId="107" applyNumberFormat="1" applyFont="1" applyBorder="1" applyAlignment="1">
      <alignment horizontal="right"/>
    </xf>
    <xf numFmtId="3" fontId="20" fillId="0" borderId="60" xfId="78" applyNumberFormat="1" applyFont="1" applyBorder="1" applyAlignment="1">
      <alignment horizontal="right"/>
    </xf>
    <xf numFmtId="3" fontId="19" fillId="0" borderId="31" xfId="107" applyNumberFormat="1" applyFont="1" applyBorder="1" applyAlignment="1">
      <alignment horizontal="right"/>
    </xf>
    <xf numFmtId="3" fontId="20" fillId="0" borderId="61" xfId="78" applyNumberFormat="1" applyFont="1" applyBorder="1" applyAlignment="1">
      <alignment horizontal="right"/>
    </xf>
    <xf numFmtId="3" fontId="20" fillId="0" borderId="50" xfId="106" applyNumberFormat="1" applyFont="1" applyBorder="1"/>
    <xf numFmtId="3" fontId="24" fillId="0" borderId="0" xfId="114" applyNumberFormat="1" applyFont="1" applyFill="1" applyBorder="1" applyAlignment="1">
      <alignment horizontal="right"/>
    </xf>
    <xf numFmtId="3" fontId="27" fillId="29" borderId="28" xfId="114" applyNumberFormat="1" applyFont="1" applyFill="1" applyBorder="1" applyAlignment="1">
      <alignment horizontal="right" wrapText="1"/>
    </xf>
    <xf numFmtId="3" fontId="21" fillId="29" borderId="28" xfId="114" applyNumberFormat="1" applyFont="1" applyFill="1" applyBorder="1" applyAlignment="1">
      <alignment horizontal="right" wrapText="1"/>
    </xf>
    <xf numFmtId="4" fontId="19" fillId="29" borderId="26" xfId="114" applyNumberFormat="1" applyFont="1" applyFill="1" applyBorder="1" applyAlignment="1">
      <alignment horizontal="right" wrapText="1"/>
    </xf>
    <xf numFmtId="4" fontId="19" fillId="29" borderId="69" xfId="114" applyNumberFormat="1" applyFont="1" applyFill="1" applyBorder="1" applyAlignment="1">
      <alignment horizontal="right" wrapText="1"/>
    </xf>
    <xf numFmtId="3" fontId="19" fillId="0" borderId="28" xfId="114" applyNumberFormat="1" applyFont="1" applyBorder="1"/>
    <xf numFmtId="3" fontId="19" fillId="0" borderId="31" xfId="114" applyNumberFormat="1" applyFont="1" applyBorder="1" applyAlignment="1">
      <alignment horizontal="right"/>
    </xf>
    <xf numFmtId="3" fontId="19" fillId="0" borderId="28" xfId="114" applyNumberFormat="1" applyFont="1" applyFill="1" applyBorder="1" applyAlignment="1">
      <alignment horizontal="right"/>
    </xf>
    <xf numFmtId="3" fontId="19" fillId="0" borderId="28" xfId="114" applyNumberFormat="1" applyFont="1" applyFill="1" applyBorder="1"/>
    <xf numFmtId="3" fontId="19" fillId="0" borderId="28" xfId="107" applyNumberFormat="1" applyFont="1" applyBorder="1" applyAlignment="1">
      <alignment horizontal="right"/>
    </xf>
    <xf numFmtId="3" fontId="19" fillId="0" borderId="62" xfId="114" applyNumberFormat="1" applyFont="1" applyBorder="1" applyAlignment="1">
      <alignment horizontal="right"/>
    </xf>
    <xf numFmtId="3" fontId="25" fillId="0" borderId="28" xfId="104" applyNumberFormat="1" applyFont="1" applyFill="1" applyBorder="1" applyAlignment="1">
      <alignment horizontal="right"/>
    </xf>
    <xf numFmtId="3" fontId="19" fillId="0" borderId="71" xfId="107" applyNumberFormat="1" applyFont="1" applyBorder="1" applyAlignment="1">
      <alignment horizontal="right"/>
    </xf>
    <xf numFmtId="3" fontId="20" fillId="0" borderId="28" xfId="78" applyNumberFormat="1" applyFont="1" applyBorder="1" applyAlignment="1">
      <alignment horizontal="right"/>
    </xf>
    <xf numFmtId="3" fontId="19" fillId="0" borderId="28" xfId="78" applyNumberFormat="1" applyFont="1" applyBorder="1" applyAlignment="1">
      <alignment horizontal="right"/>
    </xf>
    <xf numFmtId="3" fontId="19" fillId="0" borderId="28" xfId="107" applyNumberFormat="1" applyFont="1" applyBorder="1" applyAlignment="1">
      <alignment horizontal="right" wrapText="1"/>
    </xf>
    <xf numFmtId="0" fontId="19" fillId="0" borderId="73" xfId="107" applyFont="1" applyBorder="1" applyAlignment="1">
      <alignment wrapText="1"/>
    </xf>
    <xf numFmtId="0" fontId="19" fillId="0" borderId="0" xfId="108" applyFont="1" applyBorder="1"/>
    <xf numFmtId="0" fontId="19" fillId="0" borderId="0" xfId="108" applyNumberFormat="1" applyFont="1" applyBorder="1"/>
    <xf numFmtId="2" fontId="19" fillId="0" borderId="0" xfId="108" applyNumberFormat="1" applyFont="1" applyBorder="1"/>
    <xf numFmtId="0" fontId="19" fillId="0" borderId="0" xfId="108" applyFont="1" applyFill="1" applyBorder="1"/>
    <xf numFmtId="0" fontId="20" fillId="0" borderId="72" xfId="108" applyFont="1" applyFill="1" applyBorder="1"/>
    <xf numFmtId="2" fontId="20" fillId="0" borderId="72" xfId="108" applyNumberFormat="1" applyFont="1" applyFill="1" applyBorder="1"/>
    <xf numFmtId="3" fontId="20" fillId="0" borderId="72" xfId="108" applyNumberFormat="1" applyFont="1" applyFill="1" applyBorder="1"/>
    <xf numFmtId="3" fontId="21" fillId="0" borderId="0" xfId="0" applyNumberFormat="1" applyFont="1"/>
    <xf numFmtId="3" fontId="19" fillId="0" borderId="44" xfId="114" applyNumberFormat="1" applyFont="1" applyBorder="1" applyAlignment="1">
      <alignment horizontal="right"/>
    </xf>
    <xf numFmtId="3" fontId="19" fillId="0" borderId="30" xfId="114" applyNumberFormat="1" applyFont="1" applyBorder="1" applyAlignment="1">
      <alignment horizontal="right"/>
    </xf>
    <xf numFmtId="3" fontId="19" fillId="0" borderId="71" xfId="114" applyNumberFormat="1" applyFont="1" applyBorder="1" applyAlignment="1">
      <alignment horizontal="right"/>
    </xf>
    <xf numFmtId="3" fontId="19" fillId="0" borderId="65" xfId="114" applyNumberFormat="1" applyFont="1" applyBorder="1" applyAlignment="1">
      <alignment horizontal="right"/>
    </xf>
    <xf numFmtId="3" fontId="19" fillId="0" borderId="30" xfId="114" applyNumberFormat="1" applyFont="1" applyBorder="1"/>
    <xf numFmtId="3" fontId="19" fillId="0" borderId="31" xfId="114" applyNumberFormat="1" applyFont="1" applyBorder="1"/>
    <xf numFmtId="3" fontId="19" fillId="0" borderId="65" xfId="114" applyNumberFormat="1" applyFont="1" applyBorder="1"/>
    <xf numFmtId="3" fontId="20" fillId="0" borderId="48" xfId="114" applyNumberFormat="1" applyFont="1" applyBorder="1"/>
    <xf numFmtId="3" fontId="20" fillId="0" borderId="74" xfId="114" applyNumberFormat="1" applyFont="1" applyBorder="1"/>
    <xf numFmtId="0" fontId="24" fillId="0" borderId="65" xfId="107" applyFont="1" applyFill="1" applyBorder="1" applyAlignment="1">
      <alignment horizontal="left" vertical="center" wrapText="1"/>
    </xf>
    <xf numFmtId="0" fontId="25" fillId="0" borderId="16" xfId="107" applyFont="1" applyFill="1" applyBorder="1" applyAlignment="1">
      <alignment horizontal="left" vertical="center" wrapText="1"/>
    </xf>
    <xf numFmtId="0" fontId="25" fillId="0" borderId="16" xfId="107" applyFont="1" applyBorder="1" applyAlignment="1">
      <alignment wrapText="1"/>
    </xf>
    <xf numFmtId="3" fontId="24" fillId="0" borderId="65" xfId="104" applyNumberFormat="1" applyFont="1" applyBorder="1" applyAlignment="1">
      <alignment wrapText="1"/>
    </xf>
    <xf numFmtId="0" fontId="20" fillId="0" borderId="19" xfId="108" applyFont="1" applyBorder="1"/>
    <xf numFmtId="165" fontId="20" fillId="29" borderId="19" xfId="108" applyNumberFormat="1" applyFont="1" applyFill="1" applyBorder="1"/>
    <xf numFmtId="3" fontId="19" fillId="0" borderId="27" xfId="0" applyNumberFormat="1" applyFont="1" applyBorder="1"/>
    <xf numFmtId="0" fontId="20" fillId="0" borderId="20" xfId="109" applyFont="1" applyFill="1" applyBorder="1"/>
    <xf numFmtId="0" fontId="20" fillId="0" borderId="20" xfId="0" applyFont="1" applyBorder="1"/>
    <xf numFmtId="0" fontId="22" fillId="0" borderId="20" xfId="108" applyFont="1" applyFill="1" applyBorder="1"/>
    <xf numFmtId="3" fontId="20" fillId="0" borderId="20" xfId="108" applyNumberFormat="1" applyFont="1" applyFill="1" applyBorder="1"/>
    <xf numFmtId="3" fontId="19" fillId="0" borderId="20" xfId="108" applyNumberFormat="1" applyFont="1" applyFill="1" applyBorder="1"/>
    <xf numFmtId="0" fontId="20" fillId="0" borderId="29" xfId="108" applyFont="1" applyFill="1" applyBorder="1"/>
    <xf numFmtId="0" fontId="19" fillId="0" borderId="22" xfId="108" applyFont="1" applyBorder="1"/>
    <xf numFmtId="3" fontId="20" fillId="29" borderId="51" xfId="114" applyNumberFormat="1" applyFont="1" applyFill="1" applyBorder="1" applyAlignment="1">
      <alignment horizontal="right" wrapText="1"/>
    </xf>
    <xf numFmtId="0" fontId="20" fillId="29" borderId="78" xfId="114" applyFont="1" applyFill="1" applyBorder="1" applyAlignment="1">
      <alignment vertical="center"/>
    </xf>
    <xf numFmtId="0" fontId="20" fillId="0" borderId="48" xfId="107" applyFont="1" applyBorder="1" applyAlignment="1">
      <alignment horizontal="center" vertical="center" wrapText="1"/>
    </xf>
    <xf numFmtId="3" fontId="19" fillId="0" borderId="47" xfId="114" applyNumberFormat="1" applyFont="1" applyBorder="1" applyAlignment="1">
      <alignment horizontal="right"/>
    </xf>
    <xf numFmtId="3" fontId="20" fillId="29" borderId="50" xfId="114" applyNumberFormat="1" applyFont="1" applyFill="1" applyBorder="1" applyAlignment="1">
      <alignment horizontal="right" wrapText="1"/>
    </xf>
    <xf numFmtId="4" fontId="19" fillId="29" borderId="60" xfId="114" applyNumberFormat="1" applyFont="1" applyFill="1" applyBorder="1" applyAlignment="1">
      <alignment horizontal="right" wrapText="1"/>
    </xf>
    <xf numFmtId="3" fontId="20" fillId="0" borderId="79" xfId="114" applyNumberFormat="1" applyFont="1" applyBorder="1"/>
    <xf numFmtId="3" fontId="19" fillId="0" borderId="36" xfId="114" applyNumberFormat="1" applyFont="1" applyBorder="1" applyAlignment="1">
      <alignment horizontal="right"/>
    </xf>
    <xf numFmtId="3" fontId="19" fillId="0" borderId="0" xfId="114" applyNumberFormat="1" applyFont="1" applyBorder="1" applyAlignment="1">
      <alignment horizontal="right"/>
    </xf>
    <xf numFmtId="3" fontId="25" fillId="0" borderId="80" xfId="104" applyNumberFormat="1" applyFont="1" applyFill="1" applyBorder="1" applyAlignment="1">
      <alignment wrapText="1"/>
    </xf>
    <xf numFmtId="3" fontId="24" fillId="0" borderId="19" xfId="104" applyNumberFormat="1" applyFont="1" applyFill="1" applyBorder="1" applyAlignment="1">
      <alignment horizontal="right"/>
    </xf>
    <xf numFmtId="3" fontId="20" fillId="0" borderId="28" xfId="107" applyNumberFormat="1" applyFont="1" applyBorder="1" applyAlignment="1">
      <alignment horizontal="right"/>
    </xf>
    <xf numFmtId="3" fontId="27" fillId="29" borderId="22" xfId="114" applyNumberFormat="1" applyFont="1" applyFill="1" applyBorder="1" applyAlignment="1">
      <alignment horizontal="right" wrapText="1"/>
    </xf>
    <xf numFmtId="3" fontId="32" fillId="29" borderId="0" xfId="114" applyNumberFormat="1" applyFont="1" applyFill="1" applyBorder="1"/>
    <xf numFmtId="0" fontId="37" fillId="29" borderId="0" xfId="114" applyFont="1" applyFill="1" applyBorder="1"/>
    <xf numFmtId="3" fontId="21" fillId="29" borderId="0" xfId="114" applyNumberFormat="1" applyFont="1" applyFill="1" applyBorder="1"/>
    <xf numFmtId="3" fontId="21" fillId="29" borderId="0" xfId="114" applyNumberFormat="1" applyFont="1" applyFill="1" applyBorder="1" applyAlignment="1">
      <alignment vertical="center"/>
    </xf>
    <xf numFmtId="0" fontId="27" fillId="29" borderId="0" xfId="114" applyFont="1" applyFill="1" applyBorder="1" applyAlignment="1">
      <alignment vertical="center" wrapText="1"/>
    </xf>
    <xf numFmtId="0" fontId="27" fillId="29" borderId="0" xfId="114" applyFont="1" applyFill="1" applyBorder="1" applyAlignment="1">
      <alignment vertical="center"/>
    </xf>
    <xf numFmtId="3" fontId="27" fillId="29" borderId="0" xfId="114" applyNumberFormat="1" applyFont="1" applyFill="1" applyBorder="1" applyAlignment="1">
      <alignment vertical="center"/>
    </xf>
    <xf numFmtId="0" fontId="21" fillId="29" borderId="0" xfId="114" applyFont="1" applyFill="1" applyBorder="1" applyAlignment="1">
      <alignment vertical="center"/>
    </xf>
    <xf numFmtId="3" fontId="21" fillId="29" borderId="0" xfId="114" applyNumberFormat="1" applyFont="1" applyFill="1" applyBorder="1" applyAlignment="1">
      <alignment horizontal="right" wrapText="1"/>
    </xf>
    <xf numFmtId="0" fontId="25" fillId="0" borderId="60" xfId="114" applyFont="1" applyFill="1" applyBorder="1" applyAlignment="1">
      <alignment wrapText="1"/>
    </xf>
    <xf numFmtId="3" fontId="25" fillId="30" borderId="60" xfId="98" applyNumberFormat="1" applyFont="1" applyFill="1" applyBorder="1" applyAlignment="1">
      <alignment wrapText="1"/>
    </xf>
    <xf numFmtId="0" fontId="25" fillId="0" borderId="16" xfId="111" applyFont="1" applyFill="1" applyBorder="1" applyAlignment="1">
      <alignment wrapText="1"/>
    </xf>
    <xf numFmtId="0" fontId="25" fillId="30" borderId="60" xfId="0" applyFont="1" applyFill="1" applyBorder="1" applyAlignment="1">
      <alignment wrapText="1"/>
    </xf>
    <xf numFmtId="0" fontId="25" fillId="0" borderId="17" xfId="107" applyFont="1" applyFill="1" applyBorder="1" applyAlignment="1">
      <alignment horizontal="left" vertical="center" wrapText="1"/>
    </xf>
    <xf numFmtId="0" fontId="25" fillId="0" borderId="34" xfId="105" applyFont="1" applyFill="1" applyBorder="1" applyAlignment="1">
      <alignment horizontal="left" vertical="center" wrapText="1"/>
    </xf>
    <xf numFmtId="3" fontId="25" fillId="0" borderId="60" xfId="98" applyNumberFormat="1" applyFont="1" applyFill="1" applyBorder="1" applyAlignment="1">
      <alignment wrapText="1"/>
    </xf>
    <xf numFmtId="0" fontId="25" fillId="0" borderId="60" xfId="0" applyFont="1" applyFill="1" applyBorder="1"/>
    <xf numFmtId="0" fontId="24" fillId="0" borderId="17" xfId="107" applyFont="1" applyBorder="1" applyAlignment="1">
      <alignment wrapText="1"/>
    </xf>
    <xf numFmtId="0" fontId="24" fillId="0" borderId="16" xfId="107" applyFont="1" applyFill="1" applyBorder="1" applyAlignment="1">
      <alignment wrapText="1"/>
    </xf>
    <xf numFmtId="0" fontId="24" fillId="0" borderId="16" xfId="107" applyFont="1" applyBorder="1" applyAlignment="1">
      <alignment wrapText="1"/>
    </xf>
    <xf numFmtId="3" fontId="24" fillId="0" borderId="27" xfId="104" applyNumberFormat="1" applyFont="1" applyFill="1" applyBorder="1" applyAlignment="1">
      <alignment horizontal="right"/>
    </xf>
    <xf numFmtId="3" fontId="24" fillId="0" borderId="67" xfId="104" applyNumberFormat="1" applyFont="1" applyBorder="1" applyAlignment="1">
      <alignment horizontal="right"/>
    </xf>
    <xf numFmtId="3" fontId="25" fillId="0" borderId="27" xfId="114" applyNumberFormat="1" applyFont="1" applyBorder="1"/>
    <xf numFmtId="3" fontId="24" fillId="0" borderId="27" xfId="114" applyNumberFormat="1" applyFont="1" applyBorder="1"/>
    <xf numFmtId="3" fontId="25" fillId="0" borderId="50" xfId="114" applyNumberFormat="1" applyFont="1" applyBorder="1"/>
    <xf numFmtId="0" fontId="19" fillId="29" borderId="83" xfId="114" applyFont="1" applyFill="1" applyBorder="1"/>
    <xf numFmtId="0" fontId="21" fillId="29" borderId="82" xfId="113" applyFont="1" applyFill="1" applyBorder="1" applyAlignment="1">
      <alignment wrapText="1"/>
    </xf>
    <xf numFmtId="0" fontId="27" fillId="29" borderId="37" xfId="113" applyFont="1" applyFill="1" applyBorder="1" applyAlignment="1">
      <alignment wrapText="1"/>
    </xf>
    <xf numFmtId="0" fontId="21" fillId="29" borderId="37" xfId="113" applyFont="1" applyFill="1" applyBorder="1" applyAlignment="1">
      <alignment wrapText="1"/>
    </xf>
    <xf numFmtId="0" fontId="21" fillId="29" borderId="37" xfId="114" applyFont="1" applyFill="1" applyBorder="1" applyAlignment="1">
      <alignment wrapText="1"/>
    </xf>
    <xf numFmtId="0" fontId="27" fillId="29" borderId="56" xfId="114" applyFont="1" applyFill="1" applyBorder="1" applyAlignment="1">
      <alignment wrapText="1"/>
    </xf>
    <xf numFmtId="0" fontId="27" fillId="29" borderId="37" xfId="114" applyFont="1" applyFill="1" applyBorder="1" applyAlignment="1">
      <alignment wrapText="1"/>
    </xf>
    <xf numFmtId="164" fontId="27" fillId="29" borderId="37" xfId="114" applyNumberFormat="1" applyFont="1" applyFill="1" applyBorder="1" applyAlignment="1">
      <alignment wrapText="1"/>
    </xf>
    <xf numFmtId="164" fontId="27" fillId="29" borderId="56" xfId="114" applyNumberFormat="1" applyFont="1" applyFill="1" applyBorder="1" applyAlignment="1">
      <alignment wrapText="1"/>
    </xf>
    <xf numFmtId="0" fontId="27" fillId="29" borderId="37" xfId="113" applyFont="1" applyFill="1" applyBorder="1" applyAlignment="1">
      <alignment horizontal="left" wrapText="1"/>
    </xf>
    <xf numFmtId="0" fontId="21" fillId="0" borderId="37" xfId="114" applyFont="1" applyBorder="1"/>
    <xf numFmtId="0" fontId="27" fillId="0" borderId="37" xfId="114" applyFont="1" applyBorder="1"/>
    <xf numFmtId="0" fontId="27" fillId="0" borderId="63" xfId="114" applyFont="1" applyBorder="1"/>
    <xf numFmtId="3" fontId="21" fillId="29" borderId="27" xfId="114" applyNumberFormat="1" applyFont="1" applyFill="1" applyBorder="1" applyAlignment="1">
      <alignment horizontal="right" wrapText="1"/>
    </xf>
    <xf numFmtId="3" fontId="27" fillId="29" borderId="27" xfId="114" applyNumberFormat="1" applyFont="1" applyFill="1" applyBorder="1" applyAlignment="1">
      <alignment horizontal="right" wrapText="1"/>
    </xf>
    <xf numFmtId="3" fontId="27" fillId="29" borderId="50" xfId="114" applyNumberFormat="1" applyFont="1" applyFill="1" applyBorder="1" applyAlignment="1">
      <alignment horizontal="right" wrapText="1"/>
    </xf>
    <xf numFmtId="3" fontId="32" fillId="29" borderId="27" xfId="114" applyNumberFormat="1" applyFont="1" applyFill="1" applyBorder="1" applyAlignment="1">
      <alignment horizontal="right" wrapText="1"/>
    </xf>
    <xf numFmtId="166" fontId="19" fillId="0" borderId="19" xfId="108" applyNumberFormat="1" applyFont="1" applyFill="1" applyBorder="1"/>
    <xf numFmtId="0" fontId="19" fillId="0" borderId="19" xfId="0" applyFont="1" applyBorder="1" applyAlignment="1">
      <alignment wrapText="1"/>
    </xf>
    <xf numFmtId="0" fontId="20" fillId="0" borderId="19" xfId="108" applyFont="1" applyFill="1" applyBorder="1" applyAlignment="1">
      <alignment wrapText="1"/>
    </xf>
    <xf numFmtId="0" fontId="19" fillId="0" borderId="19" xfId="109" applyFont="1" applyFill="1" applyBorder="1"/>
    <xf numFmtId="0" fontId="20" fillId="0" borderId="22" xfId="108" applyFont="1" applyFill="1" applyBorder="1" applyAlignment="1">
      <alignment wrapText="1"/>
    </xf>
    <xf numFmtId="3" fontId="20" fillId="0" borderId="29" xfId="114" applyNumberFormat="1" applyFont="1" applyBorder="1"/>
    <xf numFmtId="3" fontId="20" fillId="0" borderId="22" xfId="114" applyNumberFormat="1" applyFont="1" applyBorder="1"/>
    <xf numFmtId="3" fontId="20" fillId="0" borderId="50" xfId="114" applyNumberFormat="1" applyFont="1" applyBorder="1"/>
    <xf numFmtId="3" fontId="21" fillId="29" borderId="51" xfId="114" applyNumberFormat="1" applyFont="1" applyFill="1" applyBorder="1" applyAlignment="1">
      <alignment horizontal="right" wrapText="1"/>
    </xf>
    <xf numFmtId="3" fontId="27" fillId="29" borderId="27" xfId="114" applyNumberFormat="1" applyFont="1" applyFill="1" applyBorder="1"/>
    <xf numFmtId="3" fontId="27" fillId="29" borderId="60" xfId="114" applyNumberFormat="1" applyFont="1" applyFill="1" applyBorder="1" applyAlignment="1">
      <alignment horizontal="right" wrapText="1"/>
    </xf>
    <xf numFmtId="3" fontId="21" fillId="29" borderId="27" xfId="114" applyNumberFormat="1" applyFont="1" applyFill="1" applyBorder="1"/>
    <xf numFmtId="4" fontId="27" fillId="29" borderId="27" xfId="114" applyNumberFormat="1" applyFont="1" applyFill="1" applyBorder="1" applyAlignment="1">
      <alignment horizontal="right" wrapText="1"/>
    </xf>
    <xf numFmtId="3" fontId="20" fillId="0" borderId="67" xfId="114" applyNumberFormat="1" applyFont="1" applyBorder="1"/>
    <xf numFmtId="0" fontId="20" fillId="0" borderId="86" xfId="114" applyFont="1" applyBorder="1"/>
    <xf numFmtId="3" fontId="20" fillId="0" borderId="88" xfId="114" applyNumberFormat="1" applyFont="1" applyBorder="1"/>
    <xf numFmtId="3" fontId="24" fillId="0" borderId="50" xfId="104" applyNumberFormat="1" applyFont="1" applyBorder="1" applyAlignment="1">
      <alignment horizontal="right"/>
    </xf>
    <xf numFmtId="3" fontId="24" fillId="0" borderId="74" xfId="104" applyNumberFormat="1" applyFont="1" applyBorder="1" applyAlignment="1">
      <alignment horizontal="right"/>
    </xf>
    <xf numFmtId="4" fontId="19" fillId="29" borderId="27" xfId="114" applyNumberFormat="1" applyFont="1" applyFill="1" applyBorder="1" applyAlignment="1">
      <alignment horizontal="right" wrapText="1"/>
    </xf>
    <xf numFmtId="0" fontId="25" fillId="0" borderId="66" xfId="107" applyFont="1" applyFill="1" applyBorder="1" applyAlignment="1">
      <alignment horizontal="left" wrapText="1"/>
    </xf>
    <xf numFmtId="0" fontId="25" fillId="0" borderId="17" xfId="105" applyFont="1" applyFill="1" applyBorder="1" applyAlignment="1">
      <alignment horizontal="left" vertical="center" wrapText="1"/>
    </xf>
    <xf numFmtId="0" fontId="25" fillId="0" borderId="62" xfId="105" applyFont="1" applyFill="1" applyBorder="1" applyAlignment="1">
      <alignment horizontal="left" vertical="center" wrapText="1"/>
    </xf>
    <xf numFmtId="3" fontId="19" fillId="0" borderId="51" xfId="114" applyNumberFormat="1" applyFont="1" applyBorder="1"/>
    <xf numFmtId="3" fontId="19" fillId="0" borderId="27" xfId="114" applyNumberFormat="1" applyFont="1" applyBorder="1"/>
    <xf numFmtId="0" fontId="0" fillId="0" borderId="37" xfId="114" applyFont="1" applyBorder="1"/>
    <xf numFmtId="0" fontId="19" fillId="0" borderId="29" xfId="0" applyFont="1" applyBorder="1" applyAlignment="1">
      <alignment wrapText="1"/>
    </xf>
    <xf numFmtId="3" fontId="19" fillId="29" borderId="22" xfId="108" applyNumberFormat="1" applyFont="1" applyFill="1" applyBorder="1"/>
    <xf numFmtId="0" fontId="20" fillId="0" borderId="65" xfId="108" applyFont="1" applyFill="1" applyBorder="1" applyAlignment="1">
      <alignment horizontal="center" wrapText="1"/>
    </xf>
    <xf numFmtId="0" fontId="19" fillId="0" borderId="60" xfId="108" applyFont="1" applyFill="1" applyBorder="1" applyAlignment="1">
      <alignment horizontal="center"/>
    </xf>
    <xf numFmtId="0" fontId="20" fillId="0" borderId="60" xfId="108" applyFont="1" applyFill="1" applyBorder="1" applyAlignment="1">
      <alignment horizontal="center"/>
    </xf>
    <xf numFmtId="0" fontId="19" fillId="0" borderId="66" xfId="108" applyFont="1" applyFill="1" applyBorder="1" applyAlignment="1">
      <alignment horizontal="center"/>
    </xf>
    <xf numFmtId="0" fontId="19" fillId="0" borderId="60" xfId="108" applyFont="1" applyBorder="1"/>
    <xf numFmtId="0" fontId="19" fillId="0" borderId="61" xfId="108" applyFont="1" applyBorder="1"/>
    <xf numFmtId="3" fontId="19" fillId="0" borderId="80" xfId="114" applyNumberFormat="1" applyFont="1" applyBorder="1" applyAlignment="1">
      <alignment horizontal="right"/>
    </xf>
    <xf numFmtId="3" fontId="19" fillId="0" borderId="89" xfId="114" applyNumberFormat="1" applyFont="1" applyBorder="1" applyAlignment="1">
      <alignment horizontal="right"/>
    </xf>
    <xf numFmtId="3" fontId="19" fillId="0" borderId="90" xfId="114" applyNumberFormat="1" applyFont="1" applyBorder="1" applyAlignment="1">
      <alignment horizontal="right"/>
    </xf>
    <xf numFmtId="3" fontId="19" fillId="0" borderId="33" xfId="114" applyNumberFormat="1" applyFont="1" applyBorder="1" applyAlignment="1">
      <alignment horizontal="right"/>
    </xf>
    <xf numFmtId="0" fontId="19" fillId="0" borderId="86" xfId="114" applyFont="1" applyBorder="1" applyAlignment="1">
      <alignment wrapText="1"/>
    </xf>
    <xf numFmtId="3" fontId="19" fillId="0" borderId="80" xfId="114" applyNumberFormat="1" applyFont="1" applyBorder="1"/>
    <xf numFmtId="0" fontId="20" fillId="0" borderId="63" xfId="114" applyFont="1" applyBorder="1" applyAlignment="1">
      <alignment wrapText="1"/>
    </xf>
    <xf numFmtId="3" fontId="20" fillId="0" borderId="61" xfId="114" applyNumberFormat="1" applyFont="1" applyBorder="1"/>
    <xf numFmtId="0" fontId="24" fillId="0" borderId="48" xfId="107" applyFont="1" applyFill="1" applyBorder="1" applyAlignment="1">
      <alignment horizontal="center" vertical="center" wrapText="1"/>
    </xf>
    <xf numFmtId="3" fontId="19" fillId="0" borderId="39" xfId="114" applyNumberFormat="1" applyFont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7" fillId="0" borderId="0" xfId="0" applyFont="1" applyFill="1"/>
    <xf numFmtId="0" fontId="20" fillId="0" borderId="21" xfId="107" applyFont="1" applyBorder="1" applyAlignment="1">
      <alignment wrapText="1"/>
    </xf>
    <xf numFmtId="3" fontId="20" fillId="0" borderId="41" xfId="114" applyNumberFormat="1" applyFont="1" applyBorder="1" applyAlignment="1">
      <alignment horizontal="center" vertical="center" wrapText="1"/>
    </xf>
    <xf numFmtId="3" fontId="41" fillId="0" borderId="41" xfId="114" applyNumberFormat="1" applyFont="1" applyBorder="1" applyAlignment="1">
      <alignment horizontal="center" vertical="center" wrapText="1"/>
    </xf>
    <xf numFmtId="3" fontId="41" fillId="0" borderId="99" xfId="114" applyNumberFormat="1" applyFont="1" applyBorder="1" applyAlignment="1">
      <alignment horizontal="center" vertical="center" wrapText="1"/>
    </xf>
    <xf numFmtId="0" fontId="20" fillId="0" borderId="40" xfId="107" applyFont="1" applyBorder="1" applyAlignment="1">
      <alignment wrapText="1"/>
    </xf>
    <xf numFmtId="3" fontId="19" fillId="0" borderId="100" xfId="107" applyNumberFormat="1" applyFont="1" applyBorder="1"/>
    <xf numFmtId="3" fontId="19" fillId="0" borderId="101" xfId="107" applyNumberFormat="1" applyFont="1" applyBorder="1"/>
    <xf numFmtId="0" fontId="19" fillId="0" borderId="95" xfId="107" applyFont="1" applyBorder="1" applyAlignment="1">
      <alignment wrapText="1"/>
    </xf>
    <xf numFmtId="3" fontId="19" fillId="0" borderId="94" xfId="107" applyNumberFormat="1" applyFont="1" applyBorder="1"/>
    <xf numFmtId="0" fontId="19" fillId="29" borderId="75" xfId="114" applyFont="1" applyFill="1" applyBorder="1" applyAlignment="1">
      <alignment wrapText="1"/>
    </xf>
    <xf numFmtId="0" fontId="19" fillId="0" borderId="24" xfId="107" applyFont="1" applyBorder="1" applyAlignment="1">
      <alignment wrapText="1"/>
    </xf>
    <xf numFmtId="3" fontId="19" fillId="0" borderId="10" xfId="107" applyNumberFormat="1" applyFont="1" applyBorder="1"/>
    <xf numFmtId="3" fontId="19" fillId="0" borderId="100" xfId="107" applyNumberFormat="1" applyFont="1" applyBorder="1" applyAlignment="1">
      <alignment wrapText="1"/>
    </xf>
    <xf numFmtId="0" fontId="19" fillId="0" borderId="102" xfId="107" applyFont="1" applyBorder="1" applyAlignment="1">
      <alignment wrapText="1"/>
    </xf>
    <xf numFmtId="0" fontId="19" fillId="0" borderId="75" xfId="107" applyFont="1" applyBorder="1" applyAlignment="1">
      <alignment wrapText="1"/>
    </xf>
    <xf numFmtId="3" fontId="19" fillId="0" borderId="12" xfId="107" applyNumberFormat="1" applyFont="1" applyBorder="1"/>
    <xf numFmtId="0" fontId="19" fillId="29" borderId="75" xfId="113" applyFont="1" applyFill="1" applyBorder="1" applyAlignment="1">
      <alignment wrapText="1"/>
    </xf>
    <xf numFmtId="164" fontId="19" fillId="0" borderId="24" xfId="107" applyNumberFormat="1" applyFont="1" applyBorder="1" applyAlignment="1">
      <alignment wrapText="1"/>
    </xf>
    <xf numFmtId="3" fontId="19" fillId="0" borderId="15" xfId="107" applyNumberFormat="1" applyFont="1" applyBorder="1"/>
    <xf numFmtId="0" fontId="20" fillId="0" borderId="75" xfId="107" applyFont="1" applyBorder="1" applyAlignment="1">
      <alignment wrapText="1"/>
    </xf>
    <xf numFmtId="3" fontId="20" fillId="0" borderId="12" xfId="107" applyNumberFormat="1" applyFont="1" applyBorder="1"/>
    <xf numFmtId="3" fontId="20" fillId="0" borderId="93" xfId="107" applyNumberFormat="1" applyFont="1" applyBorder="1"/>
    <xf numFmtId="0" fontId="20" fillId="0" borderId="25" xfId="107" applyFont="1" applyBorder="1" applyAlignment="1">
      <alignment wrapText="1"/>
    </xf>
    <xf numFmtId="3" fontId="20" fillId="0" borderId="27" xfId="107" applyNumberFormat="1" applyFont="1" applyBorder="1"/>
    <xf numFmtId="0" fontId="20" fillId="0" borderId="24" xfId="107" applyFont="1" applyBorder="1" applyAlignment="1">
      <alignment wrapText="1"/>
    </xf>
    <xf numFmtId="3" fontId="20" fillId="0" borderId="100" xfId="107" applyNumberFormat="1" applyFont="1" applyBorder="1"/>
    <xf numFmtId="3" fontId="20" fillId="0" borderId="101" xfId="107" applyNumberFormat="1" applyFont="1" applyBorder="1"/>
    <xf numFmtId="0" fontId="20" fillId="0" borderId="102" xfId="107" applyFont="1" applyBorder="1" applyAlignment="1">
      <alignment wrapText="1"/>
    </xf>
    <xf numFmtId="3" fontId="20" fillId="0" borderId="10" xfId="107" applyNumberFormat="1" applyFont="1" applyBorder="1"/>
    <xf numFmtId="3" fontId="20" fillId="0" borderId="100" xfId="107" applyNumberFormat="1" applyFont="1" applyBorder="1" applyAlignment="1">
      <alignment wrapText="1"/>
    </xf>
    <xf numFmtId="3" fontId="20" fillId="0" borderId="101" xfId="107" applyNumberFormat="1" applyFont="1" applyBorder="1" applyAlignment="1">
      <alignment wrapText="1"/>
    </xf>
    <xf numFmtId="0" fontId="19" fillId="0" borderId="103" xfId="107" applyFont="1" applyBorder="1" applyAlignment="1">
      <alignment wrapText="1"/>
    </xf>
    <xf numFmtId="3" fontId="20" fillId="0" borderId="15" xfId="107" applyNumberFormat="1" applyFont="1" applyBorder="1"/>
    <xf numFmtId="3" fontId="19" fillId="0" borderId="104" xfId="107" applyNumberFormat="1" applyFont="1" applyBorder="1"/>
    <xf numFmtId="3" fontId="19" fillId="0" borderId="105" xfId="107" applyNumberFormat="1" applyFont="1" applyBorder="1"/>
    <xf numFmtId="164" fontId="19" fillId="0" borderId="75" xfId="107" applyNumberFormat="1" applyFont="1" applyBorder="1" applyAlignment="1">
      <alignment wrapText="1"/>
    </xf>
    <xf numFmtId="3" fontId="19" fillId="0" borderId="19" xfId="107" applyNumberFormat="1" applyFont="1" applyBorder="1" applyAlignment="1">
      <alignment wrapText="1"/>
    </xf>
    <xf numFmtId="3" fontId="19" fillId="0" borderId="106" xfId="107" applyNumberFormat="1" applyFont="1" applyBorder="1"/>
    <xf numFmtId="164" fontId="19" fillId="0" borderId="25" xfId="107" applyNumberFormat="1" applyFont="1" applyBorder="1" applyAlignment="1">
      <alignment wrapText="1"/>
    </xf>
    <xf numFmtId="3" fontId="19" fillId="0" borderId="14" xfId="107" applyNumberFormat="1" applyFont="1" applyBorder="1"/>
    <xf numFmtId="3" fontId="19" fillId="0" borderId="72" xfId="107" applyNumberFormat="1" applyFont="1" applyBorder="1" applyAlignment="1">
      <alignment wrapText="1"/>
    </xf>
    <xf numFmtId="3" fontId="19" fillId="0" borderId="91" xfId="107" applyNumberFormat="1" applyFont="1" applyBorder="1" applyAlignment="1">
      <alignment wrapText="1"/>
    </xf>
    <xf numFmtId="3" fontId="20" fillId="0" borderId="42" xfId="107" applyNumberFormat="1" applyFont="1" applyBorder="1"/>
    <xf numFmtId="3" fontId="20" fillId="0" borderId="99" xfId="107" applyNumberFormat="1" applyFont="1" applyBorder="1"/>
    <xf numFmtId="3" fontId="20" fillId="0" borderId="41" xfId="107" applyNumberFormat="1" applyFont="1" applyBorder="1"/>
    <xf numFmtId="0" fontId="20" fillId="0" borderId="21" xfId="107" applyFont="1" applyBorder="1" applyAlignment="1">
      <alignment horizontal="center" vertical="center" wrapText="1"/>
    </xf>
    <xf numFmtId="0" fontId="20" fillId="0" borderId="107" xfId="107" applyFont="1" applyBorder="1" applyAlignment="1">
      <alignment horizontal="center" vertical="center" wrapText="1"/>
    </xf>
    <xf numFmtId="0" fontId="19" fillId="29" borderId="102" xfId="114" applyFont="1" applyFill="1" applyBorder="1" applyAlignment="1">
      <alignment wrapText="1"/>
    </xf>
    <xf numFmtId="3" fontId="19" fillId="0" borderId="32" xfId="107" applyNumberFormat="1" applyFont="1" applyBorder="1"/>
    <xf numFmtId="0" fontId="19" fillId="0" borderId="30" xfId="107" applyFont="1" applyBorder="1" applyAlignment="1">
      <alignment wrapText="1"/>
    </xf>
    <xf numFmtId="3" fontId="19" fillId="0" borderId="31" xfId="107" applyNumberFormat="1" applyFont="1" applyBorder="1"/>
    <xf numFmtId="3" fontId="19" fillId="0" borderId="51" xfId="107" applyNumberFormat="1" applyFont="1" applyBorder="1"/>
    <xf numFmtId="0" fontId="19" fillId="0" borderId="20" xfId="107" applyFont="1" applyBorder="1" applyAlignment="1">
      <alignment wrapText="1"/>
    </xf>
    <xf numFmtId="3" fontId="19" fillId="0" borderId="19" xfId="107" applyNumberFormat="1" applyFont="1" applyBorder="1"/>
    <xf numFmtId="3" fontId="19" fillId="0" borderId="27" xfId="107" applyNumberFormat="1" applyFont="1" applyBorder="1"/>
    <xf numFmtId="3" fontId="19" fillId="0" borderId="28" xfId="107" applyNumberFormat="1" applyFont="1" applyBorder="1" applyAlignment="1">
      <alignment wrapText="1"/>
    </xf>
    <xf numFmtId="0" fontId="19" fillId="0" borderId="20" xfId="107" applyFont="1" applyFill="1" applyBorder="1" applyAlignment="1">
      <alignment wrapText="1"/>
    </xf>
    <xf numFmtId="3" fontId="19" fillId="0" borderId="19" xfId="107" applyNumberFormat="1" applyFont="1" applyFill="1" applyBorder="1"/>
    <xf numFmtId="3" fontId="19" fillId="0" borderId="108" xfId="107" applyNumberFormat="1" applyFont="1" applyBorder="1"/>
    <xf numFmtId="3" fontId="20" fillId="0" borderId="28" xfId="107" applyNumberFormat="1" applyFont="1" applyBorder="1"/>
    <xf numFmtId="0" fontId="20" fillId="0" borderId="20" xfId="107" applyFont="1" applyBorder="1" applyAlignment="1">
      <alignment wrapText="1"/>
    </xf>
    <xf numFmtId="3" fontId="20" fillId="0" borderId="19" xfId="107" applyNumberFormat="1" applyFont="1" applyBorder="1"/>
    <xf numFmtId="3" fontId="20" fillId="0" borderId="14" xfId="107" applyNumberFormat="1" applyFont="1" applyBorder="1"/>
    <xf numFmtId="3" fontId="19" fillId="0" borderId="13" xfId="107" applyNumberFormat="1" applyFont="1" applyBorder="1"/>
    <xf numFmtId="3" fontId="19" fillId="0" borderId="77" xfId="107" applyNumberFormat="1" applyFont="1" applyBorder="1"/>
    <xf numFmtId="0" fontId="19" fillId="0" borderId="29" xfId="107" applyFont="1" applyBorder="1" applyAlignment="1">
      <alignment wrapText="1"/>
    </xf>
    <xf numFmtId="3" fontId="19" fillId="0" borderId="22" xfId="107" applyNumberFormat="1" applyFont="1" applyBorder="1"/>
    <xf numFmtId="3" fontId="19" fillId="0" borderId="50" xfId="107" applyNumberFormat="1" applyFont="1" applyBorder="1"/>
    <xf numFmtId="3" fontId="20" fillId="0" borderId="74" xfId="107" applyNumberFormat="1" applyFont="1" applyBorder="1"/>
    <xf numFmtId="0" fontId="20" fillId="0" borderId="109" xfId="107" applyFont="1" applyBorder="1" applyAlignment="1">
      <alignment wrapText="1"/>
    </xf>
    <xf numFmtId="3" fontId="20" fillId="0" borderId="110" xfId="107" applyNumberFormat="1" applyFont="1" applyBorder="1"/>
    <xf numFmtId="3" fontId="20" fillId="0" borderId="111" xfId="107" applyNumberFormat="1" applyFont="1" applyBorder="1"/>
    <xf numFmtId="3" fontId="20" fillId="0" borderId="112" xfId="107" applyNumberFormat="1" applyFont="1" applyBorder="1"/>
    <xf numFmtId="3" fontId="19" fillId="0" borderId="70" xfId="107" applyNumberFormat="1" applyFont="1" applyBorder="1"/>
    <xf numFmtId="3" fontId="19" fillId="0" borderId="47" xfId="107" applyNumberFormat="1" applyFont="1" applyBorder="1"/>
    <xf numFmtId="3" fontId="19" fillId="0" borderId="93" xfId="107" applyNumberFormat="1" applyFont="1" applyBorder="1"/>
    <xf numFmtId="3" fontId="19" fillId="0" borderId="12" xfId="107" applyNumberFormat="1" applyFont="1" applyBorder="1" applyAlignment="1">
      <alignment wrapText="1"/>
    </xf>
    <xf numFmtId="3" fontId="19" fillId="0" borderId="93" xfId="107" applyNumberFormat="1" applyFont="1" applyBorder="1" applyAlignment="1">
      <alignment wrapText="1"/>
    </xf>
    <xf numFmtId="3" fontId="19" fillId="0" borderId="85" xfId="107" applyNumberFormat="1" applyFont="1" applyBorder="1"/>
    <xf numFmtId="0" fontId="20" fillId="0" borderId="103" xfId="107" applyFont="1" applyBorder="1" applyAlignment="1">
      <alignment wrapText="1"/>
    </xf>
    <xf numFmtId="3" fontId="20" fillId="0" borderId="113" xfId="107" applyNumberFormat="1" applyFont="1" applyBorder="1"/>
    <xf numFmtId="3" fontId="19" fillId="0" borderId="0" xfId="107" applyNumberFormat="1" applyFont="1"/>
    <xf numFmtId="0" fontId="19" fillId="0" borderId="0" xfId="107" applyFont="1" applyBorder="1" applyAlignment="1">
      <alignment wrapText="1"/>
    </xf>
    <xf numFmtId="3" fontId="20" fillId="0" borderId="64" xfId="114" applyNumberFormat="1" applyFont="1" applyBorder="1"/>
    <xf numFmtId="3" fontId="20" fillId="0" borderId="72" xfId="114" applyNumberFormat="1" applyFont="1" applyBorder="1"/>
    <xf numFmtId="3" fontId="20" fillId="0" borderId="85" xfId="114" applyNumberFormat="1" applyFont="1" applyBorder="1"/>
    <xf numFmtId="3" fontId="20" fillId="0" borderId="49" xfId="114" applyNumberFormat="1" applyFont="1" applyBorder="1"/>
    <xf numFmtId="3" fontId="19" fillId="0" borderId="74" xfId="114" applyNumberFormat="1" applyFont="1" applyBorder="1" applyAlignment="1">
      <alignment horizontal="right"/>
    </xf>
    <xf numFmtId="3" fontId="19" fillId="0" borderId="39" xfId="114" applyNumberFormat="1" applyFont="1" applyBorder="1"/>
    <xf numFmtId="0" fontId="20" fillId="0" borderId="114" xfId="114" applyFont="1" applyBorder="1" applyAlignment="1">
      <alignment wrapText="1"/>
    </xf>
    <xf numFmtId="3" fontId="20" fillId="0" borderId="66" xfId="114" applyNumberFormat="1" applyFont="1" applyBorder="1"/>
    <xf numFmtId="0" fontId="19" fillId="0" borderId="53" xfId="114" applyFont="1" applyBorder="1" applyAlignment="1">
      <alignment wrapText="1"/>
    </xf>
    <xf numFmtId="3" fontId="19" fillId="0" borderId="48" xfId="114" applyNumberFormat="1" applyFont="1" applyBorder="1" applyAlignment="1">
      <alignment horizontal="right"/>
    </xf>
    <xf numFmtId="3" fontId="19" fillId="0" borderId="79" xfId="114" applyNumberFormat="1" applyFont="1" applyBorder="1" applyAlignment="1">
      <alignment horizontal="right"/>
    </xf>
    <xf numFmtId="3" fontId="19" fillId="0" borderId="74" xfId="114" applyNumberFormat="1" applyFont="1" applyBorder="1"/>
    <xf numFmtId="3" fontId="20" fillId="0" borderId="77" xfId="114" applyNumberFormat="1" applyFont="1" applyBorder="1"/>
    <xf numFmtId="3" fontId="19" fillId="0" borderId="79" xfId="114" applyNumberFormat="1" applyFont="1" applyBorder="1"/>
    <xf numFmtId="0" fontId="20" fillId="30" borderId="38" xfId="114" applyFont="1" applyFill="1" applyBorder="1" applyAlignment="1">
      <alignment horizontal="center" vertical="center" wrapText="1"/>
    </xf>
    <xf numFmtId="0" fontId="20" fillId="30" borderId="39" xfId="114" applyFont="1" applyFill="1" applyBorder="1" applyAlignment="1">
      <alignment horizontal="center" vertical="center" wrapText="1"/>
    </xf>
    <xf numFmtId="0" fontId="20" fillId="30" borderId="74" xfId="114" applyFont="1" applyFill="1" applyBorder="1" applyAlignment="1">
      <alignment horizontal="center" vertical="center" wrapText="1"/>
    </xf>
    <xf numFmtId="3" fontId="19" fillId="29" borderId="70" xfId="114" applyNumberFormat="1" applyFont="1" applyFill="1" applyBorder="1" applyAlignment="1">
      <alignment horizontal="right"/>
    </xf>
    <xf numFmtId="3" fontId="19" fillId="0" borderId="27" xfId="114" applyNumberFormat="1" applyFont="1" applyFill="1" applyBorder="1"/>
    <xf numFmtId="0" fontId="19" fillId="0" borderId="0" xfId="107" applyFont="1" applyAlignment="1">
      <alignment wrapText="1"/>
    </xf>
    <xf numFmtId="0" fontId="20" fillId="0" borderId="0" xfId="107" applyFont="1" applyBorder="1" applyAlignment="1">
      <alignment wrapText="1"/>
    </xf>
    <xf numFmtId="3" fontId="19" fillId="0" borderId="0" xfId="107" applyNumberFormat="1" applyFont="1" applyAlignment="1">
      <alignment horizontal="right"/>
    </xf>
    <xf numFmtId="0" fontId="20" fillId="0" borderId="39" xfId="114" applyFont="1" applyBorder="1" applyAlignment="1">
      <alignment horizontal="center" vertical="center" wrapText="1"/>
    </xf>
    <xf numFmtId="0" fontId="20" fillId="0" borderId="74" xfId="114" applyFont="1" applyBorder="1" applyAlignment="1">
      <alignment horizontal="center" vertical="center" wrapText="1"/>
    </xf>
    <xf numFmtId="3" fontId="20" fillId="0" borderId="0" xfId="107" applyNumberFormat="1" applyFont="1" applyBorder="1" applyAlignment="1">
      <alignment horizontal="right"/>
    </xf>
    <xf numFmtId="3" fontId="20" fillId="0" borderId="0" xfId="107" applyNumberFormat="1" applyFont="1" applyBorder="1"/>
    <xf numFmtId="0" fontId="24" fillId="0" borderId="73" xfId="107" applyFont="1" applyBorder="1" applyAlignment="1">
      <alignment wrapText="1"/>
    </xf>
    <xf numFmtId="3" fontId="0" fillId="0" borderId="0" xfId="114" applyNumberFormat="1" applyFont="1" applyBorder="1"/>
    <xf numFmtId="3" fontId="21" fillId="0" borderId="0" xfId="114" applyNumberFormat="1" applyFont="1"/>
    <xf numFmtId="0" fontId="25" fillId="0" borderId="33" xfId="105" applyFont="1" applyFill="1" applyBorder="1" applyAlignment="1">
      <alignment horizontal="left" vertical="center" wrapText="1"/>
    </xf>
    <xf numFmtId="0" fontId="25" fillId="0" borderId="0" xfId="111" applyFont="1" applyFill="1" applyAlignment="1">
      <alignment horizontal="center" vertical="center" wrapText="1"/>
    </xf>
    <xf numFmtId="3" fontId="24" fillId="0" borderId="52" xfId="104" applyNumberFormat="1" applyFont="1" applyBorder="1" applyAlignment="1">
      <alignment horizontal="center" wrapText="1"/>
    </xf>
    <xf numFmtId="0" fontId="19" fillId="0" borderId="60" xfId="108" applyNumberFormat="1" applyFont="1" applyFill="1" applyBorder="1" applyAlignment="1">
      <alignment horizontal="center"/>
    </xf>
    <xf numFmtId="3" fontId="20" fillId="0" borderId="19" xfId="108" applyNumberFormat="1" applyFont="1" applyFill="1" applyBorder="1" applyAlignment="1"/>
    <xf numFmtId="0" fontId="20" fillId="0" borderId="47" xfId="108" applyFont="1" applyFill="1" applyBorder="1"/>
    <xf numFmtId="2" fontId="20" fillId="0" borderId="47" xfId="108" applyNumberFormat="1" applyFont="1" applyFill="1" applyBorder="1"/>
    <xf numFmtId="166" fontId="20" fillId="0" borderId="47" xfId="108" applyNumberFormat="1" applyFont="1" applyFill="1" applyBorder="1"/>
    <xf numFmtId="3" fontId="20" fillId="0" borderId="47" xfId="108" applyNumberFormat="1" applyFont="1" applyFill="1" applyBorder="1"/>
    <xf numFmtId="0" fontId="19" fillId="0" borderId="37" xfId="108" applyFont="1" applyFill="1" applyBorder="1" applyAlignment="1">
      <alignment horizontal="center"/>
    </xf>
    <xf numFmtId="0" fontId="19" fillId="0" borderId="82" xfId="108" applyFont="1" applyFill="1" applyBorder="1" applyAlignment="1">
      <alignment horizontal="center"/>
    </xf>
    <xf numFmtId="0" fontId="19" fillId="29" borderId="117" xfId="114" applyFont="1" applyFill="1" applyBorder="1" applyAlignment="1">
      <alignment wrapText="1"/>
    </xf>
    <xf numFmtId="0" fontId="21" fillId="0" borderId="0" xfId="114" applyFont="1" applyBorder="1" applyAlignment="1">
      <alignment horizontal="center"/>
    </xf>
    <xf numFmtId="0" fontId="20" fillId="0" borderId="116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24" fillId="0" borderId="0" xfId="111" applyFont="1" applyFill="1" applyBorder="1" applyAlignment="1">
      <alignment horizontal="center" wrapText="1"/>
    </xf>
    <xf numFmtId="3" fontId="21" fillId="29" borderId="65" xfId="114" applyNumberFormat="1" applyFont="1" applyFill="1" applyBorder="1" applyAlignment="1">
      <alignment horizontal="right" wrapText="1"/>
    </xf>
    <xf numFmtId="3" fontId="32" fillId="29" borderId="60" xfId="114" applyNumberFormat="1" applyFont="1" applyFill="1" applyBorder="1" applyAlignment="1">
      <alignment horizontal="right" wrapText="1"/>
    </xf>
    <xf numFmtId="3" fontId="32" fillId="29" borderId="20" xfId="114" applyNumberFormat="1" applyFont="1" applyFill="1" applyBorder="1"/>
    <xf numFmtId="3" fontId="32" fillId="29" borderId="19" xfId="114" applyNumberFormat="1" applyFont="1" applyFill="1" applyBorder="1"/>
    <xf numFmtId="0" fontId="30" fillId="29" borderId="27" xfId="114" applyFont="1" applyFill="1" applyBorder="1"/>
    <xf numFmtId="0" fontId="29" fillId="29" borderId="27" xfId="114" applyFont="1" applyFill="1" applyBorder="1"/>
    <xf numFmtId="3" fontId="32" fillId="29" borderId="28" xfId="114" applyNumberFormat="1" applyFont="1" applyFill="1" applyBorder="1"/>
    <xf numFmtId="3" fontId="30" fillId="29" borderId="27" xfId="114" applyNumberFormat="1" applyFont="1" applyFill="1" applyBorder="1"/>
    <xf numFmtId="3" fontId="32" fillId="29" borderId="28" xfId="114" applyNumberFormat="1" applyFont="1" applyFill="1" applyBorder="1" applyAlignment="1">
      <alignment horizontal="right" wrapText="1"/>
    </xf>
    <xf numFmtId="0" fontId="31" fillId="29" borderId="27" xfId="114" applyFont="1" applyFill="1" applyBorder="1"/>
    <xf numFmtId="3" fontId="21" fillId="29" borderId="60" xfId="114" applyNumberFormat="1" applyFont="1" applyFill="1" applyBorder="1" applyAlignment="1">
      <alignment horizontal="right" wrapText="1"/>
    </xf>
    <xf numFmtId="3" fontId="27" fillId="29" borderId="67" xfId="114" applyNumberFormat="1" applyFont="1" applyFill="1" applyBorder="1" applyAlignment="1">
      <alignment horizontal="right" wrapText="1"/>
    </xf>
    <xf numFmtId="0" fontId="29" fillId="29" borderId="50" xfId="114" applyFont="1" applyFill="1" applyBorder="1"/>
    <xf numFmtId="3" fontId="27" fillId="29" borderId="61" xfId="114" applyNumberFormat="1" applyFont="1" applyFill="1" applyBorder="1" applyAlignment="1">
      <alignment horizontal="right" wrapText="1"/>
    </xf>
    <xf numFmtId="3" fontId="27" fillId="29" borderId="28" xfId="114" applyNumberFormat="1" applyFont="1" applyFill="1" applyBorder="1"/>
    <xf numFmtId="3" fontId="27" fillId="29" borderId="19" xfId="114" applyNumberFormat="1" applyFont="1" applyFill="1" applyBorder="1"/>
    <xf numFmtId="3" fontId="21" fillId="29" borderId="28" xfId="114" applyNumberFormat="1" applyFont="1" applyFill="1" applyBorder="1"/>
    <xf numFmtId="0" fontId="19" fillId="29" borderId="0" xfId="114" applyFont="1" applyFill="1" applyBorder="1"/>
    <xf numFmtId="0" fontId="20" fillId="29" borderId="0" xfId="114" applyFont="1" applyFill="1" applyBorder="1" applyAlignment="1">
      <alignment vertical="center"/>
    </xf>
    <xf numFmtId="0" fontId="20" fillId="29" borderId="0" xfId="114" applyFont="1" applyFill="1" applyBorder="1"/>
    <xf numFmtId="3" fontId="19" fillId="29" borderId="26" xfId="114" applyNumberFormat="1" applyFont="1" applyFill="1" applyBorder="1" applyAlignment="1">
      <alignment horizontal="right" wrapText="1"/>
    </xf>
    <xf numFmtId="3" fontId="20" fillId="29" borderId="26" xfId="114" applyNumberFormat="1" applyFont="1" applyFill="1" applyBorder="1" applyAlignment="1">
      <alignment horizontal="right" wrapText="1"/>
    </xf>
    <xf numFmtId="3" fontId="20" fillId="29" borderId="0" xfId="114" applyNumberFormat="1" applyFont="1" applyFill="1" applyBorder="1" applyAlignment="1">
      <alignment vertical="center"/>
    </xf>
    <xf numFmtId="0" fontId="19" fillId="29" borderId="0" xfId="114" applyFont="1" applyFill="1" applyBorder="1" applyAlignment="1">
      <alignment vertical="center" wrapText="1"/>
    </xf>
    <xf numFmtId="0" fontId="19" fillId="29" borderId="0" xfId="114" applyFont="1" applyFill="1" applyBorder="1" applyAlignment="1">
      <alignment vertical="center"/>
    </xf>
    <xf numFmtId="3" fontId="20" fillId="29" borderId="19" xfId="114" applyNumberFormat="1" applyFont="1" applyFill="1" applyBorder="1" applyAlignment="1">
      <alignment vertical="center"/>
    </xf>
    <xf numFmtId="3" fontId="20" fillId="29" borderId="0" xfId="114" applyNumberFormat="1" applyFont="1" applyFill="1" applyBorder="1"/>
    <xf numFmtId="0" fontId="20" fillId="0" borderId="0" xfId="114" applyFont="1" applyBorder="1"/>
    <xf numFmtId="4" fontId="19" fillId="0" borderId="0" xfId="114" applyNumberFormat="1" applyFont="1" applyBorder="1"/>
    <xf numFmtId="3" fontId="20" fillId="29" borderId="68" xfId="114" applyNumberFormat="1" applyFont="1" applyFill="1" applyBorder="1" applyAlignment="1">
      <alignment horizontal="right" wrapText="1"/>
    </xf>
    <xf numFmtId="3" fontId="19" fillId="29" borderId="67" xfId="114" applyNumberFormat="1" applyFont="1" applyFill="1" applyBorder="1" applyAlignment="1">
      <alignment horizontal="right" wrapText="1"/>
    </xf>
    <xf numFmtId="4" fontId="19" fillId="29" borderId="22" xfId="114" applyNumberFormat="1" applyFont="1" applyFill="1" applyBorder="1" applyAlignment="1">
      <alignment horizontal="right" wrapText="1"/>
    </xf>
    <xf numFmtId="0" fontId="19" fillId="0" borderId="61" xfId="108" applyFont="1" applyFill="1" applyBorder="1" applyAlignment="1">
      <alignment horizontal="center"/>
    </xf>
    <xf numFmtId="0" fontId="20" fillId="0" borderId="22" xfId="108" applyFont="1" applyFill="1" applyBorder="1"/>
    <xf numFmtId="2" fontId="20" fillId="0" borderId="22" xfId="108" applyNumberFormat="1" applyFont="1" applyFill="1" applyBorder="1"/>
    <xf numFmtId="3" fontId="20" fillId="0" borderId="22" xfId="108" applyNumberFormat="1" applyFont="1" applyFill="1" applyBorder="1"/>
    <xf numFmtId="0" fontId="19" fillId="0" borderId="60" xfId="108" applyFont="1" applyBorder="1" applyAlignment="1">
      <alignment horizontal="center"/>
    </xf>
    <xf numFmtId="0" fontId="19" fillId="0" borderId="60" xfId="108" applyNumberFormat="1" applyFont="1" applyFill="1" applyBorder="1" applyAlignment="1">
      <alignment horizontal="center" wrapText="1"/>
    </xf>
    <xf numFmtId="0" fontId="19" fillId="0" borderId="60" xfId="108" applyFont="1" applyFill="1" applyBorder="1" applyAlignment="1">
      <alignment horizontal="center" wrapText="1"/>
    </xf>
    <xf numFmtId="0" fontId="20" fillId="0" borderId="0" xfId="114" applyFont="1" applyBorder="1" applyAlignment="1">
      <alignment horizontal="center"/>
    </xf>
    <xf numFmtId="0" fontId="19" fillId="0" borderId="0" xfId="114" applyFont="1"/>
    <xf numFmtId="0" fontId="19" fillId="0" borderId="0" xfId="114" applyFont="1" applyAlignment="1">
      <alignment horizontal="right"/>
    </xf>
    <xf numFmtId="0" fontId="20" fillId="0" borderId="57" xfId="114" applyFont="1" applyBorder="1" applyAlignment="1">
      <alignment horizontal="center" vertical="center" wrapText="1"/>
    </xf>
    <xf numFmtId="0" fontId="20" fillId="30" borderId="89" xfId="114" applyFont="1" applyFill="1" applyBorder="1" applyAlignment="1">
      <alignment horizontal="center" vertical="center" wrapText="1"/>
    </xf>
    <xf numFmtId="0" fontId="20" fillId="30" borderId="49" xfId="114" applyFont="1" applyFill="1" applyBorder="1" applyAlignment="1">
      <alignment horizontal="center" vertical="center" wrapText="1"/>
    </xf>
    <xf numFmtId="0" fontId="19" fillId="29" borderId="60" xfId="114" applyFont="1" applyFill="1" applyBorder="1" applyAlignment="1">
      <alignment wrapText="1"/>
    </xf>
    <xf numFmtId="3" fontId="19" fillId="29" borderId="71" xfId="114" applyNumberFormat="1" applyFont="1" applyFill="1" applyBorder="1"/>
    <xf numFmtId="3" fontId="19" fillId="0" borderId="120" xfId="114" applyNumberFormat="1" applyFont="1" applyBorder="1" applyAlignment="1">
      <alignment horizontal="right"/>
    </xf>
    <xf numFmtId="3" fontId="19" fillId="29" borderId="51" xfId="114" applyNumberFormat="1" applyFont="1" applyFill="1" applyBorder="1"/>
    <xf numFmtId="3" fontId="19" fillId="29" borderId="62" xfId="114" applyNumberFormat="1" applyFont="1" applyFill="1" applyBorder="1"/>
    <xf numFmtId="3" fontId="19" fillId="29" borderId="47" xfId="114" applyNumberFormat="1" applyFont="1" applyFill="1" applyBorder="1"/>
    <xf numFmtId="3" fontId="19" fillId="29" borderId="32" xfId="114" applyNumberFormat="1" applyFont="1" applyFill="1" applyBorder="1"/>
    <xf numFmtId="0" fontId="19" fillId="0" borderId="60" xfId="114" applyFont="1" applyBorder="1" applyAlignment="1">
      <alignment wrapText="1"/>
    </xf>
    <xf numFmtId="3" fontId="19" fillId="29" borderId="28" xfId="114" applyNumberFormat="1" applyFont="1" applyFill="1" applyBorder="1"/>
    <xf numFmtId="3" fontId="19" fillId="29" borderId="27" xfId="114" applyNumberFormat="1" applyFont="1" applyFill="1" applyBorder="1"/>
    <xf numFmtId="0" fontId="19" fillId="0" borderId="60" xfId="114" applyFont="1" applyFill="1" applyBorder="1" applyAlignment="1">
      <alignment wrapText="1"/>
    </xf>
    <xf numFmtId="0" fontId="20" fillId="0" borderId="60" xfId="114" applyFont="1" applyBorder="1" applyAlignment="1">
      <alignment wrapText="1"/>
    </xf>
    <xf numFmtId="3" fontId="20" fillId="0" borderId="19" xfId="114" applyNumberFormat="1" applyFont="1" applyBorder="1" applyAlignment="1">
      <alignment horizontal="right"/>
    </xf>
    <xf numFmtId="3" fontId="20" fillId="29" borderId="27" xfId="114" applyNumberFormat="1" applyFont="1" applyFill="1" applyBorder="1"/>
    <xf numFmtId="3" fontId="19" fillId="0" borderId="60" xfId="114" applyNumberFormat="1" applyFont="1" applyFill="1" applyBorder="1" applyAlignment="1">
      <alignment wrapText="1"/>
    </xf>
    <xf numFmtId="3" fontId="19" fillId="31" borderId="60" xfId="107" applyNumberFormat="1" applyFont="1" applyFill="1" applyBorder="1"/>
    <xf numFmtId="3" fontId="19" fillId="31" borderId="28" xfId="107" applyNumberFormat="1" applyFont="1" applyFill="1" applyBorder="1"/>
    <xf numFmtId="3" fontId="19" fillId="31" borderId="19" xfId="107" applyNumberFormat="1" applyFont="1" applyFill="1" applyBorder="1"/>
    <xf numFmtId="3" fontId="19" fillId="31" borderId="27" xfId="107" applyNumberFormat="1" applyFont="1" applyFill="1" applyBorder="1"/>
    <xf numFmtId="0" fontId="20" fillId="0" borderId="61" xfId="114" applyFont="1" applyBorder="1" applyAlignment="1">
      <alignment wrapText="1"/>
    </xf>
    <xf numFmtId="3" fontId="20" fillId="0" borderId="68" xfId="114" applyNumberFormat="1" applyFont="1" applyBorder="1"/>
    <xf numFmtId="3" fontId="19" fillId="0" borderId="48" xfId="114" applyNumberFormat="1" applyFont="1" applyBorder="1"/>
    <xf numFmtId="3" fontId="20" fillId="0" borderId="90" xfId="114" applyNumberFormat="1" applyFont="1" applyBorder="1"/>
    <xf numFmtId="3" fontId="20" fillId="0" borderId="80" xfId="114" applyNumberFormat="1" applyFont="1" applyBorder="1"/>
    <xf numFmtId="2" fontId="20" fillId="0" borderId="88" xfId="114" applyNumberFormat="1" applyFont="1" applyBorder="1"/>
    <xf numFmtId="1" fontId="20" fillId="0" borderId="88" xfId="114" applyNumberFormat="1" applyFont="1" applyBorder="1"/>
    <xf numFmtId="1" fontId="20" fillId="0" borderId="49" xfId="114" applyNumberFormat="1" applyFont="1" applyBorder="1"/>
    <xf numFmtId="3" fontId="19" fillId="0" borderId="0" xfId="114" applyNumberFormat="1" applyFont="1"/>
    <xf numFmtId="0" fontId="27" fillId="0" borderId="0" xfId="114" applyFont="1" applyAlignment="1">
      <alignment vertical="center"/>
    </xf>
    <xf numFmtId="3" fontId="19" fillId="29" borderId="76" xfId="114" applyNumberFormat="1" applyFont="1" applyFill="1" applyBorder="1"/>
    <xf numFmtId="3" fontId="19" fillId="0" borderId="120" xfId="114" applyNumberFormat="1" applyFont="1" applyBorder="1"/>
    <xf numFmtId="3" fontId="19" fillId="0" borderId="119" xfId="114" applyNumberFormat="1" applyFont="1" applyBorder="1"/>
    <xf numFmtId="3" fontId="19" fillId="29" borderId="31" xfId="114" applyNumberFormat="1" applyFont="1" applyFill="1" applyBorder="1"/>
    <xf numFmtId="3" fontId="0" fillId="0" borderId="0" xfId="114" applyNumberFormat="1" applyFont="1"/>
    <xf numFmtId="3" fontId="19" fillId="0" borderId="35" xfId="114" applyNumberFormat="1" applyFont="1" applyBorder="1" applyAlignment="1">
      <alignment horizontal="right"/>
    </xf>
    <xf numFmtId="3" fontId="19" fillId="0" borderId="47" xfId="114" applyNumberFormat="1" applyFont="1" applyBorder="1"/>
    <xf numFmtId="3" fontId="19" fillId="0" borderId="70" xfId="114" applyNumberFormat="1" applyFont="1" applyBorder="1"/>
    <xf numFmtId="3" fontId="19" fillId="0" borderId="57" xfId="114" applyNumberFormat="1" applyFont="1" applyBorder="1" applyAlignment="1">
      <alignment horizontal="right"/>
    </xf>
    <xf numFmtId="3" fontId="19" fillId="0" borderId="86" xfId="114" applyNumberFormat="1" applyFont="1" applyBorder="1"/>
    <xf numFmtId="3" fontId="0" fillId="0" borderId="39" xfId="114" applyNumberFormat="1" applyFont="1" applyBorder="1"/>
    <xf numFmtId="0" fontId="21" fillId="0" borderId="74" xfId="114" applyFont="1" applyBorder="1"/>
    <xf numFmtId="0" fontId="24" fillId="0" borderId="51" xfId="107" applyFont="1" applyBorder="1"/>
    <xf numFmtId="0" fontId="25" fillId="30" borderId="60" xfId="113" applyFont="1" applyFill="1" applyBorder="1" applyAlignment="1">
      <alignment wrapText="1"/>
    </xf>
    <xf numFmtId="0" fontId="25" fillId="30" borderId="62" xfId="113" applyFont="1" applyFill="1" applyBorder="1" applyAlignment="1">
      <alignment wrapText="1"/>
    </xf>
    <xf numFmtId="3" fontId="25" fillId="0" borderId="27" xfId="107" applyNumberFormat="1" applyFont="1" applyBorder="1" applyAlignment="1">
      <alignment horizontal="right"/>
    </xf>
    <xf numFmtId="0" fontId="24" fillId="0" borderId="0" xfId="111" applyFont="1" applyFill="1" applyBorder="1" applyAlignment="1">
      <alignment horizontal="right" wrapText="1"/>
    </xf>
    <xf numFmtId="0" fontId="24" fillId="0" borderId="27" xfId="111" applyFont="1" applyFill="1" applyBorder="1" applyAlignment="1">
      <alignment horizontal="right" vertical="center" wrapText="1"/>
    </xf>
    <xf numFmtId="3" fontId="25" fillId="0" borderId="27" xfId="111" applyNumberFormat="1" applyFont="1" applyFill="1" applyBorder="1" applyAlignment="1">
      <alignment horizontal="right" vertical="center" wrapText="1"/>
    </xf>
    <xf numFmtId="3" fontId="25" fillId="0" borderId="52" xfId="104" applyNumberFormat="1" applyFont="1" applyBorder="1" applyAlignment="1">
      <alignment horizontal="center" wrapText="1"/>
    </xf>
    <xf numFmtId="3" fontId="25" fillId="0" borderId="51" xfId="104" applyNumberFormat="1" applyFont="1" applyBorder="1" applyAlignment="1">
      <alignment horizontal="right"/>
    </xf>
    <xf numFmtId="3" fontId="25" fillId="0" borderId="27" xfId="104" applyNumberFormat="1" applyFont="1" applyFill="1" applyBorder="1"/>
    <xf numFmtId="0" fontId="25" fillId="0" borderId="73" xfId="107" applyFont="1" applyFill="1" applyBorder="1" applyAlignment="1">
      <alignment horizontal="left" wrapText="1"/>
    </xf>
    <xf numFmtId="0" fontId="25" fillId="0" borderId="80" xfId="107" applyFont="1" applyFill="1" applyBorder="1" applyAlignment="1">
      <alignment horizontal="left" wrapText="1"/>
    </xf>
    <xf numFmtId="0" fontId="25" fillId="0" borderId="62" xfId="107" applyFont="1" applyFill="1" applyBorder="1" applyAlignment="1">
      <alignment horizontal="left" wrapText="1"/>
    </xf>
    <xf numFmtId="0" fontId="25" fillId="30" borderId="33" xfId="113" applyFont="1" applyFill="1" applyBorder="1" applyAlignment="1">
      <alignment wrapText="1"/>
    </xf>
    <xf numFmtId="0" fontId="25" fillId="0" borderId="51" xfId="104" applyFont="1" applyBorder="1"/>
    <xf numFmtId="0" fontId="21" fillId="0" borderId="51" xfId="104" applyFont="1" applyBorder="1"/>
    <xf numFmtId="3" fontId="25" fillId="0" borderId="66" xfId="98" applyNumberFormat="1" applyFont="1" applyFill="1" applyBorder="1" applyAlignment="1">
      <alignment wrapText="1"/>
    </xf>
    <xf numFmtId="3" fontId="25" fillId="0" borderId="51" xfId="104" applyNumberFormat="1" applyFont="1" applyFill="1" applyBorder="1"/>
    <xf numFmtId="3" fontId="24" fillId="0" borderId="45" xfId="104" applyNumberFormat="1" applyFont="1" applyBorder="1" applyAlignment="1">
      <alignment wrapText="1"/>
    </xf>
    <xf numFmtId="3" fontId="24" fillId="0" borderId="51" xfId="104" applyNumberFormat="1" applyFont="1" applyFill="1" applyBorder="1"/>
    <xf numFmtId="3" fontId="24" fillId="0" borderId="27" xfId="104" applyNumberFormat="1" applyFont="1" applyFill="1" applyBorder="1"/>
    <xf numFmtId="164" fontId="19" fillId="0" borderId="16" xfId="107" applyNumberFormat="1" applyFont="1" applyBorder="1" applyAlignment="1">
      <alignment wrapText="1"/>
    </xf>
    <xf numFmtId="3" fontId="20" fillId="0" borderId="28" xfId="78" applyNumberFormat="1" applyFont="1" applyBorder="1" applyAlignment="1">
      <alignment horizontal="right" wrapText="1"/>
    </xf>
    <xf numFmtId="3" fontId="19" fillId="0" borderId="27" xfId="78" applyNumberFormat="1" applyFont="1" applyBorder="1" applyAlignment="1">
      <alignment horizontal="right" wrapText="1"/>
    </xf>
    <xf numFmtId="164" fontId="19" fillId="0" borderId="46" xfId="107" applyNumberFormat="1" applyFont="1" applyBorder="1" applyAlignment="1">
      <alignment wrapText="1"/>
    </xf>
    <xf numFmtId="3" fontId="19" fillId="0" borderId="0" xfId="107" applyNumberFormat="1" applyFont="1" applyBorder="1" applyAlignment="1">
      <alignment horizontal="right"/>
    </xf>
    <xf numFmtId="3" fontId="19" fillId="0" borderId="0" xfId="78" applyNumberFormat="1" applyFont="1" applyBorder="1" applyAlignment="1">
      <alignment horizontal="right"/>
    </xf>
    <xf numFmtId="0" fontId="19" fillId="0" borderId="16" xfId="107" applyFont="1" applyFill="1" applyBorder="1" applyAlignment="1">
      <alignment wrapText="1"/>
    </xf>
    <xf numFmtId="3" fontId="20" fillId="0" borderId="0" xfId="78" applyNumberFormat="1" applyFont="1" applyBorder="1" applyAlignment="1">
      <alignment horizontal="right"/>
    </xf>
    <xf numFmtId="3" fontId="19" fillId="0" borderId="65" xfId="78" applyNumberFormat="1" applyFont="1" applyBorder="1" applyAlignment="1">
      <alignment horizontal="right"/>
    </xf>
    <xf numFmtId="3" fontId="20" fillId="0" borderId="28" xfId="107" applyNumberFormat="1" applyFont="1" applyBorder="1" applyAlignment="1">
      <alignment horizontal="right" wrapText="1"/>
    </xf>
    <xf numFmtId="3" fontId="20" fillId="0" borderId="27" xfId="107" applyNumberFormat="1" applyFont="1" applyBorder="1" applyAlignment="1">
      <alignment horizontal="right" wrapText="1"/>
    </xf>
    <xf numFmtId="3" fontId="20" fillId="0" borderId="61" xfId="107" applyNumberFormat="1" applyFont="1" applyBorder="1" applyAlignment="1">
      <alignment horizontal="right"/>
    </xf>
    <xf numFmtId="3" fontId="19" fillId="0" borderId="119" xfId="106" applyNumberFormat="1" applyFont="1" applyBorder="1"/>
    <xf numFmtId="3" fontId="19" fillId="0" borderId="91" xfId="106" applyNumberFormat="1" applyFont="1" applyBorder="1"/>
    <xf numFmtId="0" fontId="21" fillId="0" borderId="91" xfId="106" applyFont="1" applyBorder="1"/>
    <xf numFmtId="3" fontId="20" fillId="0" borderId="30" xfId="106" applyNumberFormat="1" applyFont="1" applyBorder="1"/>
    <xf numFmtId="3" fontId="20" fillId="0" borderId="31" xfId="106" applyNumberFormat="1" applyFont="1" applyBorder="1"/>
    <xf numFmtId="3" fontId="20" fillId="0" borderId="51" xfId="106" applyNumberFormat="1" applyFont="1" applyBorder="1"/>
    <xf numFmtId="0" fontId="21" fillId="0" borderId="16" xfId="106" applyFont="1" applyBorder="1"/>
    <xf numFmtId="3" fontId="20" fillId="0" borderId="29" xfId="106" applyNumberFormat="1" applyFont="1" applyBorder="1"/>
    <xf numFmtId="3" fontId="19" fillId="0" borderId="54" xfId="114" applyNumberFormat="1" applyFont="1" applyBorder="1" applyAlignment="1">
      <alignment horizontal="right"/>
    </xf>
    <xf numFmtId="3" fontId="19" fillId="0" borderId="53" xfId="114" applyNumberFormat="1" applyFont="1" applyBorder="1" applyAlignment="1">
      <alignment horizontal="right"/>
    </xf>
    <xf numFmtId="3" fontId="20" fillId="0" borderId="35" xfId="114" applyNumberFormat="1" applyFont="1" applyBorder="1"/>
    <xf numFmtId="3" fontId="19" fillId="0" borderId="53" xfId="114" applyNumberFormat="1" applyFont="1" applyBorder="1"/>
    <xf numFmtId="3" fontId="20" fillId="0" borderId="69" xfId="114" applyNumberFormat="1" applyFont="1" applyBorder="1"/>
    <xf numFmtId="0" fontId="20" fillId="0" borderId="0" xfId="114" applyFont="1" applyBorder="1" applyAlignment="1">
      <alignment horizontal="center" vertical="center" wrapText="1"/>
    </xf>
    <xf numFmtId="0" fontId="27" fillId="0" borderId="0" xfId="107" applyFont="1" applyBorder="1" applyAlignment="1">
      <alignment wrapText="1"/>
    </xf>
    <xf numFmtId="3" fontId="20" fillId="0" borderId="80" xfId="78" applyNumberFormat="1" applyFont="1" applyBorder="1" applyAlignment="1">
      <alignment horizontal="right"/>
    </xf>
    <xf numFmtId="3" fontId="20" fillId="0" borderId="88" xfId="78" applyNumberFormat="1" applyFont="1" applyBorder="1" applyAlignment="1">
      <alignment horizontal="right"/>
    </xf>
    <xf numFmtId="3" fontId="20" fillId="0" borderId="60" xfId="78" applyNumberFormat="1" applyFont="1" applyBorder="1" applyAlignment="1">
      <alignment horizontal="right" wrapText="1"/>
    </xf>
    <xf numFmtId="0" fontId="20" fillId="0" borderId="120" xfId="114" applyFont="1" applyBorder="1" applyAlignment="1">
      <alignment horizontal="center" vertical="center" wrapText="1"/>
    </xf>
    <xf numFmtId="0" fontId="20" fillId="0" borderId="119" xfId="114" applyFont="1" applyBorder="1" applyAlignment="1">
      <alignment horizontal="center" vertical="center" wrapText="1"/>
    </xf>
    <xf numFmtId="3" fontId="19" fillId="0" borderId="30" xfId="107" applyNumberFormat="1" applyFont="1" applyBorder="1" applyAlignment="1">
      <alignment horizontal="right"/>
    </xf>
    <xf numFmtId="3" fontId="19" fillId="0" borderId="20" xfId="78" applyNumberFormat="1" applyFont="1" applyBorder="1" applyAlignment="1">
      <alignment horizontal="right" wrapText="1"/>
    </xf>
    <xf numFmtId="0" fontId="20" fillId="0" borderId="79" xfId="114" applyFont="1" applyBorder="1" applyAlignment="1">
      <alignment horizontal="center" vertical="center" wrapText="1"/>
    </xf>
    <xf numFmtId="3" fontId="20" fillId="0" borderId="0" xfId="136" applyNumberFormat="1" applyFont="1" applyBorder="1" applyAlignment="1">
      <alignment horizontal="center"/>
    </xf>
    <xf numFmtId="3" fontId="21" fillId="0" borderId="0" xfId="136" applyNumberFormat="1" applyFont="1"/>
    <xf numFmtId="0" fontId="27" fillId="0" borderId="0" xfId="136" applyFont="1" applyAlignment="1">
      <alignment wrapText="1"/>
    </xf>
    <xf numFmtId="0" fontId="27" fillId="0" borderId="0" xfId="136" applyFont="1"/>
    <xf numFmtId="3" fontId="37" fillId="0" borderId="0" xfId="136" applyNumberFormat="1" applyFont="1" applyFill="1" applyAlignment="1"/>
    <xf numFmtId="0" fontId="37" fillId="0" borderId="0" xfId="136" applyFont="1" applyFill="1" applyBorder="1" applyAlignment="1">
      <alignment wrapText="1"/>
    </xf>
    <xf numFmtId="0" fontId="37" fillId="0" borderId="0" xfId="136" applyFont="1" applyFill="1" applyBorder="1" applyAlignment="1"/>
    <xf numFmtId="0" fontId="37" fillId="0" borderId="59" xfId="136" applyFont="1" applyFill="1" applyBorder="1" applyAlignment="1">
      <alignment wrapText="1"/>
    </xf>
    <xf numFmtId="0" fontId="37" fillId="0" borderId="59" xfId="136" applyFont="1" applyFill="1" applyBorder="1" applyAlignment="1"/>
    <xf numFmtId="3" fontId="37" fillId="0" borderId="10" xfId="136" applyNumberFormat="1" applyFont="1" applyFill="1" applyBorder="1" applyAlignment="1">
      <alignment horizontal="right"/>
    </xf>
    <xf numFmtId="0" fontId="37" fillId="0" borderId="10" xfId="136" applyFont="1" applyFill="1" applyBorder="1" applyAlignment="1">
      <alignment horizontal="right" wrapText="1"/>
    </xf>
    <xf numFmtId="0" fontId="37" fillId="0" borderId="12" xfId="136" applyFont="1" applyFill="1" applyBorder="1" applyAlignment="1">
      <alignment horizontal="right"/>
    </xf>
    <xf numFmtId="0" fontId="37" fillId="0" borderId="19" xfId="136" applyFont="1" applyFill="1" applyBorder="1" applyAlignment="1">
      <alignment horizontal="right"/>
    </xf>
    <xf numFmtId="3" fontId="27" fillId="0" borderId="10" xfId="136" applyNumberFormat="1" applyFont="1" applyFill="1" applyBorder="1"/>
    <xf numFmtId="3" fontId="27" fillId="0" borderId="10" xfId="136" applyNumberFormat="1" applyFont="1" applyFill="1" applyBorder="1" applyAlignment="1">
      <alignment wrapText="1"/>
    </xf>
    <xf numFmtId="3" fontId="21" fillId="0" borderId="12" xfId="136" applyNumberFormat="1" applyFont="1" applyFill="1" applyBorder="1"/>
    <xf numFmtId="3" fontId="27" fillId="0" borderId="19" xfId="0" applyNumberFormat="1" applyFont="1" applyBorder="1"/>
    <xf numFmtId="3" fontId="27" fillId="0" borderId="12" xfId="136" applyNumberFormat="1" applyFont="1" applyFill="1" applyBorder="1"/>
    <xf numFmtId="3" fontId="37" fillId="0" borderId="10" xfId="136" applyNumberFormat="1" applyFont="1" applyFill="1" applyBorder="1"/>
    <xf numFmtId="3" fontId="37" fillId="0" borderId="12" xfId="136" applyNumberFormat="1" applyFont="1" applyFill="1" applyBorder="1"/>
    <xf numFmtId="0" fontId="27" fillId="0" borderId="81" xfId="136" applyFont="1" applyFill="1" applyBorder="1" applyAlignment="1">
      <alignment wrapText="1"/>
    </xf>
    <xf numFmtId="0" fontId="27" fillId="0" borderId="81" xfId="136" applyFont="1" applyFill="1" applyBorder="1" applyAlignment="1"/>
    <xf numFmtId="0" fontId="27" fillId="0" borderId="11" xfId="136" applyFont="1" applyFill="1" applyBorder="1" applyAlignment="1"/>
    <xf numFmtId="0" fontId="27" fillId="0" borderId="0" xfId="0" applyFont="1" applyBorder="1"/>
    <xf numFmtId="3" fontId="37" fillId="0" borderId="10" xfId="136" applyNumberFormat="1" applyFont="1" applyFill="1" applyBorder="1" applyAlignment="1">
      <alignment horizontal="right" wrapText="1"/>
    </xf>
    <xf numFmtId="0" fontId="37" fillId="0" borderId="12" xfId="136" applyFont="1" applyFill="1" applyBorder="1" applyAlignment="1">
      <alignment horizontal="right" wrapText="1"/>
    </xf>
    <xf numFmtId="0" fontId="37" fillId="0" borderId="19" xfId="136" applyFont="1" applyFill="1" applyBorder="1" applyAlignment="1">
      <alignment horizontal="right" wrapText="1"/>
    </xf>
    <xf numFmtId="3" fontId="27" fillId="0" borderId="12" xfId="136" applyNumberFormat="1" applyFont="1" applyFill="1" applyBorder="1" applyAlignment="1">
      <alignment wrapText="1"/>
    </xf>
    <xf numFmtId="3" fontId="27" fillId="0" borderId="19" xfId="136" applyNumberFormat="1" applyFont="1" applyFill="1" applyBorder="1"/>
    <xf numFmtId="3" fontId="37" fillId="0" borderId="19" xfId="136" applyNumberFormat="1" applyFont="1" applyFill="1" applyBorder="1"/>
    <xf numFmtId="3" fontId="27" fillId="0" borderId="0" xfId="136" applyNumberFormat="1" applyFont="1"/>
    <xf numFmtId="3" fontId="21" fillId="0" borderId="19" xfId="0" applyNumberFormat="1" applyFont="1" applyBorder="1"/>
    <xf numFmtId="0" fontId="27" fillId="0" borderId="0" xfId="102" applyFont="1"/>
    <xf numFmtId="0" fontId="21" fillId="0" borderId="0" xfId="136" applyFont="1"/>
    <xf numFmtId="3" fontId="27" fillId="0" borderId="0" xfId="102" applyNumberFormat="1" applyFont="1" applyFill="1"/>
    <xf numFmtId="3" fontId="37" fillId="0" borderId="0" xfId="136" applyNumberFormat="1" applyFont="1" applyFill="1" applyBorder="1" applyAlignment="1"/>
    <xf numFmtId="3" fontId="27" fillId="0" borderId="0" xfId="136" applyNumberFormat="1" applyFont="1" applyFill="1" applyBorder="1"/>
    <xf numFmtId="3" fontId="27" fillId="0" borderId="13" xfId="136" applyNumberFormat="1" applyFont="1" applyFill="1" applyBorder="1"/>
    <xf numFmtId="3" fontId="27" fillId="0" borderId="14" xfId="136" applyNumberFormat="1" applyFont="1" applyFill="1" applyBorder="1" applyAlignment="1">
      <alignment wrapText="1"/>
    </xf>
    <xf numFmtId="3" fontId="27" fillId="0" borderId="72" xfId="136" applyNumberFormat="1" applyFont="1" applyFill="1" applyBorder="1"/>
    <xf numFmtId="3" fontId="27" fillId="0" borderId="19" xfId="136" applyNumberFormat="1" applyFont="1" applyFill="1" applyBorder="1" applyAlignment="1">
      <alignment wrapText="1"/>
    </xf>
    <xf numFmtId="3" fontId="37" fillId="0" borderId="94" xfId="136" applyNumberFormat="1" applyFont="1" applyFill="1" applyBorder="1"/>
    <xf numFmtId="3" fontId="27" fillId="0" borderId="15" xfId="136" applyNumberFormat="1" applyFont="1" applyFill="1" applyBorder="1" applyAlignment="1">
      <alignment wrapText="1"/>
    </xf>
    <xf numFmtId="0" fontId="37" fillId="0" borderId="10" xfId="136" applyFont="1" applyFill="1" applyBorder="1" applyAlignment="1">
      <alignment horizontal="right"/>
    </xf>
    <xf numFmtId="3" fontId="37" fillId="0" borderId="0" xfId="136" applyNumberFormat="1" applyFont="1" applyFill="1" applyAlignment="1">
      <alignment wrapText="1"/>
    </xf>
    <xf numFmtId="0" fontId="37" fillId="32" borderId="0" xfId="136" applyFont="1" applyFill="1" applyAlignment="1">
      <alignment wrapText="1"/>
    </xf>
    <xf numFmtId="0" fontId="27" fillId="31" borderId="0" xfId="136" applyFont="1" applyFill="1" applyBorder="1" applyAlignment="1">
      <alignment wrapText="1"/>
    </xf>
    <xf numFmtId="0" fontId="27" fillId="31" borderId="0" xfId="136" applyFont="1" applyFill="1" applyAlignment="1">
      <alignment wrapText="1"/>
    </xf>
    <xf numFmtId="0" fontId="45" fillId="31" borderId="10" xfId="136" applyFont="1" applyFill="1" applyBorder="1" applyAlignment="1">
      <alignment wrapText="1"/>
    </xf>
    <xf numFmtId="0" fontId="27" fillId="31" borderId="10" xfId="136" applyFont="1" applyFill="1" applyBorder="1" applyAlignment="1">
      <alignment wrapText="1"/>
    </xf>
    <xf numFmtId="0" fontId="37" fillId="31" borderId="10" xfId="136" applyFont="1" applyFill="1" applyBorder="1" applyAlignment="1">
      <alignment wrapText="1"/>
    </xf>
    <xf numFmtId="0" fontId="27" fillId="31" borderId="81" xfId="136" applyFont="1" applyFill="1" applyBorder="1" applyAlignment="1">
      <alignment wrapText="1"/>
    </xf>
    <xf numFmtId="0" fontId="0" fillId="31" borderId="10" xfId="136" applyFont="1" applyFill="1" applyBorder="1" applyAlignment="1">
      <alignment wrapText="1"/>
    </xf>
    <xf numFmtId="0" fontId="27" fillId="31" borderId="0" xfId="102" applyFont="1" applyFill="1"/>
    <xf numFmtId="0" fontId="27" fillId="31" borderId="0" xfId="0" applyFont="1" applyFill="1"/>
    <xf numFmtId="0" fontId="0" fillId="31" borderId="12" xfId="136" applyFont="1" applyFill="1" applyBorder="1" applyAlignment="1">
      <alignment wrapText="1"/>
    </xf>
    <xf numFmtId="0" fontId="27" fillId="0" borderId="0" xfId="137" applyFont="1"/>
    <xf numFmtId="0" fontId="25" fillId="0" borderId="0" xfId="137" applyFont="1"/>
    <xf numFmtId="0" fontId="24" fillId="0" borderId="0" xfId="137" applyFont="1" applyAlignment="1">
      <alignment horizontal="center" wrapText="1"/>
    </xf>
    <xf numFmtId="0" fontId="19" fillId="0" borderId="0" xfId="137" applyFont="1"/>
    <xf numFmtId="0" fontId="20" fillId="0" borderId="12" xfId="137" applyFont="1" applyBorder="1" applyAlignment="1">
      <alignment horizontal="center" vertical="center" wrapText="1"/>
    </xf>
    <xf numFmtId="0" fontId="21" fillId="0" borderId="10" xfId="114" applyFont="1" applyBorder="1" applyAlignment="1">
      <alignment horizontal="center" vertical="center" wrapText="1"/>
    </xf>
    <xf numFmtId="0" fontId="46" fillId="0" borderId="10" xfId="114" applyFont="1" applyBorder="1" applyAlignment="1">
      <alignment horizontal="center" vertical="center" wrapText="1"/>
    </xf>
    <xf numFmtId="0" fontId="46" fillId="0" borderId="12" xfId="114" applyFont="1" applyBorder="1" applyAlignment="1">
      <alignment horizontal="center" vertical="center" wrapText="1"/>
    </xf>
    <xf numFmtId="0" fontId="46" fillId="0" borderId="19" xfId="114" applyFont="1" applyBorder="1" applyAlignment="1">
      <alignment horizontal="center" vertical="center" wrapText="1"/>
    </xf>
    <xf numFmtId="0" fontId="20" fillId="0" borderId="81" xfId="137" applyFont="1" applyBorder="1" applyAlignment="1">
      <alignment horizontal="center" vertical="center" wrapText="1"/>
    </xf>
    <xf numFmtId="0" fontId="27" fillId="0" borderId="0" xfId="137" applyFont="1" applyAlignment="1">
      <alignment wrapText="1"/>
    </xf>
    <xf numFmtId="0" fontId="20" fillId="0" borderId="15" xfId="137" applyFont="1" applyBorder="1" applyAlignment="1">
      <alignment wrapText="1"/>
    </xf>
    <xf numFmtId="0" fontId="20" fillId="29" borderId="10" xfId="138" applyFont="1" applyFill="1" applyBorder="1" applyAlignment="1">
      <alignment horizontal="center" vertical="center" wrapText="1"/>
    </xf>
    <xf numFmtId="0" fontId="20" fillId="29" borderId="12" xfId="138" applyFont="1" applyFill="1" applyBorder="1" applyAlignment="1">
      <alignment horizontal="center" vertical="center" wrapText="1"/>
    </xf>
    <xf numFmtId="0" fontId="20" fillId="29" borderId="19" xfId="138" applyFont="1" applyFill="1" applyBorder="1" applyAlignment="1">
      <alignment horizontal="center" vertical="center" wrapText="1"/>
    </xf>
    <xf numFmtId="0" fontId="20" fillId="0" borderId="81" xfId="137" applyFont="1" applyBorder="1" applyAlignment="1">
      <alignment wrapText="1"/>
    </xf>
    <xf numFmtId="0" fontId="19" fillId="0" borderId="10" xfId="137" applyFont="1" applyBorder="1" applyAlignment="1">
      <alignment wrapText="1"/>
    </xf>
    <xf numFmtId="0" fontId="19" fillId="0" borderId="12" xfId="137" applyFont="1" applyBorder="1" applyAlignment="1">
      <alignment wrapText="1"/>
    </xf>
    <xf numFmtId="0" fontId="19" fillId="0" borderId="19" xfId="137" applyFont="1" applyBorder="1" applyAlignment="1">
      <alignment wrapText="1"/>
    </xf>
    <xf numFmtId="0" fontId="19" fillId="0" borderId="12" xfId="114" applyFont="1" applyBorder="1" applyAlignment="1">
      <alignment horizontal="left" vertical="center" wrapText="1"/>
    </xf>
    <xf numFmtId="3" fontId="19" fillId="0" borderId="10" xfId="137" applyNumberFormat="1" applyFont="1" applyBorder="1" applyAlignment="1">
      <alignment vertical="center"/>
    </xf>
    <xf numFmtId="3" fontId="19" fillId="29" borderId="10" xfId="138" applyNumberFormat="1" applyFont="1" applyFill="1" applyBorder="1" applyAlignment="1">
      <alignment horizontal="right" vertical="center" wrapText="1"/>
    </xf>
    <xf numFmtId="3" fontId="19" fillId="29" borderId="12" xfId="138" applyNumberFormat="1" applyFont="1" applyFill="1" applyBorder="1" applyAlignment="1">
      <alignment horizontal="right" vertical="center" wrapText="1"/>
    </xf>
    <xf numFmtId="3" fontId="19" fillId="29" borderId="19" xfId="138" applyNumberFormat="1" applyFont="1" applyFill="1" applyBorder="1" applyAlignment="1">
      <alignment horizontal="right" vertical="center" wrapText="1"/>
    </xf>
    <xf numFmtId="0" fontId="19" fillId="0" borderId="59" xfId="139" applyFont="1" applyBorder="1" applyAlignment="1">
      <alignment vertical="center" wrapText="1"/>
    </xf>
    <xf numFmtId="3" fontId="19" fillId="0" borderId="12" xfId="137" applyNumberFormat="1" applyFont="1" applyBorder="1" applyAlignment="1">
      <alignment vertical="center"/>
    </xf>
    <xf numFmtId="3" fontId="19" fillId="0" borderId="19" xfId="137" applyNumberFormat="1" applyFont="1" applyBorder="1" applyAlignment="1">
      <alignment vertical="center"/>
    </xf>
    <xf numFmtId="3" fontId="27" fillId="0" borderId="0" xfId="137" applyNumberFormat="1" applyFont="1" applyAlignment="1">
      <alignment vertical="center"/>
    </xf>
    <xf numFmtId="0" fontId="27" fillId="0" borderId="0" xfId="137" applyFont="1" applyAlignment="1">
      <alignment vertical="center"/>
    </xf>
    <xf numFmtId="0" fontId="19" fillId="0" borderId="12" xfId="139" applyFont="1" applyBorder="1" applyAlignment="1">
      <alignment wrapText="1"/>
    </xf>
    <xf numFmtId="0" fontId="19" fillId="0" borderId="100" xfId="107" applyFont="1" applyBorder="1"/>
    <xf numFmtId="0" fontId="19" fillId="0" borderId="81" xfId="139" applyFont="1" applyBorder="1" applyAlignment="1">
      <alignment wrapText="1"/>
    </xf>
    <xf numFmtId="3" fontId="19" fillId="0" borderId="10" xfId="137" applyNumberFormat="1" applyFont="1" applyBorder="1"/>
    <xf numFmtId="3" fontId="19" fillId="0" borderId="12" xfId="137" applyNumberFormat="1" applyFont="1" applyBorder="1"/>
    <xf numFmtId="3" fontId="19" fillId="0" borderId="19" xfId="137" applyNumberFormat="1" applyFont="1" applyBorder="1"/>
    <xf numFmtId="0" fontId="19" fillId="0" borderId="100" xfId="139" applyFont="1" applyBorder="1" applyAlignment="1">
      <alignment wrapText="1"/>
    </xf>
    <xf numFmtId="0" fontId="19" fillId="29" borderId="10" xfId="114" applyFont="1" applyFill="1" applyBorder="1" applyAlignment="1">
      <alignment wrapText="1"/>
    </xf>
    <xf numFmtId="3" fontId="19" fillId="29" borderId="10" xfId="138" applyNumberFormat="1" applyFont="1" applyFill="1" applyBorder="1" applyAlignment="1">
      <alignment horizontal="right" wrapText="1"/>
    </xf>
    <xf numFmtId="3" fontId="19" fillId="29" borderId="12" xfId="138" applyNumberFormat="1" applyFont="1" applyFill="1" applyBorder="1" applyAlignment="1">
      <alignment horizontal="right" wrapText="1"/>
    </xf>
    <xf numFmtId="0" fontId="19" fillId="0" borderId="59" xfId="139" applyFont="1" applyBorder="1" applyAlignment="1">
      <alignment wrapText="1"/>
    </xf>
    <xf numFmtId="0" fontId="19" fillId="0" borderId="12" xfId="114" applyFont="1" applyBorder="1" applyAlignment="1">
      <alignment horizontal="left" wrapText="1"/>
    </xf>
    <xf numFmtId="3" fontId="19" fillId="29" borderId="19" xfId="138" applyNumberFormat="1" applyFont="1" applyFill="1" applyBorder="1" applyAlignment="1">
      <alignment horizontal="right" wrapText="1"/>
    </xf>
    <xf numFmtId="0" fontId="19" fillId="29" borderId="12" xfId="114" applyFont="1" applyFill="1" applyBorder="1" applyAlignment="1">
      <alignment wrapText="1"/>
    </xf>
    <xf numFmtId="3" fontId="19" fillId="0" borderId="13" xfId="137" applyNumberFormat="1" applyFont="1" applyBorder="1"/>
    <xf numFmtId="3" fontId="19" fillId="0" borderId="72" xfId="137" applyNumberFormat="1" applyFont="1" applyBorder="1"/>
    <xf numFmtId="0" fontId="20" fillId="0" borderId="12" xfId="137" applyFont="1" applyBorder="1" applyAlignment="1">
      <alignment wrapText="1"/>
    </xf>
    <xf numFmtId="3" fontId="20" fillId="0" borderId="10" xfId="137" applyNumberFormat="1" applyFont="1" applyBorder="1"/>
    <xf numFmtId="3" fontId="20" fillId="0" borderId="12" xfId="137" applyNumberFormat="1" applyFont="1" applyBorder="1"/>
    <xf numFmtId="0" fontId="20" fillId="0" borderId="19" xfId="137" applyFont="1" applyBorder="1" applyAlignment="1">
      <alignment wrapText="1"/>
    </xf>
    <xf numFmtId="3" fontId="20" fillId="0" borderId="19" xfId="137" applyNumberFormat="1" applyFont="1" applyBorder="1"/>
    <xf numFmtId="0" fontId="21" fillId="0" borderId="0" xfId="137" applyFont="1"/>
    <xf numFmtId="3" fontId="19" fillId="0" borderId="28" xfId="137" applyNumberFormat="1" applyFont="1" applyBorder="1"/>
    <xf numFmtId="3" fontId="20" fillId="0" borderId="28" xfId="137" applyNumberFormat="1" applyFont="1" applyBorder="1"/>
    <xf numFmtId="0" fontId="20" fillId="0" borderId="100" xfId="137" applyFont="1" applyBorder="1" applyAlignment="1">
      <alignment wrapText="1"/>
    </xf>
    <xf numFmtId="0" fontId="20" fillId="0" borderId="0" xfId="137" applyFont="1" applyBorder="1"/>
    <xf numFmtId="0" fontId="20" fillId="0" borderId="28" xfId="137" applyFont="1" applyBorder="1"/>
    <xf numFmtId="0" fontId="20" fillId="0" borderId="19" xfId="137" applyFont="1" applyBorder="1"/>
    <xf numFmtId="0" fontId="19" fillId="0" borderId="19" xfId="137" applyFont="1" applyBorder="1"/>
    <xf numFmtId="0" fontId="19" fillId="0" borderId="19" xfId="139" applyFont="1" applyBorder="1" applyAlignment="1">
      <alignment wrapText="1"/>
    </xf>
    <xf numFmtId="3" fontId="27" fillId="0" borderId="0" xfId="137" applyNumberFormat="1" applyFont="1"/>
    <xf numFmtId="0" fontId="19" fillId="0" borderId="10" xfId="107" applyFont="1" applyBorder="1" applyAlignment="1">
      <alignment wrapText="1"/>
    </xf>
    <xf numFmtId="0" fontId="19" fillId="0" borderId="19" xfId="139" applyFont="1" applyFill="1" applyBorder="1" applyAlignment="1">
      <alignment wrapText="1"/>
    </xf>
    <xf numFmtId="0" fontId="19" fillId="0" borderId="100" xfId="137" applyFont="1" applyBorder="1" applyAlignment="1">
      <alignment wrapText="1"/>
    </xf>
    <xf numFmtId="0" fontId="19" fillId="0" borderId="19" xfId="107" applyFont="1" applyBorder="1" applyAlignment="1">
      <alignment wrapText="1"/>
    </xf>
    <xf numFmtId="3" fontId="21" fillId="0" borderId="0" xfId="137" applyNumberFormat="1" applyFont="1"/>
    <xf numFmtId="3" fontId="19" fillId="0" borderId="0" xfId="137" applyNumberFormat="1" applyFont="1"/>
    <xf numFmtId="0" fontId="20" fillId="0" borderId="10" xfId="137" applyFont="1" applyBorder="1" applyAlignment="1">
      <alignment horizontal="center" vertical="center" wrapText="1"/>
    </xf>
    <xf numFmtId="0" fontId="20" fillId="0" borderId="24" xfId="137" applyFont="1" applyBorder="1" applyAlignment="1">
      <alignment horizontal="center" vertical="center" wrapText="1"/>
    </xf>
    <xf numFmtId="0" fontId="0" fillId="0" borderId="0" xfId="137" applyFont="1" applyAlignment="1">
      <alignment wrapText="1"/>
    </xf>
    <xf numFmtId="0" fontId="19" fillId="0" borderId="10" xfId="137" applyFont="1" applyBorder="1"/>
    <xf numFmtId="0" fontId="19" fillId="0" borderId="12" xfId="137" applyFont="1" applyBorder="1"/>
    <xf numFmtId="0" fontId="0" fillId="0" borderId="0" xfId="137" applyFont="1"/>
    <xf numFmtId="0" fontId="19" fillId="0" borderId="81" xfId="137" applyFont="1" applyBorder="1" applyAlignment="1">
      <alignment wrapText="1"/>
    </xf>
    <xf numFmtId="0" fontId="20" fillId="0" borderId="81" xfId="137" applyFont="1" applyBorder="1"/>
    <xf numFmtId="0" fontId="19" fillId="0" borderId="0" xfId="137" applyFont="1" applyBorder="1"/>
    <xf numFmtId="3" fontId="19" fillId="0" borderId="10" xfId="137" applyNumberFormat="1" applyFont="1" applyBorder="1" applyAlignment="1">
      <alignment wrapText="1"/>
    </xf>
    <xf numFmtId="3" fontId="19" fillId="0" borderId="12" xfId="137" applyNumberFormat="1" applyFont="1" applyBorder="1" applyAlignment="1">
      <alignment wrapText="1"/>
    </xf>
    <xf numFmtId="0" fontId="19" fillId="0" borderId="10" xfId="139" applyFont="1" applyBorder="1" applyAlignment="1">
      <alignment wrapText="1"/>
    </xf>
    <xf numFmtId="0" fontId="19" fillId="0" borderId="81" xfId="139" applyFont="1" applyFill="1" applyBorder="1" applyAlignment="1">
      <alignment wrapText="1"/>
    </xf>
    <xf numFmtId="0" fontId="19" fillId="0" borderId="94" xfId="137" applyFont="1" applyBorder="1" applyAlignment="1">
      <alignment wrapText="1"/>
    </xf>
    <xf numFmtId="0" fontId="20" fillId="0" borderId="10" xfId="137" applyFont="1" applyBorder="1" applyAlignment="1">
      <alignment wrapText="1"/>
    </xf>
    <xf numFmtId="0" fontId="20" fillId="0" borderId="94" xfId="137" applyFont="1" applyBorder="1" applyAlignment="1">
      <alignment wrapText="1"/>
    </xf>
    <xf numFmtId="0" fontId="20" fillId="0" borderId="59" xfId="137" applyFont="1" applyBorder="1" applyAlignment="1">
      <alignment wrapText="1"/>
    </xf>
    <xf numFmtId="0" fontId="21" fillId="0" borderId="0" xfId="137" applyFont="1" applyBorder="1" applyAlignment="1">
      <alignment wrapText="1"/>
    </xf>
    <xf numFmtId="3" fontId="21" fillId="0" borderId="0" xfId="137" applyNumberFormat="1" applyFont="1" applyBorder="1"/>
    <xf numFmtId="0" fontId="21" fillId="0" borderId="0" xfId="137" applyFont="1" applyBorder="1"/>
    <xf numFmtId="0" fontId="20" fillId="0" borderId="13" xfId="137" applyFont="1" applyBorder="1" applyAlignment="1">
      <alignment wrapText="1"/>
    </xf>
    <xf numFmtId="0" fontId="20" fillId="0" borderId="24" xfId="137" applyFont="1" applyBorder="1" applyAlignment="1">
      <alignment wrapText="1"/>
    </xf>
    <xf numFmtId="0" fontId="19" fillId="0" borderId="10" xfId="114" applyFont="1" applyBorder="1" applyAlignment="1">
      <alignment horizontal="left" wrapText="1"/>
    </xf>
    <xf numFmtId="0" fontId="19" fillId="0" borderId="24" xfId="139" applyFont="1" applyBorder="1" applyAlignment="1">
      <alignment wrapText="1"/>
    </xf>
    <xf numFmtId="0" fontId="19" fillId="0" borderId="95" xfId="139" applyFont="1" applyBorder="1" applyAlignment="1">
      <alignment wrapText="1"/>
    </xf>
    <xf numFmtId="0" fontId="19" fillId="0" borderId="94" xfId="139" applyFont="1" applyBorder="1" applyAlignment="1">
      <alignment wrapText="1"/>
    </xf>
    <xf numFmtId="0" fontId="19" fillId="0" borderId="13" xfId="139" applyFont="1" applyBorder="1" applyAlignment="1">
      <alignment wrapText="1"/>
    </xf>
    <xf numFmtId="0" fontId="19" fillId="0" borderId="24" xfId="137" applyFont="1" applyBorder="1" applyAlignment="1">
      <alignment wrapText="1"/>
    </xf>
    <xf numFmtId="3" fontId="20" fillId="0" borderId="10" xfId="137" applyNumberFormat="1" applyFont="1" applyBorder="1" applyAlignment="1">
      <alignment wrapText="1"/>
    </xf>
    <xf numFmtId="3" fontId="20" fillId="0" borderId="12" xfId="137" applyNumberFormat="1" applyFont="1" applyBorder="1" applyAlignment="1">
      <alignment wrapText="1"/>
    </xf>
    <xf numFmtId="3" fontId="20" fillId="0" borderId="19" xfId="137" applyNumberFormat="1" applyFont="1" applyBorder="1" applyAlignment="1">
      <alignment wrapText="1"/>
    </xf>
    <xf numFmtId="0" fontId="20" fillId="0" borderId="0" xfId="106" applyFont="1" applyBorder="1" applyAlignment="1">
      <alignment horizontal="center" wrapText="1"/>
    </xf>
    <xf numFmtId="0" fontId="19" fillId="0" borderId="0" xfId="106" applyFont="1" applyBorder="1"/>
    <xf numFmtId="0" fontId="20" fillId="0" borderId="52" xfId="106" applyFont="1" applyBorder="1" applyAlignment="1">
      <alignment horizontal="center" wrapText="1"/>
    </xf>
    <xf numFmtId="0" fontId="24" fillId="0" borderId="38" xfId="106" applyFont="1" applyBorder="1" applyAlignment="1">
      <alignment horizontal="center" vertical="center" wrapText="1"/>
    </xf>
    <xf numFmtId="0" fontId="25" fillId="0" borderId="31" xfId="106" applyFont="1" applyBorder="1"/>
    <xf numFmtId="0" fontId="25" fillId="0" borderId="51" xfId="106" applyFont="1" applyBorder="1"/>
    <xf numFmtId="3" fontId="25" fillId="0" borderId="19" xfId="106" applyNumberFormat="1" applyFont="1" applyBorder="1"/>
    <xf numFmtId="3" fontId="25" fillId="0" borderId="27" xfId="106" applyNumberFormat="1" applyFont="1" applyBorder="1"/>
    <xf numFmtId="0" fontId="27" fillId="30" borderId="0" xfId="106" applyFont="1" applyFill="1"/>
    <xf numFmtId="0" fontId="19" fillId="31" borderId="20" xfId="106" applyFont="1" applyFill="1" applyBorder="1" applyAlignment="1">
      <alignment wrapText="1"/>
    </xf>
    <xf numFmtId="3" fontId="24" fillId="0" borderId="27" xfId="106" applyNumberFormat="1" applyFont="1" applyBorder="1"/>
    <xf numFmtId="3" fontId="24" fillId="0" borderId="19" xfId="106" applyNumberFormat="1" applyFont="1" applyBorder="1"/>
    <xf numFmtId="0" fontId="36" fillId="0" borderId="0" xfId="106" applyFont="1"/>
    <xf numFmtId="0" fontId="36" fillId="0" borderId="0" xfId="99" applyFont="1"/>
    <xf numFmtId="0" fontId="21" fillId="30" borderId="0" xfId="106" applyFont="1" applyFill="1"/>
    <xf numFmtId="3" fontId="25" fillId="0" borderId="22" xfId="106" applyNumberFormat="1" applyFont="1" applyBorder="1"/>
    <xf numFmtId="3" fontId="25" fillId="0" borderId="50" xfId="106" applyNumberFormat="1" applyFont="1" applyBorder="1"/>
    <xf numFmtId="0" fontId="27" fillId="0" borderId="0" xfId="99" applyFont="1"/>
    <xf numFmtId="0" fontId="27" fillId="33" borderId="0" xfId="99" applyFont="1" applyFill="1"/>
    <xf numFmtId="0" fontId="25" fillId="0" borderId="27" xfId="106" applyFont="1" applyBorder="1"/>
    <xf numFmtId="0" fontId="19" fillId="31" borderId="20" xfId="0" applyFont="1" applyFill="1" applyBorder="1" applyAlignment="1">
      <alignment wrapText="1"/>
    </xf>
    <xf numFmtId="3" fontId="24" fillId="0" borderId="22" xfId="106" applyNumberFormat="1" applyFont="1" applyBorder="1"/>
    <xf numFmtId="3" fontId="24" fillId="0" borderId="50" xfId="106" applyNumberFormat="1" applyFont="1" applyBorder="1"/>
    <xf numFmtId="3" fontId="21" fillId="0" borderId="0" xfId="106" applyNumberFormat="1" applyFont="1"/>
    <xf numFmtId="0" fontId="24" fillId="0" borderId="0" xfId="106" applyFont="1"/>
    <xf numFmtId="0" fontId="25" fillId="0" borderId="0" xfId="106" applyFont="1"/>
    <xf numFmtId="3" fontId="25" fillId="0" borderId="0" xfId="106" applyNumberFormat="1" applyFont="1"/>
    <xf numFmtId="0" fontId="25" fillId="30" borderId="0" xfId="106" applyFont="1" applyFill="1"/>
    <xf numFmtId="3" fontId="25" fillId="30" borderId="0" xfId="106" applyNumberFormat="1" applyFont="1" applyFill="1"/>
    <xf numFmtId="3" fontId="36" fillId="0" borderId="0" xfId="106" applyNumberFormat="1" applyFont="1"/>
    <xf numFmtId="0" fontId="19" fillId="0" borderId="0" xfId="106" applyFont="1"/>
    <xf numFmtId="0" fontId="25" fillId="31" borderId="0" xfId="0" applyFont="1" applyFill="1" applyAlignment="1">
      <alignment wrapText="1"/>
    </xf>
    <xf numFmtId="0" fontId="25" fillId="31" borderId="0" xfId="0" applyFont="1" applyFill="1"/>
    <xf numFmtId="0" fontId="25" fillId="31" borderId="0" xfId="0" applyFont="1" applyFill="1" applyAlignment="1">
      <alignment horizontal="left" wrapText="1"/>
    </xf>
    <xf numFmtId="0" fontId="25" fillId="31" borderId="0" xfId="0" applyFont="1" applyFill="1" applyAlignment="1">
      <alignment horizontal="right"/>
    </xf>
    <xf numFmtId="0" fontId="25" fillId="31" borderId="13" xfId="0" applyFont="1" applyFill="1" applyBorder="1" applyAlignment="1">
      <alignment horizontal="center" wrapText="1"/>
    </xf>
    <xf numFmtId="3" fontId="24" fillId="31" borderId="13" xfId="0" applyNumberFormat="1" applyFont="1" applyFill="1" applyBorder="1" applyAlignment="1">
      <alignment horizontal="left" wrapText="1"/>
    </xf>
    <xf numFmtId="3" fontId="24" fillId="31" borderId="13" xfId="0" applyNumberFormat="1" applyFont="1" applyFill="1" applyBorder="1" applyAlignment="1">
      <alignment horizontal="right" wrapText="1"/>
    </xf>
    <xf numFmtId="3" fontId="0" fillId="0" borderId="15" xfId="0" applyNumberFormat="1" applyFont="1" applyFill="1" applyBorder="1" applyAlignment="1">
      <alignment horizontal="right" wrapText="1"/>
    </xf>
    <xf numFmtId="0" fontId="0" fillId="0" borderId="0" xfId="0" applyFont="1" applyBorder="1"/>
    <xf numFmtId="3" fontId="0" fillId="0" borderId="0" xfId="0" applyNumberFormat="1" applyFont="1"/>
    <xf numFmtId="3" fontId="24" fillId="31" borderId="10" xfId="0" applyNumberFormat="1" applyFont="1" applyFill="1" applyBorder="1" applyAlignment="1">
      <alignment horizontal="left" wrapText="1"/>
    </xf>
    <xf numFmtId="3" fontId="24" fillId="31" borderId="10" xfId="0" applyNumberFormat="1" applyFont="1" applyFill="1" applyBorder="1" applyAlignment="1">
      <alignment horizontal="right" wrapText="1"/>
    </xf>
    <xf numFmtId="0" fontId="25" fillId="31" borderId="94" xfId="0" applyFont="1" applyFill="1" applyBorder="1" applyAlignment="1">
      <alignment wrapText="1"/>
    </xf>
    <xf numFmtId="3" fontId="25" fillId="31" borderId="94" xfId="0" applyNumberFormat="1" applyFont="1" applyFill="1" applyBorder="1"/>
    <xf numFmtId="3" fontId="25" fillId="31" borderId="10" xfId="0" applyNumberFormat="1" applyFont="1" applyFill="1" applyBorder="1"/>
    <xf numFmtId="0" fontId="25" fillId="31" borderId="10" xfId="0" applyFont="1" applyFill="1" applyBorder="1" applyAlignment="1">
      <alignment wrapText="1"/>
    </xf>
    <xf numFmtId="0" fontId="47" fillId="31" borderId="10" xfId="0" applyFont="1" applyFill="1" applyBorder="1" applyAlignment="1">
      <alignment wrapText="1"/>
    </xf>
    <xf numFmtId="0" fontId="39" fillId="31" borderId="26" xfId="114" applyFont="1" applyFill="1" applyBorder="1"/>
    <xf numFmtId="3" fontId="19" fillId="0" borderId="0" xfId="0" applyNumberFormat="1" applyFont="1"/>
    <xf numFmtId="0" fontId="48" fillId="31" borderId="10" xfId="0" applyFont="1" applyFill="1" applyBorder="1" applyAlignment="1">
      <alignment wrapText="1"/>
    </xf>
    <xf numFmtId="3" fontId="47" fillId="31" borderId="10" xfId="0" applyNumberFormat="1" applyFont="1" applyFill="1" applyBorder="1"/>
    <xf numFmtId="3" fontId="32" fillId="0" borderId="0" xfId="0" applyNumberFormat="1" applyFont="1"/>
    <xf numFmtId="0" fontId="32" fillId="0" borderId="0" xfId="0" applyFont="1"/>
    <xf numFmtId="0" fontId="24" fillId="31" borderId="10" xfId="0" applyFont="1" applyFill="1" applyBorder="1" applyAlignment="1">
      <alignment wrapText="1"/>
    </xf>
    <xf numFmtId="3" fontId="24" fillId="31" borderId="10" xfId="0" applyNumberFormat="1" applyFont="1" applyFill="1" applyBorder="1"/>
    <xf numFmtId="0" fontId="25" fillId="31" borderId="10" xfId="0" applyFont="1" applyFill="1" applyBorder="1" applyAlignment="1">
      <alignment vertical="center" wrapText="1"/>
    </xf>
    <xf numFmtId="0" fontId="25" fillId="31" borderId="10" xfId="0" applyFont="1" applyFill="1" applyBorder="1" applyAlignment="1">
      <alignment vertical="center"/>
    </xf>
    <xf numFmtId="3" fontId="25" fillId="31" borderId="10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3" fontId="0" fillId="0" borderId="15" xfId="0" applyNumberFormat="1" applyFont="1" applyFill="1" applyBorder="1"/>
    <xf numFmtId="0" fontId="24" fillId="31" borderId="13" xfId="0" applyFont="1" applyFill="1" applyBorder="1" applyAlignment="1">
      <alignment wrapText="1"/>
    </xf>
    <xf numFmtId="3" fontId="24" fillId="31" borderId="13" xfId="0" applyNumberFormat="1" applyFont="1" applyFill="1" applyBorder="1"/>
    <xf numFmtId="0" fontId="27" fillId="31" borderId="0" xfId="0" applyFont="1" applyFill="1" applyAlignment="1">
      <alignment wrapText="1"/>
    </xf>
    <xf numFmtId="3" fontId="27" fillId="31" borderId="0" xfId="0" applyNumberFormat="1" applyFont="1" applyFill="1"/>
    <xf numFmtId="0" fontId="21" fillId="29" borderId="86" xfId="114" applyFont="1" applyFill="1" applyBorder="1" applyAlignment="1">
      <alignment horizontal="center" vertical="center" wrapText="1"/>
    </xf>
    <xf numFmtId="0" fontId="24" fillId="0" borderId="116" xfId="114" applyFont="1" applyBorder="1" applyAlignment="1">
      <alignment horizontal="center" vertical="center" wrapText="1"/>
    </xf>
    <xf numFmtId="0" fontId="20" fillId="0" borderId="119" xfId="114" applyFont="1" applyBorder="1" applyAlignment="1">
      <alignment horizontal="center" vertical="center"/>
    </xf>
    <xf numFmtId="0" fontId="24" fillId="0" borderId="19" xfId="114" applyFont="1" applyBorder="1"/>
    <xf numFmtId="0" fontId="25" fillId="0" borderId="19" xfId="114" applyFont="1" applyBorder="1"/>
    <xf numFmtId="0" fontId="25" fillId="0" borderId="30" xfId="114" applyFont="1" applyBorder="1" applyAlignment="1">
      <alignment horizontal="left" wrapText="1"/>
    </xf>
    <xf numFmtId="3" fontId="25" fillId="0" borderId="31" xfId="114" applyNumberFormat="1" applyFont="1" applyBorder="1"/>
    <xf numFmtId="3" fontId="25" fillId="0" borderId="51" xfId="114" applyNumberFormat="1" applyFont="1" applyBorder="1"/>
    <xf numFmtId="0" fontId="19" fillId="0" borderId="20" xfId="114" applyFont="1" applyBorder="1" applyAlignment="1">
      <alignment wrapText="1"/>
    </xf>
    <xf numFmtId="3" fontId="25" fillId="0" borderId="22" xfId="114" applyNumberFormat="1" applyFont="1" applyBorder="1"/>
    <xf numFmtId="4" fontId="27" fillId="29" borderId="88" xfId="114" applyNumberFormat="1" applyFont="1" applyFill="1" applyBorder="1" applyAlignment="1">
      <alignment horizontal="right" wrapText="1"/>
    </xf>
    <xf numFmtId="3" fontId="21" fillId="29" borderId="19" xfId="114" applyNumberFormat="1" applyFont="1" applyFill="1" applyBorder="1"/>
    <xf numFmtId="0" fontId="21" fillId="29" borderId="30" xfId="114" applyFont="1" applyFill="1" applyBorder="1" applyAlignment="1">
      <alignment wrapText="1"/>
    </xf>
    <xf numFmtId="0" fontId="27" fillId="29" borderId="20" xfId="113" applyFont="1" applyFill="1" applyBorder="1" applyAlignment="1">
      <alignment wrapText="1"/>
    </xf>
    <xf numFmtId="0" fontId="21" fillId="29" borderId="20" xfId="114" applyFont="1" applyFill="1" applyBorder="1" applyAlignment="1">
      <alignment wrapText="1"/>
    </xf>
    <xf numFmtId="0" fontId="27" fillId="29" borderId="20" xfId="114" applyFont="1" applyFill="1" applyBorder="1" applyAlignment="1">
      <alignment wrapText="1"/>
    </xf>
    <xf numFmtId="0" fontId="27" fillId="29" borderId="29" xfId="113" applyFont="1" applyFill="1" applyBorder="1" applyAlignment="1">
      <alignment wrapText="1"/>
    </xf>
    <xf numFmtId="0" fontId="21" fillId="29" borderId="80" xfId="114" applyFont="1" applyFill="1" applyBorder="1" applyAlignment="1">
      <alignment horizontal="center" vertical="center" wrapText="1"/>
    </xf>
    <xf numFmtId="164" fontId="27" fillId="29" borderId="20" xfId="113" applyNumberFormat="1" applyFont="1" applyFill="1" applyBorder="1" applyAlignment="1">
      <alignment wrapText="1"/>
    </xf>
    <xf numFmtId="3" fontId="32" fillId="29" borderId="22" xfId="114" applyNumberFormat="1" applyFont="1" applyFill="1" applyBorder="1" applyAlignment="1">
      <alignment horizontal="right" wrapText="1"/>
    </xf>
    <xf numFmtId="3" fontId="21" fillId="29" borderId="71" xfId="114" applyNumberFormat="1" applyFont="1" applyFill="1" applyBorder="1" applyAlignment="1">
      <alignment horizontal="right" wrapText="1"/>
    </xf>
    <xf numFmtId="3" fontId="32" fillId="29" borderId="67" xfId="114" applyNumberFormat="1" applyFont="1" applyFill="1" applyBorder="1" applyAlignment="1">
      <alignment horizontal="right" wrapText="1"/>
    </xf>
    <xf numFmtId="3" fontId="32" fillId="29" borderId="20" xfId="114" applyNumberFormat="1" applyFont="1" applyFill="1" applyBorder="1" applyAlignment="1">
      <alignment horizontal="right" wrapText="1"/>
    </xf>
    <xf numFmtId="0" fontId="30" fillId="29" borderId="20" xfId="114" applyFont="1" applyFill="1" applyBorder="1"/>
    <xf numFmtId="0" fontId="29" fillId="29" borderId="20" xfId="114" applyFont="1" applyFill="1" applyBorder="1"/>
    <xf numFmtId="0" fontId="31" fillId="29" borderId="20" xfId="114" applyFont="1" applyFill="1" applyBorder="1"/>
    <xf numFmtId="0" fontId="29" fillId="29" borderId="29" xfId="114" applyFont="1" applyFill="1" applyBorder="1"/>
    <xf numFmtId="3" fontId="20" fillId="29" borderId="20" xfId="114" applyNumberFormat="1" applyFont="1" applyFill="1" applyBorder="1" applyAlignment="1">
      <alignment vertical="center"/>
    </xf>
    <xf numFmtId="3" fontId="27" fillId="29" borderId="29" xfId="114" applyNumberFormat="1" applyFont="1" applyFill="1" applyBorder="1" applyAlignment="1">
      <alignment horizontal="right" wrapText="1"/>
    </xf>
    <xf numFmtId="0" fontId="20" fillId="0" borderId="45" xfId="114" applyFont="1" applyBorder="1" applyAlignment="1">
      <alignment horizontal="center" vertical="center" wrapText="1"/>
    </xf>
    <xf numFmtId="0" fontId="20" fillId="0" borderId="54" xfId="114" applyFont="1" applyBorder="1" applyAlignment="1">
      <alignment horizontal="center" vertical="center"/>
    </xf>
    <xf numFmtId="0" fontId="20" fillId="0" borderId="48" xfId="114" applyFont="1" applyBorder="1" applyAlignment="1">
      <alignment horizontal="center" vertical="center" wrapText="1"/>
    </xf>
    <xf numFmtId="0" fontId="20" fillId="0" borderId="74" xfId="114" applyFont="1" applyBorder="1" applyAlignment="1">
      <alignment horizontal="center" vertical="center"/>
    </xf>
    <xf numFmtId="3" fontId="25" fillId="0" borderId="47" xfId="111" applyNumberFormat="1" applyFont="1" applyFill="1" applyBorder="1" applyAlignment="1">
      <alignment horizontal="right" vertical="center" wrapText="1"/>
    </xf>
    <xf numFmtId="3" fontId="25" fillId="0" borderId="19" xfId="111" applyNumberFormat="1" applyFont="1" applyFill="1" applyBorder="1" applyAlignment="1">
      <alignment horizontal="right" vertical="center" wrapText="1"/>
    </xf>
    <xf numFmtId="0" fontId="25" fillId="0" borderId="62" xfId="114" applyFont="1" applyFill="1" applyBorder="1" applyAlignment="1">
      <alignment horizontal="left" vertical="center" wrapText="1"/>
    </xf>
    <xf numFmtId="0" fontId="25" fillId="0" borderId="17" xfId="111" applyFont="1" applyBorder="1" applyAlignment="1">
      <alignment wrapText="1"/>
    </xf>
    <xf numFmtId="0" fontId="25" fillId="0" borderId="46" xfId="111" applyFont="1" applyFill="1" applyBorder="1" applyAlignment="1">
      <alignment wrapText="1"/>
    </xf>
    <xf numFmtId="0" fontId="25" fillId="0" borderId="46" xfId="107" applyFont="1" applyFill="1" applyBorder="1" applyAlignment="1">
      <alignment wrapText="1"/>
    </xf>
    <xf numFmtId="0" fontId="25" fillId="0" borderId="34" xfId="107" applyFont="1" applyFill="1" applyBorder="1" applyAlignment="1">
      <alignment wrapText="1"/>
    </xf>
    <xf numFmtId="0" fontId="25" fillId="0" borderId="17" xfId="107" applyFont="1" applyFill="1" applyBorder="1" applyAlignment="1">
      <alignment wrapText="1"/>
    </xf>
    <xf numFmtId="0" fontId="25" fillId="0" borderId="66" xfId="114" applyFont="1" applyFill="1" applyBorder="1" applyAlignment="1">
      <alignment horizontal="left" vertical="center" wrapText="1"/>
    </xf>
    <xf numFmtId="0" fontId="24" fillId="0" borderId="61" xfId="111" applyFont="1" applyFill="1" applyBorder="1" applyAlignment="1">
      <alignment wrapText="1"/>
    </xf>
    <xf numFmtId="0" fontId="25" fillId="0" borderId="0" xfId="111" applyFont="1" applyFill="1" applyBorder="1" applyAlignment="1">
      <alignment wrapText="1"/>
    </xf>
    <xf numFmtId="0" fontId="24" fillId="0" borderId="19" xfId="111" applyFont="1" applyFill="1" applyBorder="1" applyAlignment="1">
      <alignment horizontal="right" vertical="center" wrapText="1"/>
    </xf>
    <xf numFmtId="0" fontId="24" fillId="0" borderId="20" xfId="111" applyFont="1" applyFill="1" applyBorder="1" applyAlignment="1">
      <alignment horizontal="left" vertical="center" wrapText="1"/>
    </xf>
    <xf numFmtId="0" fontId="25" fillId="0" borderId="20" xfId="111" applyFont="1" applyBorder="1" applyAlignment="1">
      <alignment wrapText="1"/>
    </xf>
    <xf numFmtId="0" fontId="25" fillId="0" borderId="20" xfId="111" applyFont="1" applyFill="1" applyBorder="1" applyAlignment="1">
      <alignment wrapText="1"/>
    </xf>
    <xf numFmtId="0" fontId="25" fillId="0" borderId="20" xfId="107" applyFont="1" applyFill="1" applyBorder="1" applyAlignment="1">
      <alignment wrapText="1"/>
    </xf>
    <xf numFmtId="0" fontId="25" fillId="0" borderId="20" xfId="0" applyFont="1" applyBorder="1"/>
    <xf numFmtId="0" fontId="25" fillId="0" borderId="29" xfId="111" applyFont="1" applyFill="1" applyBorder="1" applyAlignment="1">
      <alignment wrapText="1"/>
    </xf>
    <xf numFmtId="3" fontId="25" fillId="0" borderId="22" xfId="111" applyNumberFormat="1" applyFont="1" applyFill="1" applyBorder="1" applyAlignment="1">
      <alignment horizontal="right" vertical="center" wrapText="1"/>
    </xf>
    <xf numFmtId="0" fontId="24" fillId="0" borderId="44" xfId="111" applyFont="1" applyFill="1" applyBorder="1" applyAlignment="1">
      <alignment horizontal="left" vertical="center" wrapText="1"/>
    </xf>
    <xf numFmtId="3" fontId="24" fillId="0" borderId="47" xfId="114" applyNumberFormat="1" applyFont="1" applyFill="1" applyBorder="1" applyAlignment="1">
      <alignment horizontal="right" wrapText="1"/>
    </xf>
    <xf numFmtId="3" fontId="24" fillId="0" borderId="70" xfId="114" applyNumberFormat="1" applyFont="1" applyFill="1" applyBorder="1" applyAlignment="1">
      <alignment horizontal="right" wrapText="1"/>
    </xf>
    <xf numFmtId="0" fontId="24" fillId="0" borderId="38" xfId="114" applyFont="1" applyFill="1" applyBorder="1" applyAlignment="1">
      <alignment horizontal="center" vertical="center" wrapText="1"/>
    </xf>
    <xf numFmtId="0" fontId="25" fillId="0" borderId="19" xfId="106" applyFont="1" applyBorder="1"/>
    <xf numFmtId="0" fontId="24" fillId="0" borderId="19" xfId="106" applyFont="1" applyBorder="1"/>
    <xf numFmtId="0" fontId="24" fillId="0" borderId="20" xfId="106" applyFont="1" applyBorder="1" applyAlignment="1">
      <alignment wrapText="1"/>
    </xf>
    <xf numFmtId="0" fontId="25" fillId="0" borderId="20" xfId="106" applyFont="1" applyBorder="1" applyAlignment="1">
      <alignment wrapText="1"/>
    </xf>
    <xf numFmtId="0" fontId="24" fillId="0" borderId="29" xfId="106" applyFont="1" applyBorder="1" applyAlignment="1">
      <alignment wrapText="1"/>
    </xf>
    <xf numFmtId="0" fontId="24" fillId="0" borderId="30" xfId="106" applyFont="1" applyBorder="1" applyAlignment="1">
      <alignment wrapText="1"/>
    </xf>
    <xf numFmtId="0" fontId="25" fillId="0" borderId="20" xfId="98" applyFont="1" applyBorder="1" applyAlignment="1">
      <alignment wrapText="1"/>
    </xf>
    <xf numFmtId="0" fontId="24" fillId="0" borderId="20" xfId="140" applyFont="1" applyBorder="1" applyAlignment="1">
      <alignment wrapText="1"/>
    </xf>
    <xf numFmtId="0" fontId="20" fillId="0" borderId="118" xfId="114" applyFont="1" applyBorder="1" applyAlignment="1">
      <alignment horizontal="center" vertical="center"/>
    </xf>
    <xf numFmtId="0" fontId="20" fillId="0" borderId="79" xfId="114" applyFont="1" applyBorder="1" applyAlignment="1">
      <alignment horizontal="center" vertical="center"/>
    </xf>
    <xf numFmtId="0" fontId="25" fillId="0" borderId="29" xfId="106" applyFont="1" applyBorder="1" applyAlignment="1">
      <alignment wrapText="1"/>
    </xf>
    <xf numFmtId="3" fontId="25" fillId="0" borderId="71" xfId="104" applyNumberFormat="1" applyFont="1" applyBorder="1" applyAlignment="1">
      <alignment horizontal="right"/>
    </xf>
    <xf numFmtId="3" fontId="25" fillId="0" borderId="28" xfId="104" applyNumberFormat="1" applyFont="1" applyFill="1" applyBorder="1"/>
    <xf numFmtId="3" fontId="25" fillId="0" borderId="67" xfId="104" applyNumberFormat="1" applyFont="1" applyFill="1" applyBorder="1"/>
    <xf numFmtId="3" fontId="25" fillId="0" borderId="77" xfId="104" applyNumberFormat="1" applyFont="1" applyFill="1" applyBorder="1"/>
    <xf numFmtId="0" fontId="25" fillId="0" borderId="71" xfId="104" applyFont="1" applyBorder="1"/>
    <xf numFmtId="3" fontId="25" fillId="0" borderId="32" xfId="104" applyNumberFormat="1" applyFont="1" applyFill="1" applyBorder="1"/>
    <xf numFmtId="3" fontId="25" fillId="0" borderId="19" xfId="107" applyNumberFormat="1" applyFont="1" applyBorder="1" applyAlignment="1">
      <alignment horizontal="right" wrapText="1"/>
    </xf>
    <xf numFmtId="3" fontId="24" fillId="0" borderId="39" xfId="104" applyNumberFormat="1" applyFont="1" applyBorder="1" applyAlignment="1">
      <alignment horizontal="right"/>
    </xf>
    <xf numFmtId="0" fontId="25" fillId="0" borderId="60" xfId="105" applyFont="1" applyFill="1" applyBorder="1" applyAlignment="1">
      <alignment horizontal="left" vertical="center" wrapText="1"/>
    </xf>
    <xf numFmtId="3" fontId="25" fillId="0" borderId="19" xfId="104" applyNumberFormat="1" applyFont="1" applyFill="1" applyBorder="1"/>
    <xf numFmtId="3" fontId="25" fillId="0" borderId="31" xfId="104" applyNumberFormat="1" applyFont="1" applyFill="1" applyBorder="1"/>
    <xf numFmtId="3" fontId="24" fillId="0" borderId="31" xfId="104" applyNumberFormat="1" applyFont="1" applyFill="1" applyBorder="1"/>
    <xf numFmtId="3" fontId="24" fillId="0" borderId="19" xfId="104" applyNumberFormat="1" applyFont="1" applyBorder="1"/>
    <xf numFmtId="0" fontId="21" fillId="0" borderId="31" xfId="104" applyFont="1" applyBorder="1"/>
    <xf numFmtId="0" fontId="24" fillId="0" borderId="48" xfId="114" applyFont="1" applyBorder="1" applyAlignment="1">
      <alignment horizontal="center" vertical="center" wrapText="1"/>
    </xf>
    <xf numFmtId="3" fontId="25" fillId="30" borderId="61" xfId="98" applyNumberFormat="1" applyFont="1" applyFill="1" applyBorder="1" applyAlignment="1">
      <alignment wrapText="1"/>
    </xf>
    <xf numFmtId="3" fontId="25" fillId="0" borderId="19" xfId="107" applyNumberFormat="1" applyFont="1" applyBorder="1" applyAlignment="1">
      <alignment horizontal="right"/>
    </xf>
    <xf numFmtId="3" fontId="24" fillId="0" borderId="19" xfId="114" applyNumberFormat="1" applyFont="1" applyFill="1" applyBorder="1" applyAlignment="1">
      <alignment horizontal="right"/>
    </xf>
    <xf numFmtId="3" fontId="24" fillId="0" borderId="19" xfId="107" applyNumberFormat="1" applyFont="1" applyBorder="1" applyAlignment="1">
      <alignment horizontal="right"/>
    </xf>
    <xf numFmtId="0" fontId="25" fillId="30" borderId="20" xfId="113" applyFont="1" applyFill="1" applyBorder="1" applyAlignment="1">
      <alignment wrapText="1"/>
    </xf>
    <xf numFmtId="0" fontId="25" fillId="0" borderId="20" xfId="114" applyFont="1" applyFill="1" applyBorder="1" applyAlignment="1">
      <alignment horizontal="left" wrapText="1" indent="2"/>
    </xf>
    <xf numFmtId="0" fontId="25" fillId="0" borderId="20" xfId="114" applyFont="1" applyFill="1" applyBorder="1" applyAlignment="1">
      <alignment horizontal="left" vertical="center" wrapText="1" indent="2"/>
    </xf>
    <xf numFmtId="0" fontId="24" fillId="0" borderId="20" xfId="114" applyFont="1" applyFill="1" applyBorder="1" applyAlignment="1">
      <alignment horizontal="left" vertical="center" wrapText="1" indent="1"/>
    </xf>
    <xf numFmtId="3" fontId="24" fillId="0" borderId="27" xfId="114" applyNumberFormat="1" applyFont="1" applyFill="1" applyBorder="1" applyAlignment="1">
      <alignment horizontal="right"/>
    </xf>
    <xf numFmtId="0" fontId="25" fillId="0" borderId="20" xfId="114" applyFont="1" applyFill="1" applyBorder="1" applyAlignment="1">
      <alignment horizontal="left" vertical="center" wrapText="1"/>
    </xf>
    <xf numFmtId="0" fontId="25" fillId="0" borderId="20" xfId="114" applyFont="1" applyFill="1" applyBorder="1" applyAlignment="1">
      <alignment horizontal="left" vertical="center" wrapText="1" indent="1"/>
    </xf>
    <xf numFmtId="0" fontId="24" fillId="0" borderId="29" xfId="114" applyFont="1" applyFill="1" applyBorder="1" applyAlignment="1">
      <alignment horizontal="left" vertical="center" wrapText="1" indent="1"/>
    </xf>
    <xf numFmtId="3" fontId="24" fillId="0" borderId="22" xfId="114" applyNumberFormat="1" applyFont="1" applyFill="1" applyBorder="1" applyAlignment="1">
      <alignment horizontal="right" wrapText="1"/>
    </xf>
    <xf numFmtId="0" fontId="25" fillId="30" borderId="44" xfId="113" applyFont="1" applyFill="1" applyBorder="1" applyAlignment="1">
      <alignment wrapText="1"/>
    </xf>
    <xf numFmtId="3" fontId="25" fillId="0" borderId="47" xfId="107" applyNumberFormat="1" applyFont="1" applyBorder="1" applyAlignment="1">
      <alignment horizontal="right"/>
    </xf>
    <xf numFmtId="3" fontId="24" fillId="0" borderId="119" xfId="114" applyNumberFormat="1" applyFont="1" applyFill="1" applyBorder="1" applyAlignment="1">
      <alignment horizontal="right" wrapText="1"/>
    </xf>
    <xf numFmtId="3" fontId="24" fillId="0" borderId="120" xfId="114" applyNumberFormat="1" applyFont="1" applyFill="1" applyBorder="1" applyAlignment="1">
      <alignment horizontal="right" wrapText="1"/>
    </xf>
    <xf numFmtId="0" fontId="24" fillId="0" borderId="45" xfId="113" applyFont="1" applyFill="1" applyBorder="1" applyAlignment="1">
      <alignment horizontal="left" vertical="center" wrapText="1"/>
    </xf>
    <xf numFmtId="0" fontId="25" fillId="0" borderId="20" xfId="113" applyFont="1" applyFill="1" applyBorder="1" applyAlignment="1">
      <alignment horizontal="left" vertical="center" wrapText="1"/>
    </xf>
    <xf numFmtId="0" fontId="25" fillId="0" borderId="20" xfId="114" applyFont="1" applyBorder="1" applyAlignment="1">
      <alignment wrapText="1"/>
    </xf>
    <xf numFmtId="0" fontId="25" fillId="30" borderId="29" xfId="113" applyFont="1" applyFill="1" applyBorder="1" applyAlignment="1">
      <alignment wrapText="1"/>
    </xf>
    <xf numFmtId="3" fontId="25" fillId="0" borderId="22" xfId="107" applyNumberFormat="1" applyFont="1" applyBorder="1" applyAlignment="1">
      <alignment horizontal="right"/>
    </xf>
    <xf numFmtId="3" fontId="25" fillId="0" borderId="19" xfId="107" applyNumberFormat="1" applyFont="1" applyBorder="1"/>
    <xf numFmtId="0" fontId="24" fillId="0" borderId="30" xfId="114" applyFont="1" applyFill="1" applyBorder="1" applyAlignment="1">
      <alignment horizontal="left" vertical="center" wrapText="1" indent="1"/>
    </xf>
    <xf numFmtId="0" fontId="24" fillId="0" borderId="31" xfId="107" applyFont="1" applyBorder="1"/>
    <xf numFmtId="0" fontId="24" fillId="0" borderId="20" xfId="113" applyFont="1" applyFill="1" applyBorder="1" applyAlignment="1">
      <alignment horizontal="left" vertical="center" wrapText="1"/>
    </xf>
    <xf numFmtId="3" fontId="25" fillId="0" borderId="27" xfId="107" applyNumberFormat="1" applyFont="1" applyBorder="1"/>
    <xf numFmtId="3" fontId="24" fillId="0" borderId="19" xfId="107" applyNumberFormat="1" applyFont="1" applyBorder="1"/>
    <xf numFmtId="0" fontId="24" fillId="0" borderId="20" xfId="114" applyFont="1" applyFill="1" applyBorder="1" applyAlignment="1">
      <alignment horizontal="left" vertical="center" wrapText="1" indent="2"/>
    </xf>
    <xf numFmtId="3" fontId="24" fillId="0" borderId="27" xfId="107" applyNumberFormat="1" applyFont="1" applyBorder="1"/>
    <xf numFmtId="0" fontId="25" fillId="0" borderId="20" xfId="114" applyFont="1" applyFill="1" applyBorder="1"/>
    <xf numFmtId="3" fontId="24" fillId="0" borderId="50" xfId="107" applyNumberFormat="1" applyFont="1" applyBorder="1"/>
    <xf numFmtId="0" fontId="34" fillId="0" borderId="16" xfId="106" applyFont="1" applyBorder="1" applyAlignment="1">
      <alignment wrapText="1"/>
    </xf>
    <xf numFmtId="0" fontId="35" fillId="0" borderId="16" xfId="106" applyFont="1" applyBorder="1" applyAlignment="1">
      <alignment wrapText="1"/>
    </xf>
    <xf numFmtId="0" fontId="35" fillId="0" borderId="60" xfId="106" applyFont="1" applyBorder="1" applyAlignment="1">
      <alignment wrapText="1"/>
    </xf>
    <xf numFmtId="0" fontId="35" fillId="0" borderId="17" xfId="106" applyFont="1" applyBorder="1" applyAlignment="1">
      <alignment wrapText="1"/>
    </xf>
    <xf numFmtId="0" fontId="27" fillId="0" borderId="60" xfId="106" applyFont="1" applyBorder="1"/>
    <xf numFmtId="0" fontId="34" fillId="0" borderId="60" xfId="106" applyFont="1" applyBorder="1" applyAlignment="1">
      <alignment wrapText="1"/>
    </xf>
    <xf numFmtId="0" fontId="27" fillId="0" borderId="17" xfId="106" applyFont="1" applyBorder="1" applyAlignment="1">
      <alignment wrapText="1"/>
    </xf>
    <xf numFmtId="0" fontId="35" fillId="0" borderId="81" xfId="106" applyFont="1" applyBorder="1" applyAlignment="1">
      <alignment wrapText="1"/>
    </xf>
    <xf numFmtId="0" fontId="34" fillId="0" borderId="18" xfId="106" applyFont="1" applyBorder="1" applyAlignment="1">
      <alignment wrapText="1"/>
    </xf>
    <xf numFmtId="3" fontId="20" fillId="0" borderId="22" xfId="106" applyNumberFormat="1" applyFont="1" applyBorder="1"/>
    <xf numFmtId="3" fontId="19" fillId="0" borderId="28" xfId="108" applyNumberFormat="1" applyFont="1" applyFill="1" applyBorder="1" applyAlignment="1">
      <alignment vertical="center"/>
    </xf>
    <xf numFmtId="3" fontId="19" fillId="0" borderId="28" xfId="108" applyNumberFormat="1" applyFont="1" applyFill="1" applyBorder="1"/>
    <xf numFmtId="3" fontId="20" fillId="0" borderId="28" xfId="108" applyNumberFormat="1" applyFont="1" applyFill="1" applyBorder="1"/>
    <xf numFmtId="3" fontId="20" fillId="0" borderId="77" xfId="108" applyNumberFormat="1" applyFont="1" applyFill="1" applyBorder="1"/>
    <xf numFmtId="3" fontId="20" fillId="0" borderId="67" xfId="108" applyNumberFormat="1" applyFont="1" applyFill="1" applyBorder="1"/>
    <xf numFmtId="3" fontId="20" fillId="0" borderId="28" xfId="108" applyNumberFormat="1" applyFont="1" applyFill="1" applyBorder="1" applyAlignment="1"/>
    <xf numFmtId="3" fontId="23" fillId="0" borderId="32" xfId="108" applyNumberFormat="1" applyFont="1" applyFill="1" applyBorder="1"/>
    <xf numFmtId="3" fontId="22" fillId="0" borderId="28" xfId="108" applyNumberFormat="1" applyFont="1" applyFill="1" applyBorder="1"/>
    <xf numFmtId="3" fontId="19" fillId="0" borderId="20" xfId="0" applyNumberFormat="1" applyFont="1" applyFill="1" applyBorder="1"/>
    <xf numFmtId="3" fontId="20" fillId="29" borderId="28" xfId="108" applyNumberFormat="1" applyFont="1" applyFill="1" applyBorder="1" applyAlignment="1">
      <alignment horizontal="right"/>
    </xf>
    <xf numFmtId="3" fontId="20" fillId="0" borderId="28" xfId="0" applyNumberFormat="1" applyFont="1" applyBorder="1" applyAlignment="1">
      <alignment horizontal="right"/>
    </xf>
    <xf numFmtId="3" fontId="19" fillId="0" borderId="28" xfId="0" applyNumberFormat="1" applyFont="1" applyBorder="1" applyAlignment="1">
      <alignment horizontal="right"/>
    </xf>
    <xf numFmtId="3" fontId="19" fillId="29" borderId="28" xfId="108" applyNumberFormat="1" applyFont="1" applyFill="1" applyBorder="1" applyAlignment="1">
      <alignment horizontal="right"/>
    </xf>
    <xf numFmtId="3" fontId="19" fillId="0" borderId="28" xfId="108" applyNumberFormat="1" applyFont="1" applyBorder="1"/>
    <xf numFmtId="3" fontId="20" fillId="0" borderId="28" xfId="108" applyNumberFormat="1" applyFont="1" applyBorder="1"/>
    <xf numFmtId="3" fontId="19" fillId="0" borderId="28" xfId="0" applyNumberFormat="1" applyFont="1" applyBorder="1"/>
    <xf numFmtId="3" fontId="20" fillId="29" borderId="28" xfId="108" applyNumberFormat="1" applyFont="1" applyFill="1" applyBorder="1"/>
    <xf numFmtId="3" fontId="19" fillId="29" borderId="28" xfId="108" applyNumberFormat="1" applyFont="1" applyFill="1" applyBorder="1"/>
    <xf numFmtId="3" fontId="19" fillId="29" borderId="67" xfId="108" applyNumberFormat="1" applyFont="1" applyFill="1" applyBorder="1"/>
    <xf numFmtId="0" fontId="20" fillId="0" borderId="44" xfId="108" applyFont="1" applyFill="1" applyBorder="1"/>
    <xf numFmtId="3" fontId="20" fillId="29" borderId="47" xfId="108" applyNumberFormat="1" applyFont="1" applyFill="1" applyBorder="1"/>
    <xf numFmtId="3" fontId="20" fillId="29" borderId="32" xfId="108" applyNumberFormat="1" applyFont="1" applyFill="1" applyBorder="1" applyAlignment="1">
      <alignment horizontal="right"/>
    </xf>
    <xf numFmtId="0" fontId="19" fillId="0" borderId="28" xfId="108" applyFont="1" applyBorder="1"/>
    <xf numFmtId="3" fontId="20" fillId="0" borderId="28" xfId="0" applyNumberFormat="1" applyFont="1" applyBorder="1"/>
    <xf numFmtId="3" fontId="20" fillId="0" borderId="67" xfId="108" applyNumberFormat="1" applyFont="1" applyBorder="1"/>
    <xf numFmtId="3" fontId="19" fillId="0" borderId="47" xfId="108" applyNumberFormat="1" applyFont="1" applyFill="1" applyBorder="1"/>
    <xf numFmtId="3" fontId="19" fillId="29" borderId="47" xfId="108" applyNumberFormat="1" applyFont="1" applyFill="1" applyBorder="1"/>
    <xf numFmtId="3" fontId="20" fillId="29" borderId="32" xfId="108" applyNumberFormat="1" applyFont="1" applyFill="1" applyBorder="1"/>
    <xf numFmtId="0" fontId="20" fillId="0" borderId="118" xfId="114" applyFont="1" applyBorder="1" applyAlignment="1">
      <alignment horizontal="center" vertical="center" wrapText="1"/>
    </xf>
    <xf numFmtId="4" fontId="27" fillId="29" borderId="28" xfId="114" applyNumberFormat="1" applyFont="1" applyFill="1" applyBorder="1" applyAlignment="1">
      <alignment horizontal="right" wrapText="1"/>
    </xf>
    <xf numFmtId="0" fontId="30" fillId="29" borderId="28" xfId="114" applyFont="1" applyFill="1" applyBorder="1"/>
    <xf numFmtId="0" fontId="29" fillId="29" borderId="28" xfId="114" applyFont="1" applyFill="1" applyBorder="1"/>
    <xf numFmtId="0" fontId="31" fillId="29" borderId="28" xfId="114" applyFont="1" applyFill="1" applyBorder="1"/>
    <xf numFmtId="4" fontId="27" fillId="29" borderId="67" xfId="114" applyNumberFormat="1" applyFont="1" applyFill="1" applyBorder="1" applyAlignment="1">
      <alignment horizontal="right" wrapText="1"/>
    </xf>
    <xf numFmtId="3" fontId="20" fillId="29" borderId="71" xfId="114" applyNumberFormat="1" applyFont="1" applyFill="1" applyBorder="1" applyAlignment="1">
      <alignment horizontal="right" wrapText="1"/>
    </xf>
    <xf numFmtId="3" fontId="20" fillId="29" borderId="67" xfId="114" applyNumberFormat="1" applyFont="1" applyFill="1" applyBorder="1" applyAlignment="1">
      <alignment horizontal="right" wrapText="1"/>
    </xf>
    <xf numFmtId="3" fontId="20" fillId="29" borderId="65" xfId="114" applyNumberFormat="1" applyFont="1" applyFill="1" applyBorder="1" applyAlignment="1">
      <alignment horizontal="right" wrapText="1"/>
    </xf>
    <xf numFmtId="3" fontId="19" fillId="29" borderId="60" xfId="114" applyNumberFormat="1" applyFont="1" applyFill="1" applyBorder="1" applyAlignment="1">
      <alignment horizontal="right" wrapText="1"/>
    </xf>
    <xf numFmtId="3" fontId="20" fillId="29" borderId="60" xfId="114" applyNumberFormat="1" applyFont="1" applyFill="1" applyBorder="1" applyAlignment="1">
      <alignment horizontal="right" wrapText="1"/>
    </xf>
    <xf numFmtId="3" fontId="20" fillId="29" borderId="61" xfId="114" applyNumberFormat="1" applyFont="1" applyFill="1" applyBorder="1" applyAlignment="1">
      <alignment horizontal="right" wrapText="1"/>
    </xf>
    <xf numFmtId="3" fontId="19" fillId="29" borderId="70" xfId="114" applyNumberFormat="1" applyFont="1" applyFill="1" applyBorder="1"/>
    <xf numFmtId="3" fontId="20" fillId="29" borderId="70" xfId="114" applyNumberFormat="1" applyFont="1" applyFill="1" applyBorder="1"/>
    <xf numFmtId="3" fontId="20" fillId="29" borderId="74" xfId="114" applyNumberFormat="1" applyFont="1" applyFill="1" applyBorder="1"/>
    <xf numFmtId="3" fontId="20" fillId="0" borderId="48" xfId="114" applyNumberFormat="1" applyFont="1" applyBorder="1" applyAlignment="1">
      <alignment horizontal="right"/>
    </xf>
    <xf numFmtId="3" fontId="20" fillId="0" borderId="47" xfId="114" applyNumberFormat="1" applyFont="1" applyBorder="1" applyAlignment="1">
      <alignment horizontal="right"/>
    </xf>
    <xf numFmtId="3" fontId="19" fillId="0" borderId="88" xfId="114" applyNumberFormat="1" applyFont="1" applyBorder="1" applyAlignment="1">
      <alignment horizontal="right"/>
    </xf>
    <xf numFmtId="3" fontId="20" fillId="0" borderId="39" xfId="114" applyNumberFormat="1" applyFont="1" applyBorder="1" applyAlignment="1">
      <alignment horizontal="right"/>
    </xf>
    <xf numFmtId="3" fontId="19" fillId="0" borderId="60" xfId="114" applyNumberFormat="1" applyFont="1" applyFill="1" applyBorder="1"/>
    <xf numFmtId="3" fontId="19" fillId="0" borderId="115" xfId="114" applyNumberFormat="1" applyFont="1" applyBorder="1" applyAlignment="1">
      <alignment horizontal="right"/>
    </xf>
    <xf numFmtId="3" fontId="19" fillId="0" borderId="121" xfId="114" applyNumberFormat="1" applyFont="1" applyBorder="1" applyAlignment="1">
      <alignment horizontal="right"/>
    </xf>
    <xf numFmtId="3" fontId="20" fillId="29" borderId="32" xfId="114" applyNumberFormat="1" applyFont="1" applyFill="1" applyBorder="1" applyAlignment="1">
      <alignment horizontal="right" wrapText="1"/>
    </xf>
    <xf numFmtId="4" fontId="19" fillId="29" borderId="32" xfId="114" applyNumberFormat="1" applyFont="1" applyFill="1" applyBorder="1" applyAlignment="1">
      <alignment horizontal="right" wrapText="1"/>
    </xf>
    <xf numFmtId="3" fontId="19" fillId="29" borderId="84" xfId="114" applyNumberFormat="1" applyFont="1" applyFill="1" applyBorder="1" applyAlignment="1">
      <alignment horizontal="right" wrapText="1"/>
    </xf>
    <xf numFmtId="4" fontId="19" fillId="29" borderId="70" xfId="114" applyNumberFormat="1" applyFont="1" applyFill="1" applyBorder="1" applyAlignment="1">
      <alignment horizontal="right" wrapText="1"/>
    </xf>
    <xf numFmtId="3" fontId="19" fillId="0" borderId="45" xfId="114" applyNumberFormat="1" applyFont="1" applyBorder="1" applyAlignment="1">
      <alignment horizontal="right"/>
    </xf>
    <xf numFmtId="3" fontId="20" fillId="0" borderId="60" xfId="114" applyNumberFormat="1" applyFont="1" applyBorder="1" applyAlignment="1">
      <alignment horizontal="right"/>
    </xf>
    <xf numFmtId="3" fontId="19" fillId="29" borderId="48" xfId="114" applyNumberFormat="1" applyFont="1" applyFill="1" applyBorder="1"/>
    <xf numFmtId="3" fontId="19" fillId="0" borderId="0" xfId="0" applyNumberFormat="1" applyFont="1" applyFill="1"/>
    <xf numFmtId="3" fontId="20" fillId="0" borderId="38" xfId="0" applyNumberFormat="1" applyFont="1" applyFill="1" applyBorder="1" applyAlignment="1">
      <alignment horizontal="center" vertical="center"/>
    </xf>
    <xf numFmtId="3" fontId="19" fillId="0" borderId="44" xfId="0" applyNumberFormat="1" applyFont="1" applyFill="1" applyBorder="1"/>
    <xf numFmtId="3" fontId="20" fillId="0" borderId="20" xfId="0" applyNumberFormat="1" applyFont="1" applyBorder="1"/>
    <xf numFmtId="3" fontId="19" fillId="0" borderId="20" xfId="0" applyNumberFormat="1" applyFont="1" applyBorder="1"/>
    <xf numFmtId="3" fontId="20" fillId="0" borderId="60" xfId="108" applyNumberFormat="1" applyFont="1" applyFill="1" applyBorder="1"/>
    <xf numFmtId="3" fontId="20" fillId="0" borderId="61" xfId="108" applyNumberFormat="1" applyFont="1" applyFill="1" applyBorder="1"/>
    <xf numFmtId="3" fontId="20" fillId="0" borderId="66" xfId="108" applyNumberFormat="1" applyFont="1" applyFill="1" applyBorder="1"/>
    <xf numFmtId="3" fontId="19" fillId="0" borderId="29" xfId="0" applyNumberFormat="1" applyFont="1" applyFill="1" applyBorder="1"/>
    <xf numFmtId="3" fontId="20" fillId="29" borderId="62" xfId="108" applyNumberFormat="1" applyFont="1" applyFill="1" applyBorder="1" applyAlignment="1">
      <alignment horizontal="right"/>
    </xf>
    <xf numFmtId="3" fontId="20" fillId="29" borderId="60" xfId="108" applyNumberFormat="1" applyFont="1" applyFill="1" applyBorder="1" applyAlignment="1">
      <alignment horizontal="right"/>
    </xf>
    <xf numFmtId="3" fontId="20" fillId="0" borderId="60" xfId="0" applyNumberFormat="1" applyFont="1" applyBorder="1" applyAlignment="1">
      <alignment horizontal="right"/>
    </xf>
    <xf numFmtId="3" fontId="20" fillId="0" borderId="60" xfId="108" applyNumberFormat="1" applyFont="1" applyBorder="1"/>
    <xf numFmtId="3" fontId="20" fillId="29" borderId="60" xfId="108" applyNumberFormat="1" applyFont="1" applyFill="1" applyBorder="1"/>
    <xf numFmtId="3" fontId="20" fillId="29" borderId="62" xfId="108" applyNumberFormat="1" applyFont="1" applyFill="1" applyBorder="1"/>
    <xf numFmtId="3" fontId="20" fillId="0" borderId="61" xfId="108" applyNumberFormat="1" applyFont="1" applyBorder="1"/>
    <xf numFmtId="3" fontId="20" fillId="0" borderId="27" xfId="106" applyNumberFormat="1" applyFont="1" applyBorder="1"/>
    <xf numFmtId="0" fontId="25" fillId="31" borderId="33" xfId="0" applyFont="1" applyFill="1" applyBorder="1" applyAlignment="1">
      <alignment wrapText="1"/>
    </xf>
    <xf numFmtId="3" fontId="25" fillId="30" borderId="20" xfId="98" applyNumberFormat="1" applyFont="1" applyFill="1" applyBorder="1" applyAlignment="1">
      <alignment wrapText="1"/>
    </xf>
    <xf numFmtId="3" fontId="25" fillId="0" borderId="33" xfId="98" applyNumberFormat="1" applyFont="1" applyFill="1" applyBorder="1" applyAlignment="1">
      <alignment wrapText="1"/>
    </xf>
    <xf numFmtId="3" fontId="49" fillId="0" borderId="19" xfId="104" applyNumberFormat="1" applyFont="1" applyFill="1" applyBorder="1" applyAlignment="1">
      <alignment horizontal="right"/>
    </xf>
    <xf numFmtId="0" fontId="25" fillId="0" borderId="20" xfId="105" applyFont="1" applyFill="1" applyBorder="1" applyAlignment="1">
      <alignment horizontal="left" vertical="center" wrapText="1"/>
    </xf>
    <xf numFmtId="3" fontId="25" fillId="0" borderId="88" xfId="107" applyNumberFormat="1" applyFont="1" applyBorder="1"/>
    <xf numFmtId="3" fontId="25" fillId="0" borderId="88" xfId="114" applyNumberFormat="1" applyFont="1" applyFill="1" applyBorder="1" applyAlignment="1">
      <alignment horizontal="right" wrapText="1"/>
    </xf>
    <xf numFmtId="0" fontId="27" fillId="0" borderId="16" xfId="106" applyFont="1" applyBorder="1" applyAlignment="1">
      <alignment wrapText="1"/>
    </xf>
    <xf numFmtId="3" fontId="24" fillId="0" borderId="50" xfId="104" applyNumberFormat="1" applyFont="1" applyFill="1" applyBorder="1"/>
    <xf numFmtId="0" fontId="20" fillId="0" borderId="54" xfId="114" applyFont="1" applyBorder="1" applyAlignment="1">
      <alignment horizontal="center" vertical="center"/>
    </xf>
    <xf numFmtId="3" fontId="19" fillId="0" borderId="28" xfId="114" applyNumberFormat="1" applyFont="1" applyFill="1" applyBorder="1" applyAlignment="1">
      <alignment horizontal="right" wrapText="1"/>
    </xf>
    <xf numFmtId="3" fontId="19" fillId="0" borderId="19" xfId="114" applyNumberFormat="1" applyFont="1" applyFill="1" applyBorder="1" applyAlignment="1">
      <alignment horizontal="right" wrapText="1"/>
    </xf>
    <xf numFmtId="0" fontId="25" fillId="0" borderId="94" xfId="0" applyFont="1" applyFill="1" applyBorder="1" applyAlignment="1">
      <alignment wrapText="1"/>
    </xf>
    <xf numFmtId="3" fontId="25" fillId="0" borderId="10" xfId="0" applyNumberFormat="1" applyFont="1" applyFill="1" applyBorder="1"/>
    <xf numFmtId="0" fontId="25" fillId="0" borderId="10" xfId="0" applyFont="1" applyFill="1" applyBorder="1" applyAlignment="1">
      <alignment wrapText="1"/>
    </xf>
    <xf numFmtId="0" fontId="47" fillId="0" borderId="10" xfId="0" applyFont="1" applyFill="1" applyBorder="1" applyAlignment="1">
      <alignment wrapText="1"/>
    </xf>
    <xf numFmtId="3" fontId="47" fillId="0" borderId="10" xfId="0" applyNumberFormat="1" applyFont="1" applyFill="1" applyBorder="1"/>
    <xf numFmtId="3" fontId="32" fillId="0" borderId="0" xfId="0" applyNumberFormat="1" applyFont="1" applyFill="1"/>
    <xf numFmtId="0" fontId="32" fillId="0" borderId="0" xfId="0" applyFont="1" applyFill="1"/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3" fontId="25" fillId="0" borderId="94" xfId="0" applyNumberFormat="1" applyFont="1" applyFill="1" applyBorder="1"/>
    <xf numFmtId="3" fontId="0" fillId="0" borderId="0" xfId="0" applyNumberFormat="1" applyFont="1" applyFill="1"/>
    <xf numFmtId="0" fontId="0" fillId="0" borderId="0" xfId="0" applyFont="1" applyFill="1"/>
    <xf numFmtId="3" fontId="37" fillId="0" borderId="122" xfId="136" applyNumberFormat="1" applyFont="1" applyFill="1" applyBorder="1"/>
    <xf numFmtId="0" fontId="20" fillId="0" borderId="65" xfId="108" applyNumberFormat="1" applyFont="1" applyFill="1" applyBorder="1" applyAlignment="1">
      <alignment horizontal="center" wrapText="1"/>
    </xf>
    <xf numFmtId="0" fontId="19" fillId="0" borderId="47" xfId="108" applyFont="1" applyFill="1" applyBorder="1"/>
    <xf numFmtId="2" fontId="19" fillId="0" borderId="47" xfId="108" applyNumberFormat="1" applyFont="1" applyFill="1" applyBorder="1"/>
    <xf numFmtId="3" fontId="19" fillId="0" borderId="32" xfId="108" applyNumberFormat="1" applyFont="1" applyFill="1" applyBorder="1" applyAlignment="1">
      <alignment vertical="center"/>
    </xf>
    <xf numFmtId="0" fontId="20" fillId="0" borderId="38" xfId="108" applyFont="1" applyFill="1" applyBorder="1" applyAlignment="1">
      <alignment horizontal="center" wrapText="1"/>
    </xf>
    <xf numFmtId="2" fontId="20" fillId="0" borderId="39" xfId="108" applyNumberFormat="1" applyFont="1" applyFill="1" applyBorder="1" applyAlignment="1">
      <alignment vertical="center" wrapText="1"/>
    </xf>
    <xf numFmtId="0" fontId="20" fillId="0" borderId="39" xfId="108" applyFont="1" applyFill="1" applyBorder="1" applyAlignment="1">
      <alignment vertical="center"/>
    </xf>
    <xf numFmtId="0" fontId="20" fillId="29" borderId="39" xfId="108" applyFont="1" applyFill="1" applyBorder="1" applyAlignment="1">
      <alignment vertical="center"/>
    </xf>
    <xf numFmtId="0" fontId="25" fillId="0" borderId="71" xfId="106" applyFont="1" applyBorder="1"/>
    <xf numFmtId="3" fontId="25" fillId="0" borderId="28" xfId="106" applyNumberFormat="1" applyFont="1" applyBorder="1"/>
    <xf numFmtId="3" fontId="24" fillId="0" borderId="28" xfId="106" applyNumberFormat="1" applyFont="1" applyBorder="1"/>
    <xf numFmtId="3" fontId="25" fillId="0" borderId="67" xfId="106" applyNumberFormat="1" applyFont="1" applyBorder="1"/>
    <xf numFmtId="3" fontId="25" fillId="0" borderId="71" xfId="106" applyNumberFormat="1" applyFont="1" applyBorder="1"/>
    <xf numFmtId="3" fontId="24" fillId="0" borderId="28" xfId="114" applyNumberFormat="1" applyFont="1" applyBorder="1" applyAlignment="1">
      <alignment horizontal="center" vertical="center" wrapText="1"/>
    </xf>
    <xf numFmtId="3" fontId="25" fillId="0" borderId="28" xfId="140" applyNumberFormat="1" applyFont="1" applyBorder="1"/>
    <xf numFmtId="3" fontId="24" fillId="0" borderId="28" xfId="140" applyNumberFormat="1" applyFont="1" applyBorder="1"/>
    <xf numFmtId="3" fontId="24" fillId="0" borderId="67" xfId="106" applyNumberFormat="1" applyFont="1" applyBorder="1"/>
    <xf numFmtId="3" fontId="25" fillId="0" borderId="28" xfId="114" applyNumberFormat="1" applyFont="1" applyBorder="1"/>
    <xf numFmtId="0" fontId="24" fillId="0" borderId="28" xfId="114" applyFont="1" applyBorder="1"/>
    <xf numFmtId="0" fontId="25" fillId="0" borderId="67" xfId="114" applyFont="1" applyBorder="1"/>
    <xf numFmtId="0" fontId="20" fillId="0" borderId="0" xfId="114" applyFont="1" applyBorder="1" applyAlignment="1">
      <alignment horizontal="center"/>
    </xf>
    <xf numFmtId="3" fontId="0" fillId="0" borderId="0" xfId="0" applyNumberFormat="1" applyFill="1"/>
    <xf numFmtId="0" fontId="20" fillId="0" borderId="54" xfId="114" applyFont="1" applyBorder="1" applyAlignment="1">
      <alignment horizontal="center" vertical="center"/>
    </xf>
    <xf numFmtId="0" fontId="24" fillId="0" borderId="0" xfId="111" applyFont="1" applyFill="1" applyBorder="1" applyAlignment="1">
      <alignment horizontal="center" wrapText="1"/>
    </xf>
    <xf numFmtId="3" fontId="20" fillId="0" borderId="67" xfId="0" applyNumberFormat="1" applyFont="1" applyBorder="1"/>
    <xf numFmtId="0" fontId="19" fillId="0" borderId="28" xfId="0" applyFont="1" applyBorder="1"/>
    <xf numFmtId="3" fontId="20" fillId="0" borderId="32" xfId="0" applyNumberFormat="1" applyFont="1" applyBorder="1"/>
    <xf numFmtId="0" fontId="19" fillId="0" borderId="60" xfId="0" applyFont="1" applyBorder="1"/>
    <xf numFmtId="3" fontId="20" fillId="0" borderId="62" xfId="108" applyNumberFormat="1" applyFont="1" applyFill="1" applyBorder="1" applyAlignment="1">
      <alignment horizontal="right"/>
    </xf>
    <xf numFmtId="3" fontId="21" fillId="29" borderId="67" xfId="114" applyNumberFormat="1" applyFont="1" applyFill="1" applyBorder="1"/>
    <xf numFmtId="3" fontId="19" fillId="29" borderId="32" xfId="114" applyNumberFormat="1" applyFont="1" applyFill="1" applyBorder="1" applyAlignment="1">
      <alignment horizontal="right" wrapText="1"/>
    </xf>
    <xf numFmtId="4" fontId="19" fillId="29" borderId="67" xfId="114" applyNumberFormat="1" applyFont="1" applyFill="1" applyBorder="1" applyAlignment="1">
      <alignment horizontal="right" wrapText="1"/>
    </xf>
    <xf numFmtId="3" fontId="20" fillId="29" borderId="118" xfId="114" applyNumberFormat="1" applyFont="1" applyFill="1" applyBorder="1" applyAlignment="1">
      <alignment horizontal="right" wrapText="1"/>
    </xf>
    <xf numFmtId="3" fontId="20" fillId="29" borderId="76" xfId="114" applyNumberFormat="1" applyFont="1" applyFill="1" applyBorder="1" applyAlignment="1">
      <alignment horizontal="right" wrapText="1"/>
    </xf>
    <xf numFmtId="3" fontId="27" fillId="29" borderId="26" xfId="114" applyNumberFormat="1" applyFont="1" applyFill="1" applyBorder="1" applyAlignment="1">
      <alignment horizontal="right" wrapText="1"/>
    </xf>
    <xf numFmtId="3" fontId="27" fillId="29" borderId="35" xfId="114" applyNumberFormat="1" applyFont="1" applyFill="1" applyBorder="1" applyAlignment="1">
      <alignment horizontal="right" wrapText="1"/>
    </xf>
    <xf numFmtId="3" fontId="21" fillId="29" borderId="35" xfId="114" applyNumberFormat="1" applyFont="1" applyFill="1" applyBorder="1" applyAlignment="1">
      <alignment horizontal="right" wrapText="1"/>
    </xf>
    <xf numFmtId="3" fontId="21" fillId="29" borderId="26" xfId="114" applyNumberFormat="1" applyFont="1" applyFill="1" applyBorder="1" applyAlignment="1">
      <alignment horizontal="right" wrapText="1"/>
    </xf>
    <xf numFmtId="3" fontId="27" fillId="29" borderId="26" xfId="114" applyNumberFormat="1" applyFont="1" applyFill="1" applyBorder="1"/>
    <xf numFmtId="3" fontId="27" fillId="29" borderId="35" xfId="114" applyNumberFormat="1" applyFont="1" applyFill="1" applyBorder="1"/>
    <xf numFmtId="3" fontId="24" fillId="0" borderId="71" xfId="114" applyNumberFormat="1" applyFont="1" applyFill="1" applyBorder="1" applyAlignment="1">
      <alignment horizontal="right"/>
    </xf>
    <xf numFmtId="3" fontId="24" fillId="0" borderId="28" xfId="114" applyNumberFormat="1" applyFont="1" applyFill="1" applyBorder="1" applyAlignment="1">
      <alignment horizontal="right" wrapText="1"/>
    </xf>
    <xf numFmtId="3" fontId="25" fillId="0" borderId="28" xfId="114" applyNumberFormat="1" applyFont="1" applyFill="1" applyBorder="1" applyAlignment="1">
      <alignment horizontal="right" wrapText="1"/>
    </xf>
    <xf numFmtId="3" fontId="24" fillId="0" borderId="71" xfId="114" applyNumberFormat="1" applyFont="1" applyFill="1" applyBorder="1" applyAlignment="1">
      <alignment horizontal="right" wrapText="1"/>
    </xf>
    <xf numFmtId="3" fontId="25" fillId="0" borderId="28" xfId="107" applyNumberFormat="1" applyFont="1" applyBorder="1"/>
    <xf numFmtId="3" fontId="25" fillId="0" borderId="28" xfId="107" applyNumberFormat="1" applyFont="1" applyBorder="1" applyAlignment="1">
      <alignment horizontal="right"/>
    </xf>
    <xf numFmtId="3" fontId="25" fillId="0" borderId="28" xfId="114" applyNumberFormat="1" applyFont="1" applyBorder="1" applyAlignment="1">
      <alignment horizontal="right"/>
    </xf>
    <xf numFmtId="0" fontId="24" fillId="0" borderId="28" xfId="111" applyFont="1" applyFill="1" applyBorder="1" applyAlignment="1">
      <alignment horizontal="right" vertical="center" wrapText="1"/>
    </xf>
    <xf numFmtId="3" fontId="25" fillId="0" borderId="28" xfId="111" applyNumberFormat="1" applyFont="1" applyFill="1" applyBorder="1" applyAlignment="1">
      <alignment horizontal="right" vertical="center" wrapText="1"/>
    </xf>
    <xf numFmtId="3" fontId="25" fillId="0" borderId="35" xfId="111" applyNumberFormat="1" applyFont="1" applyFill="1" applyBorder="1" applyAlignment="1">
      <alignment horizontal="right" vertical="center" wrapText="1"/>
    </xf>
    <xf numFmtId="3" fontId="19" fillId="0" borderId="32" xfId="114" applyNumberFormat="1" applyFont="1" applyBorder="1" applyAlignment="1">
      <alignment horizontal="right"/>
    </xf>
    <xf numFmtId="3" fontId="20" fillId="0" borderId="76" xfId="114" applyNumberFormat="1" applyFont="1" applyBorder="1"/>
    <xf numFmtId="0" fontId="19" fillId="29" borderId="32" xfId="114" applyFont="1" applyFill="1" applyBorder="1"/>
    <xf numFmtId="0" fontId="19" fillId="0" borderId="28" xfId="114" applyFont="1" applyBorder="1"/>
    <xf numFmtId="0" fontId="19" fillId="0" borderId="28" xfId="114" applyFont="1" applyFill="1" applyBorder="1"/>
    <xf numFmtId="3" fontId="24" fillId="0" borderId="71" xfId="104" applyNumberFormat="1" applyFont="1" applyBorder="1" applyAlignment="1">
      <alignment horizontal="right"/>
    </xf>
    <xf numFmtId="3" fontId="25" fillId="0" borderId="32" xfId="104" applyNumberFormat="1" applyFont="1" applyFill="1" applyBorder="1" applyAlignment="1">
      <alignment horizontal="right"/>
    </xf>
    <xf numFmtId="3" fontId="38" fillId="0" borderId="71" xfId="114" applyNumberFormat="1" applyFont="1" applyBorder="1" applyAlignment="1">
      <alignment horizontal="right" wrapText="1"/>
    </xf>
    <xf numFmtId="3" fontId="25" fillId="0" borderId="28" xfId="107" applyNumberFormat="1" applyFont="1" applyBorder="1" applyAlignment="1">
      <alignment horizontal="right" wrapText="1"/>
    </xf>
    <xf numFmtId="3" fontId="24" fillId="0" borderId="28" xfId="104" applyNumberFormat="1" applyFont="1" applyFill="1" applyBorder="1" applyAlignment="1">
      <alignment horizontal="right"/>
    </xf>
    <xf numFmtId="3" fontId="19" fillId="0" borderId="28" xfId="106" applyNumberFormat="1" applyFont="1" applyBorder="1"/>
    <xf numFmtId="3" fontId="19" fillId="0" borderId="28" xfId="106" applyNumberFormat="1" applyFont="1" applyFill="1" applyBorder="1"/>
    <xf numFmtId="3" fontId="44" fillId="0" borderId="28" xfId="106" applyNumberFormat="1" applyFont="1" applyFill="1" applyBorder="1"/>
    <xf numFmtId="3" fontId="19" fillId="0" borderId="32" xfId="107" applyNumberFormat="1" applyFont="1" applyBorder="1" applyAlignment="1">
      <alignment horizontal="right"/>
    </xf>
    <xf numFmtId="3" fontId="19" fillId="0" borderId="28" xfId="78" applyNumberFormat="1" applyFont="1" applyBorder="1" applyAlignment="1">
      <alignment horizontal="right" wrapText="1"/>
    </xf>
    <xf numFmtId="3" fontId="19" fillId="0" borderId="28" xfId="137" applyNumberFormat="1" applyFont="1" applyFill="1" applyBorder="1"/>
    <xf numFmtId="3" fontId="19" fillId="0" borderId="67" xfId="0" applyNumberFormat="1" applyFont="1" applyBorder="1"/>
    <xf numFmtId="3" fontId="19" fillId="0" borderId="70" xfId="0" applyNumberFormat="1" applyFont="1" applyBorder="1"/>
    <xf numFmtId="3" fontId="20" fillId="0" borderId="27" xfId="0" applyNumberFormat="1" applyFont="1" applyBorder="1"/>
    <xf numFmtId="0" fontId="19" fillId="0" borderId="27" xfId="0" applyFont="1" applyBorder="1"/>
    <xf numFmtId="0" fontId="19" fillId="0" borderId="50" xfId="0" applyFont="1" applyBorder="1"/>
    <xf numFmtId="3" fontId="20" fillId="0" borderId="50" xfId="108" applyNumberFormat="1" applyFont="1" applyFill="1" applyBorder="1"/>
    <xf numFmtId="3" fontId="20" fillId="0" borderId="70" xfId="0" applyNumberFormat="1" applyFont="1" applyBorder="1"/>
    <xf numFmtId="0" fontId="19" fillId="0" borderId="29" xfId="0" applyFont="1" applyBorder="1"/>
    <xf numFmtId="3" fontId="19" fillId="0" borderId="50" xfId="0" applyNumberFormat="1" applyFont="1" applyBorder="1"/>
    <xf numFmtId="0" fontId="20" fillId="0" borderId="60" xfId="108" applyNumberFormat="1" applyFont="1" applyFill="1" applyBorder="1" applyAlignment="1">
      <alignment horizontal="center"/>
    </xf>
    <xf numFmtId="0" fontId="20" fillId="0" borderId="66" xfId="108" applyNumberFormat="1" applyFont="1" applyFill="1" applyBorder="1" applyAlignment="1">
      <alignment horizontal="center"/>
    </xf>
    <xf numFmtId="0" fontId="20" fillId="0" borderId="61" xfId="108" applyNumberFormat="1" applyFont="1" applyFill="1" applyBorder="1" applyAlignment="1">
      <alignment horizontal="center"/>
    </xf>
    <xf numFmtId="0" fontId="20" fillId="0" borderId="35" xfId="108" applyFont="1" applyBorder="1"/>
    <xf numFmtId="0" fontId="19" fillId="0" borderId="35" xfId="108" applyNumberFormat="1" applyFont="1" applyFill="1" applyBorder="1" applyAlignment="1">
      <alignment horizontal="center"/>
    </xf>
    <xf numFmtId="0" fontId="19" fillId="0" borderId="61" xfId="108" applyNumberFormat="1" applyFont="1" applyFill="1" applyBorder="1" applyAlignment="1">
      <alignment horizontal="center"/>
    </xf>
    <xf numFmtId="0" fontId="19" fillId="0" borderId="31" xfId="108" applyFont="1" applyFill="1" applyBorder="1"/>
    <xf numFmtId="0" fontId="19" fillId="0" borderId="62" xfId="108" applyNumberFormat="1" applyFont="1" applyFill="1" applyBorder="1" applyAlignment="1">
      <alignment horizontal="center"/>
    </xf>
    <xf numFmtId="0" fontId="19" fillId="0" borderId="47" xfId="108" applyFont="1" applyFill="1" applyBorder="1" applyAlignment="1">
      <alignment wrapText="1"/>
    </xf>
    <xf numFmtId="3" fontId="19" fillId="0" borderId="32" xfId="108" applyNumberFormat="1" applyFont="1" applyFill="1" applyBorder="1"/>
    <xf numFmtId="0" fontId="20" fillId="0" borderId="48" xfId="108" applyNumberFormat="1" applyFont="1" applyFill="1" applyBorder="1" applyAlignment="1">
      <alignment horizontal="center" wrapText="1"/>
    </xf>
    <xf numFmtId="0" fontId="20" fillId="0" borderId="39" xfId="108" applyFont="1" applyFill="1" applyBorder="1" applyAlignment="1">
      <alignment horizontal="center" wrapText="1"/>
    </xf>
    <xf numFmtId="2" fontId="20" fillId="0" borderId="39" xfId="108" applyNumberFormat="1" applyFont="1" applyFill="1" applyBorder="1" applyAlignment="1">
      <alignment horizontal="center" wrapText="1"/>
    </xf>
    <xf numFmtId="0" fontId="20" fillId="0" borderId="39" xfId="108" applyFont="1" applyFill="1" applyBorder="1" applyAlignment="1">
      <alignment horizontal="center" vertical="center"/>
    </xf>
    <xf numFmtId="0" fontId="20" fillId="29" borderId="39" xfId="108" applyFont="1" applyFill="1" applyBorder="1" applyAlignment="1">
      <alignment horizontal="center" vertical="center"/>
    </xf>
    <xf numFmtId="0" fontId="20" fillId="0" borderId="79" xfId="108" applyFont="1" applyFill="1" applyBorder="1" applyAlignment="1">
      <alignment horizontal="center" vertical="center"/>
    </xf>
    <xf numFmtId="3" fontId="19" fillId="29" borderId="22" xfId="114" applyNumberFormat="1" applyFont="1" applyFill="1" applyBorder="1" applyAlignment="1">
      <alignment horizontal="right" wrapText="1"/>
    </xf>
    <xf numFmtId="0" fontId="20" fillId="0" borderId="45" xfId="114" applyFont="1" applyBorder="1" applyAlignment="1">
      <alignment horizontal="center" vertical="center" wrapText="1"/>
    </xf>
    <xf numFmtId="0" fontId="20" fillId="0" borderId="83" xfId="114" applyFont="1" applyBorder="1" applyAlignment="1">
      <alignment horizontal="center" vertical="center" wrapText="1"/>
    </xf>
    <xf numFmtId="3" fontId="21" fillId="29" borderId="70" xfId="114" applyNumberFormat="1" applyFont="1" applyFill="1" applyBorder="1" applyAlignment="1">
      <alignment horizontal="right" wrapText="1"/>
    </xf>
    <xf numFmtId="3" fontId="20" fillId="29" borderId="27" xfId="114" applyNumberFormat="1" applyFont="1" applyFill="1" applyBorder="1" applyAlignment="1">
      <alignment horizontal="right" wrapText="1"/>
    </xf>
    <xf numFmtId="3" fontId="20" fillId="29" borderId="70" xfId="114" applyNumberFormat="1" applyFont="1" applyFill="1" applyBorder="1" applyAlignment="1">
      <alignment horizontal="right" wrapText="1"/>
    </xf>
    <xf numFmtId="3" fontId="19" fillId="0" borderId="70" xfId="107" applyNumberFormat="1" applyFont="1" applyBorder="1" applyAlignment="1">
      <alignment horizontal="right"/>
    </xf>
    <xf numFmtId="0" fontId="19" fillId="0" borderId="117" xfId="107" applyFont="1" applyBorder="1" applyAlignment="1">
      <alignment wrapText="1"/>
    </xf>
    <xf numFmtId="0" fontId="19" fillId="0" borderId="37" xfId="107" applyFont="1" applyBorder="1" applyAlignment="1">
      <alignment wrapText="1"/>
    </xf>
    <xf numFmtId="0" fontId="20" fillId="0" borderId="45" xfId="114" applyFont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 wrapText="1"/>
    </xf>
    <xf numFmtId="3" fontId="20" fillId="29" borderId="84" xfId="114" applyNumberFormat="1" applyFont="1" applyFill="1" applyBorder="1" applyAlignment="1">
      <alignment horizontal="right" wrapText="1"/>
    </xf>
    <xf numFmtId="4" fontId="27" fillId="29" borderId="50" xfId="114" applyNumberFormat="1" applyFont="1" applyFill="1" applyBorder="1" applyAlignment="1">
      <alignment horizontal="right" wrapText="1"/>
    </xf>
    <xf numFmtId="4" fontId="19" fillId="29" borderId="50" xfId="114" applyNumberFormat="1" applyFont="1" applyFill="1" applyBorder="1" applyAlignment="1">
      <alignment horizontal="right" wrapText="1"/>
    </xf>
    <xf numFmtId="0" fontId="21" fillId="29" borderId="65" xfId="114" applyFont="1" applyFill="1" applyBorder="1" applyAlignment="1">
      <alignment wrapText="1"/>
    </xf>
    <xf numFmtId="0" fontId="27" fillId="29" borderId="60" xfId="113" applyFont="1" applyFill="1" applyBorder="1" applyAlignment="1">
      <alignment wrapText="1"/>
    </xf>
    <xf numFmtId="0" fontId="27" fillId="29" borderId="60" xfId="114" applyFont="1" applyFill="1" applyBorder="1" applyAlignment="1">
      <alignment wrapText="1"/>
    </xf>
    <xf numFmtId="0" fontId="21" fillId="29" borderId="60" xfId="114" applyFont="1" applyFill="1" applyBorder="1" applyAlignment="1">
      <alignment wrapText="1"/>
    </xf>
    <xf numFmtId="164" fontId="27" fillId="29" borderId="60" xfId="114" applyNumberFormat="1" applyFont="1" applyFill="1" applyBorder="1" applyAlignment="1">
      <alignment wrapText="1"/>
    </xf>
    <xf numFmtId="0" fontId="27" fillId="29" borderId="60" xfId="113" applyFont="1" applyFill="1" applyBorder="1" applyAlignment="1">
      <alignment horizontal="left" wrapText="1"/>
    </xf>
    <xf numFmtId="0" fontId="27" fillId="29" borderId="61" xfId="113" applyFont="1" applyFill="1" applyBorder="1" applyAlignment="1">
      <alignment wrapText="1"/>
    </xf>
    <xf numFmtId="3" fontId="21" fillId="29" borderId="123" xfId="114" applyNumberFormat="1" applyFont="1" applyFill="1" applyBorder="1" applyAlignment="1">
      <alignment horizontal="right" wrapText="1"/>
    </xf>
    <xf numFmtId="3" fontId="27" fillId="29" borderId="68" xfId="114" applyNumberFormat="1" applyFont="1" applyFill="1" applyBorder="1" applyAlignment="1">
      <alignment horizontal="right" wrapText="1"/>
    </xf>
    <xf numFmtId="3" fontId="21" fillId="29" borderId="119" xfId="114" applyNumberFormat="1" applyFont="1" applyFill="1" applyBorder="1" applyAlignment="1">
      <alignment horizontal="right" wrapText="1"/>
    </xf>
    <xf numFmtId="3" fontId="21" fillId="29" borderId="26" xfId="114" applyNumberFormat="1" applyFont="1" applyFill="1" applyBorder="1"/>
    <xf numFmtId="4" fontId="27" fillId="29" borderId="35" xfId="114" applyNumberFormat="1" applyFont="1" applyFill="1" applyBorder="1" applyAlignment="1">
      <alignment horizontal="right" wrapText="1"/>
    </xf>
    <xf numFmtId="4" fontId="27" fillId="29" borderId="69" xfId="114" applyNumberFormat="1" applyFont="1" applyFill="1" applyBorder="1" applyAlignment="1">
      <alignment horizontal="right" wrapText="1"/>
    </xf>
    <xf numFmtId="4" fontId="27" fillId="29" borderId="49" xfId="114" applyNumberFormat="1" applyFont="1" applyFill="1" applyBorder="1" applyAlignment="1">
      <alignment horizontal="right" wrapText="1"/>
    </xf>
    <xf numFmtId="3" fontId="24" fillId="0" borderId="67" xfId="111" applyNumberFormat="1" applyFont="1" applyFill="1" applyBorder="1" applyAlignment="1">
      <alignment horizontal="right"/>
    </xf>
    <xf numFmtId="3" fontId="25" fillId="0" borderId="70" xfId="111" applyNumberFormat="1" applyFont="1" applyFill="1" applyBorder="1" applyAlignment="1">
      <alignment horizontal="right" vertical="center" wrapText="1"/>
    </xf>
    <xf numFmtId="3" fontId="24" fillId="0" borderId="50" xfId="111" applyNumberFormat="1" applyFont="1" applyFill="1" applyBorder="1" applyAlignment="1">
      <alignment horizontal="right"/>
    </xf>
    <xf numFmtId="3" fontId="25" fillId="0" borderId="50" xfId="111" applyNumberFormat="1" applyFont="1" applyFill="1" applyBorder="1" applyAlignment="1">
      <alignment horizontal="right" vertical="center" wrapText="1"/>
    </xf>
    <xf numFmtId="3" fontId="25" fillId="0" borderId="72" xfId="111" applyNumberFormat="1" applyFont="1" applyFill="1" applyBorder="1" applyAlignment="1">
      <alignment horizontal="right" vertical="center" wrapText="1"/>
    </xf>
    <xf numFmtId="3" fontId="25" fillId="0" borderId="124" xfId="111" applyNumberFormat="1" applyFont="1" applyFill="1" applyBorder="1" applyAlignment="1">
      <alignment horizontal="right" vertical="center" wrapText="1"/>
    </xf>
    <xf numFmtId="3" fontId="25" fillId="31" borderId="20" xfId="98" applyNumberFormat="1" applyFont="1" applyFill="1" applyBorder="1" applyAlignment="1">
      <alignment wrapText="1"/>
    </xf>
    <xf numFmtId="3" fontId="25" fillId="0" borderId="17" xfId="104" applyNumberFormat="1" applyFont="1" applyBorder="1" applyAlignment="1">
      <alignment wrapText="1"/>
    </xf>
    <xf numFmtId="3" fontId="25" fillId="0" borderId="16" xfId="104" applyNumberFormat="1" applyFont="1" applyBorder="1" applyAlignment="1">
      <alignment wrapText="1"/>
    </xf>
    <xf numFmtId="3" fontId="19" fillId="29" borderId="74" xfId="114" applyNumberFormat="1" applyFont="1" applyFill="1" applyBorder="1"/>
    <xf numFmtId="0" fontId="25" fillId="31" borderId="125" xfId="0" applyFont="1" applyFill="1" applyBorder="1" applyAlignment="1">
      <alignment wrapText="1"/>
    </xf>
    <xf numFmtId="3" fontId="24" fillId="31" borderId="12" xfId="0" applyNumberFormat="1" applyFont="1" applyFill="1" applyBorder="1"/>
    <xf numFmtId="3" fontId="47" fillId="31" borderId="13" xfId="0" applyNumberFormat="1" applyFont="1" applyFill="1" applyBorder="1"/>
    <xf numFmtId="3" fontId="24" fillId="31" borderId="94" xfId="0" applyNumberFormat="1" applyFont="1" applyFill="1" applyBorder="1"/>
    <xf numFmtId="3" fontId="24" fillId="31" borderId="19" xfId="0" applyNumberFormat="1" applyFont="1" applyFill="1" applyBorder="1"/>
    <xf numFmtId="3" fontId="0" fillId="31" borderId="0" xfId="0" applyNumberFormat="1" applyFont="1" applyFill="1" applyBorder="1"/>
    <xf numFmtId="3" fontId="20" fillId="0" borderId="90" xfId="78" applyNumberFormat="1" applyFont="1" applyBorder="1" applyAlignment="1">
      <alignment horizontal="right"/>
    </xf>
    <xf numFmtId="0" fontId="21" fillId="29" borderId="60" xfId="113" applyFont="1" applyFill="1" applyBorder="1" applyAlignment="1">
      <alignment wrapText="1"/>
    </xf>
    <xf numFmtId="0" fontId="0" fillId="29" borderId="60" xfId="114" applyFont="1" applyFill="1" applyBorder="1" applyAlignment="1">
      <alignment wrapText="1"/>
    </xf>
    <xf numFmtId="0" fontId="27" fillId="0" borderId="60" xfId="114" applyFont="1" applyBorder="1"/>
    <xf numFmtId="0" fontId="27" fillId="0" borderId="80" xfId="114" applyFont="1" applyBorder="1"/>
    <xf numFmtId="3" fontId="27" fillId="29" borderId="20" xfId="114" applyNumberFormat="1" applyFont="1" applyFill="1" applyBorder="1"/>
    <xf numFmtId="3" fontId="21" fillId="29" borderId="20" xfId="114" applyNumberFormat="1" applyFont="1" applyFill="1" applyBorder="1"/>
    <xf numFmtId="4" fontId="27" fillId="29" borderId="87" xfId="114" applyNumberFormat="1" applyFont="1" applyFill="1" applyBorder="1" applyAlignment="1">
      <alignment horizontal="right" wrapText="1"/>
    </xf>
    <xf numFmtId="3" fontId="19" fillId="31" borderId="12" xfId="137" applyNumberFormat="1" applyFont="1" applyFill="1" applyBorder="1"/>
    <xf numFmtId="3" fontId="25" fillId="0" borderId="50" xfId="104" applyNumberFormat="1" applyFont="1" applyFill="1" applyBorder="1"/>
    <xf numFmtId="3" fontId="25" fillId="30" borderId="62" xfId="98" applyNumberFormat="1" applyFont="1" applyFill="1" applyBorder="1" applyAlignment="1">
      <alignment wrapText="1"/>
    </xf>
    <xf numFmtId="3" fontId="25" fillId="0" borderId="70" xfId="104" applyNumberFormat="1" applyFont="1" applyFill="1" applyBorder="1"/>
    <xf numFmtId="3" fontId="25" fillId="0" borderId="47" xfId="104" applyNumberFormat="1" applyFont="1" applyFill="1" applyBorder="1"/>
    <xf numFmtId="0" fontId="25" fillId="0" borderId="18" xfId="107" applyFont="1" applyFill="1" applyBorder="1" applyAlignment="1">
      <alignment horizontal="left" vertical="center" wrapText="1"/>
    </xf>
    <xf numFmtId="3" fontId="25" fillId="0" borderId="67" xfId="104" applyNumberFormat="1" applyFont="1" applyFill="1" applyBorder="1" applyAlignment="1">
      <alignment horizontal="right"/>
    </xf>
    <xf numFmtId="0" fontId="24" fillId="0" borderId="38" xfId="99" applyFont="1" applyBorder="1" applyAlignment="1">
      <alignment horizontal="center" vertical="center" wrapText="1"/>
    </xf>
    <xf numFmtId="3" fontId="27" fillId="0" borderId="126" xfId="136" applyNumberFormat="1" applyFont="1" applyFill="1" applyBorder="1"/>
    <xf numFmtId="3" fontId="20" fillId="29" borderId="22" xfId="114" applyNumberFormat="1" applyFont="1" applyFill="1" applyBorder="1" applyAlignment="1">
      <alignment horizontal="right" wrapText="1"/>
    </xf>
    <xf numFmtId="3" fontId="20" fillId="29" borderId="47" xfId="114" applyNumberFormat="1" applyFont="1" applyFill="1" applyBorder="1" applyAlignment="1">
      <alignment horizontal="right" wrapText="1"/>
    </xf>
    <xf numFmtId="4" fontId="19" fillId="29" borderId="47" xfId="114" applyNumberFormat="1" applyFont="1" applyFill="1" applyBorder="1" applyAlignment="1">
      <alignment horizontal="right" wrapText="1"/>
    </xf>
    <xf numFmtId="4" fontId="44" fillId="29" borderId="47" xfId="114" applyNumberFormat="1" applyFont="1" applyFill="1" applyBorder="1" applyAlignment="1">
      <alignment horizontal="right" wrapText="1"/>
    </xf>
    <xf numFmtId="3" fontId="20" fillId="0" borderId="60" xfId="108" applyNumberFormat="1" applyFont="1" applyFill="1" applyBorder="1" applyAlignment="1">
      <alignment horizontal="right"/>
    </xf>
    <xf numFmtId="3" fontId="20" fillId="0" borderId="20" xfId="0" applyNumberFormat="1" applyFont="1" applyFill="1" applyBorder="1"/>
    <xf numFmtId="3" fontId="20" fillId="0" borderId="30" xfId="108" applyNumberFormat="1" applyFont="1" applyFill="1" applyBorder="1"/>
    <xf numFmtId="3" fontId="20" fillId="0" borderId="60" xfId="0" applyNumberFormat="1" applyFont="1" applyFill="1" applyBorder="1"/>
    <xf numFmtId="3" fontId="20" fillId="0" borderId="50" xfId="0" applyNumberFormat="1" applyFont="1" applyBorder="1"/>
    <xf numFmtId="3" fontId="20" fillId="0" borderId="87" xfId="0" applyNumberFormat="1" applyFont="1" applyFill="1" applyBorder="1" applyAlignment="1">
      <alignment horizontal="center" vertical="center"/>
    </xf>
    <xf numFmtId="0" fontId="0" fillId="0" borderId="52" xfId="0" applyBorder="1"/>
    <xf numFmtId="3" fontId="19" fillId="0" borderId="44" xfId="0" applyNumberFormat="1" applyFont="1" applyBorder="1"/>
    <xf numFmtId="3" fontId="19" fillId="0" borderId="29" xfId="0" applyNumberFormat="1" applyFont="1" applyBorder="1"/>
    <xf numFmtId="0" fontId="0" fillId="0" borderId="44" xfId="0" applyBorder="1"/>
    <xf numFmtId="0" fontId="0" fillId="0" borderId="20" xfId="0" applyBorder="1"/>
    <xf numFmtId="0" fontId="0" fillId="0" borderId="20" xfId="0" applyFill="1" applyBorder="1"/>
    <xf numFmtId="3" fontId="19" fillId="0" borderId="33" xfId="0" applyNumberFormat="1" applyFont="1" applyFill="1" applyBorder="1"/>
    <xf numFmtId="0" fontId="0" fillId="0" borderId="33" xfId="0" applyFill="1" applyBorder="1"/>
    <xf numFmtId="3" fontId="0" fillId="0" borderId="19" xfId="0" applyNumberFormat="1" applyBorder="1"/>
    <xf numFmtId="3" fontId="0" fillId="0" borderId="19" xfId="0" applyNumberFormat="1" applyFill="1" applyBorder="1"/>
    <xf numFmtId="3" fontId="0" fillId="0" borderId="0" xfId="0" applyNumberFormat="1"/>
    <xf numFmtId="3" fontId="0" fillId="0" borderId="20" xfId="0" applyNumberFormat="1" applyFill="1" applyBorder="1"/>
    <xf numFmtId="3" fontId="19" fillId="0" borderId="60" xfId="0" applyNumberFormat="1" applyFont="1" applyFill="1" applyBorder="1"/>
    <xf numFmtId="2" fontId="19" fillId="0" borderId="19" xfId="0" applyNumberFormat="1" applyFont="1" applyBorder="1"/>
    <xf numFmtId="3" fontId="19" fillId="0" borderId="19" xfId="0" applyNumberFormat="1" applyFont="1" applyFill="1" applyBorder="1"/>
    <xf numFmtId="4" fontId="0" fillId="0" borderId="26" xfId="0" applyNumberFormat="1" applyFill="1" applyBorder="1"/>
    <xf numFmtId="3" fontId="19" fillId="0" borderId="28" xfId="0" applyNumberFormat="1" applyFont="1" applyFill="1" applyBorder="1"/>
    <xf numFmtId="0" fontId="19" fillId="0" borderId="20" xfId="0" applyFont="1" applyFill="1" applyBorder="1"/>
    <xf numFmtId="3" fontId="19" fillId="0" borderId="26" xfId="0" applyNumberFormat="1" applyFont="1" applyFill="1" applyBorder="1"/>
    <xf numFmtId="3" fontId="19" fillId="0" borderId="19" xfId="0" applyNumberFormat="1" applyFont="1" applyBorder="1"/>
    <xf numFmtId="0" fontId="25" fillId="0" borderId="10" xfId="0" applyFont="1" applyFill="1" applyBorder="1" applyAlignment="1">
      <alignment vertical="center" wrapText="1"/>
    </xf>
    <xf numFmtId="3" fontId="25" fillId="0" borderId="10" xfId="0" applyNumberFormat="1" applyFont="1" applyFill="1" applyBorder="1" applyAlignment="1">
      <alignment vertical="center"/>
    </xf>
    <xf numFmtId="0" fontId="20" fillId="0" borderId="116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0" fillId="0" borderId="0" xfId="114" applyFont="1" applyAlignment="1">
      <alignment horizontal="center"/>
    </xf>
    <xf numFmtId="0" fontId="21" fillId="0" borderId="52" xfId="114" applyFont="1" applyBorder="1" applyAlignment="1">
      <alignment horizontal="center"/>
    </xf>
    <xf numFmtId="0" fontId="20" fillId="0" borderId="48" xfId="114" applyFont="1" applyBorder="1" applyAlignment="1">
      <alignment horizontal="center" vertical="center" wrapText="1"/>
    </xf>
    <xf numFmtId="3" fontId="25" fillId="30" borderId="44" xfId="98" applyNumberFormat="1" applyFont="1" applyFill="1" applyBorder="1" applyAlignment="1">
      <alignment wrapText="1"/>
    </xf>
    <xf numFmtId="3" fontId="25" fillId="0" borderId="20" xfId="98" applyNumberFormat="1" applyFont="1" applyFill="1" applyBorder="1" applyAlignment="1">
      <alignment wrapText="1"/>
    </xf>
    <xf numFmtId="0" fontId="0" fillId="31" borderId="13" xfId="136" applyFont="1" applyFill="1" applyBorder="1" applyAlignment="1">
      <alignment wrapText="1"/>
    </xf>
    <xf numFmtId="3" fontId="27" fillId="0" borderId="72" xfId="0" applyNumberFormat="1" applyFont="1" applyBorder="1"/>
    <xf numFmtId="0" fontId="37" fillId="31" borderId="94" xfId="136" applyFont="1" applyFill="1" applyBorder="1" applyAlignment="1">
      <alignment wrapText="1"/>
    </xf>
    <xf numFmtId="0" fontId="0" fillId="31" borderId="19" xfId="136" applyFont="1" applyFill="1" applyBorder="1" applyAlignment="1">
      <alignment wrapText="1"/>
    </xf>
    <xf numFmtId="0" fontId="0" fillId="31" borderId="127" xfId="136" applyFont="1" applyFill="1" applyBorder="1" applyAlignment="1">
      <alignment wrapText="1"/>
    </xf>
    <xf numFmtId="3" fontId="27" fillId="0" borderId="127" xfId="136" applyNumberFormat="1" applyFont="1" applyFill="1" applyBorder="1"/>
    <xf numFmtId="3" fontId="27" fillId="0" borderId="104" xfId="136" applyNumberFormat="1" applyFont="1" applyFill="1" applyBorder="1" applyAlignment="1">
      <alignment wrapText="1"/>
    </xf>
    <xf numFmtId="0" fontId="19" fillId="0" borderId="20" xfId="106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24" fillId="0" borderId="0" xfId="114" applyFont="1" applyAlignment="1">
      <alignment horizontal="center" wrapText="1"/>
    </xf>
    <xf numFmtId="0" fontId="21" fillId="29" borderId="80" xfId="114" applyFont="1" applyFill="1" applyBorder="1" applyAlignment="1">
      <alignment horizontal="center" vertical="center" wrapText="1"/>
    </xf>
    <xf numFmtId="0" fontId="21" fillId="29" borderId="52" xfId="114" applyFont="1" applyFill="1" applyBorder="1" applyAlignment="1">
      <alignment horizontal="center" vertical="center" wrapText="1"/>
    </xf>
    <xf numFmtId="0" fontId="21" fillId="29" borderId="92" xfId="114" applyFont="1" applyFill="1" applyBorder="1" applyAlignment="1">
      <alignment horizontal="center" vertical="center" wrapText="1"/>
    </xf>
    <xf numFmtId="0" fontId="21" fillId="29" borderId="21" xfId="114" applyFont="1" applyFill="1" applyBorder="1" applyAlignment="1">
      <alignment horizontal="center" vertical="center" wrapText="1"/>
    </xf>
    <xf numFmtId="0" fontId="21" fillId="29" borderId="42" xfId="114" applyFont="1" applyFill="1" applyBorder="1" applyAlignment="1">
      <alignment horizontal="center" vertical="center" wrapText="1"/>
    </xf>
    <xf numFmtId="0" fontId="21" fillId="29" borderId="99" xfId="114" applyFont="1" applyFill="1" applyBorder="1" applyAlignment="1">
      <alignment horizontal="center" vertical="center" wrapText="1"/>
    </xf>
    <xf numFmtId="0" fontId="24" fillId="0" borderId="0" xfId="114" applyFont="1" applyBorder="1" applyAlignment="1">
      <alignment horizontal="center"/>
    </xf>
    <xf numFmtId="0" fontId="21" fillId="29" borderId="48" xfId="114" applyFont="1" applyFill="1" applyBorder="1" applyAlignment="1">
      <alignment horizontal="center" vertical="center" wrapText="1"/>
    </xf>
    <xf numFmtId="0" fontId="21" fillId="29" borderId="78" xfId="114" applyFont="1" applyFill="1" applyBorder="1" applyAlignment="1">
      <alignment horizontal="center" vertical="center" wrapText="1"/>
    </xf>
    <xf numFmtId="0" fontId="21" fillId="29" borderId="54" xfId="114" applyFont="1" applyFill="1" applyBorder="1" applyAlignment="1">
      <alignment horizontal="center" vertical="center" wrapText="1"/>
    </xf>
    <xf numFmtId="0" fontId="21" fillId="29" borderId="53" xfId="114" applyFont="1" applyFill="1" applyBorder="1" applyAlignment="1">
      <alignment horizontal="center" vertical="center" wrapText="1"/>
    </xf>
    <xf numFmtId="0" fontId="21" fillId="29" borderId="38" xfId="114" applyFont="1" applyFill="1" applyBorder="1" applyAlignment="1">
      <alignment horizontal="center" vertical="center" wrapText="1"/>
    </xf>
    <xf numFmtId="0" fontId="21" fillId="29" borderId="79" xfId="114" applyFont="1" applyFill="1" applyBorder="1" applyAlignment="1">
      <alignment horizontal="center" vertical="center" wrapText="1"/>
    </xf>
    <xf numFmtId="0" fontId="21" fillId="29" borderId="74" xfId="114" applyFont="1" applyFill="1" applyBorder="1" applyAlignment="1">
      <alignment horizontal="center" vertical="center" wrapText="1"/>
    </xf>
    <xf numFmtId="0" fontId="21" fillId="29" borderId="116" xfId="114" applyFont="1" applyFill="1" applyBorder="1" applyAlignment="1">
      <alignment horizontal="center" vertical="center" wrapText="1"/>
    </xf>
    <xf numFmtId="0" fontId="21" fillId="29" borderId="86" xfId="114" applyFont="1" applyFill="1" applyBorder="1" applyAlignment="1">
      <alignment horizontal="center" vertical="center" wrapText="1"/>
    </xf>
    <xf numFmtId="0" fontId="20" fillId="29" borderId="48" xfId="114" applyFont="1" applyFill="1" applyBorder="1" applyAlignment="1">
      <alignment horizontal="center" vertical="center" wrapText="1"/>
    </xf>
    <xf numFmtId="0" fontId="20" fillId="29" borderId="78" xfId="114" applyFont="1" applyFill="1" applyBorder="1" applyAlignment="1">
      <alignment horizontal="center" vertical="center" wrapText="1"/>
    </xf>
    <xf numFmtId="0" fontId="20" fillId="29" borderId="54" xfId="114" applyFont="1" applyFill="1" applyBorder="1" applyAlignment="1">
      <alignment horizontal="center" vertical="center" wrapText="1"/>
    </xf>
    <xf numFmtId="0" fontId="20" fillId="29" borderId="96" xfId="114" applyFont="1" applyFill="1" applyBorder="1" applyAlignment="1">
      <alignment horizontal="center" vertical="center" wrapText="1"/>
    </xf>
    <xf numFmtId="0" fontId="20" fillId="29" borderId="118" xfId="114" applyFont="1" applyFill="1" applyBorder="1" applyAlignment="1">
      <alignment horizontal="center" vertical="center" wrapText="1"/>
    </xf>
    <xf numFmtId="0" fontId="20" fillId="0" borderId="48" xfId="114" applyFont="1" applyFill="1" applyBorder="1" applyAlignment="1">
      <alignment horizontal="center" vertical="center" wrapText="1"/>
    </xf>
    <xf numFmtId="0" fontId="20" fillId="0" borderId="78" xfId="114" applyFont="1" applyFill="1" applyBorder="1" applyAlignment="1">
      <alignment horizontal="center" vertical="center" wrapText="1"/>
    </xf>
    <xf numFmtId="0" fontId="20" fillId="0" borderId="54" xfId="114" applyFont="1" applyFill="1" applyBorder="1" applyAlignment="1">
      <alignment horizontal="center" vertical="center" wrapText="1"/>
    </xf>
    <xf numFmtId="0" fontId="20" fillId="29" borderId="119" xfId="114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20" fillId="0" borderId="30" xfId="108" applyFont="1" applyFill="1" applyBorder="1" applyAlignment="1">
      <alignment horizontal="center" vertical="center"/>
    </xf>
    <xf numFmtId="0" fontId="20" fillId="0" borderId="29" xfId="108" applyFont="1" applyFill="1" applyBorder="1" applyAlignment="1">
      <alignment horizontal="center" vertical="center"/>
    </xf>
    <xf numFmtId="0" fontId="20" fillId="0" borderId="31" xfId="108" applyFont="1" applyBorder="1" applyAlignment="1">
      <alignment horizontal="center" vertical="center"/>
    </xf>
    <xf numFmtId="0" fontId="20" fillId="0" borderId="22" xfId="108" applyFont="1" applyBorder="1" applyAlignment="1">
      <alignment horizontal="center" vertical="center"/>
    </xf>
    <xf numFmtId="0" fontId="20" fillId="0" borderId="31" xfId="108" applyFont="1" applyFill="1" applyBorder="1" applyAlignment="1">
      <alignment horizontal="center" vertical="center"/>
    </xf>
    <xf numFmtId="0" fontId="20" fillId="0" borderId="22" xfId="108" applyFont="1" applyFill="1" applyBorder="1" applyAlignment="1">
      <alignment horizontal="center" vertical="center"/>
    </xf>
    <xf numFmtId="0" fontId="20" fillId="29" borderId="31" xfId="108" applyFont="1" applyFill="1" applyBorder="1" applyAlignment="1">
      <alignment horizontal="center" vertical="center"/>
    </xf>
    <xf numFmtId="0" fontId="20" fillId="29" borderId="22" xfId="108" applyFont="1" applyFill="1" applyBorder="1" applyAlignment="1">
      <alignment horizontal="center" vertical="center"/>
    </xf>
    <xf numFmtId="0" fontId="20" fillId="29" borderId="71" xfId="108" applyFont="1" applyFill="1" applyBorder="1" applyAlignment="1">
      <alignment horizontal="center" vertical="center"/>
    </xf>
    <xf numFmtId="0" fontId="20" fillId="29" borderId="67" xfId="108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71" xfId="114" applyFont="1" applyBorder="1" applyAlignment="1">
      <alignment horizontal="center" vertical="center" wrapText="1"/>
    </xf>
    <xf numFmtId="0" fontId="20" fillId="0" borderId="67" xfId="114" applyFont="1" applyBorder="1" applyAlignment="1">
      <alignment horizontal="center" vertical="center" wrapText="1"/>
    </xf>
    <xf numFmtId="3" fontId="20" fillId="0" borderId="30" xfId="0" applyNumberFormat="1" applyFont="1" applyFill="1" applyBorder="1" applyAlignment="1">
      <alignment horizontal="center" vertical="center"/>
    </xf>
    <xf numFmtId="3" fontId="20" fillId="0" borderId="29" xfId="0" applyNumberFormat="1" applyFont="1" applyFill="1" applyBorder="1" applyAlignment="1">
      <alignment horizontal="center" vertical="center"/>
    </xf>
    <xf numFmtId="3" fontId="20" fillId="0" borderId="51" xfId="114" applyNumberFormat="1" applyFont="1" applyBorder="1" applyAlignment="1">
      <alignment horizontal="center" vertical="center" wrapText="1"/>
    </xf>
    <xf numFmtId="3" fontId="20" fillId="0" borderId="50" xfId="114" applyNumberFormat="1" applyFont="1" applyBorder="1" applyAlignment="1">
      <alignment horizontal="center" vertical="center" wrapText="1"/>
    </xf>
    <xf numFmtId="0" fontId="20" fillId="0" borderId="116" xfId="114" applyFont="1" applyBorder="1" applyAlignment="1">
      <alignment horizontal="center" vertical="center" wrapText="1"/>
    </xf>
    <xf numFmtId="0" fontId="20" fillId="0" borderId="57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20" fillId="0" borderId="45" xfId="114" applyFont="1" applyBorder="1" applyAlignment="1">
      <alignment horizontal="center" vertical="center" wrapText="1"/>
    </xf>
    <xf numFmtId="0" fontId="20" fillId="0" borderId="83" xfId="114" applyFont="1" applyBorder="1" applyAlignment="1">
      <alignment horizontal="center" vertical="center" wrapText="1"/>
    </xf>
    <xf numFmtId="0" fontId="20" fillId="0" borderId="98" xfId="114" applyFont="1" applyBorder="1" applyAlignment="1">
      <alignment horizontal="center" vertical="center" wrapText="1"/>
    </xf>
    <xf numFmtId="0" fontId="20" fillId="0" borderId="80" xfId="114" applyFont="1" applyBorder="1" applyAlignment="1">
      <alignment horizontal="center" vertical="center" wrapText="1"/>
    </xf>
    <xf numFmtId="0" fontId="20" fillId="0" borderId="52" xfId="114" applyFont="1" applyBorder="1" applyAlignment="1">
      <alignment horizontal="center" vertical="center" wrapText="1"/>
    </xf>
    <xf numFmtId="0" fontId="20" fillId="0" borderId="92" xfId="114" applyFont="1" applyBorder="1" applyAlignment="1">
      <alignment horizontal="center" vertical="center" wrapText="1"/>
    </xf>
    <xf numFmtId="0" fontId="20" fillId="0" borderId="0" xfId="114" applyFont="1" applyBorder="1" applyAlignment="1">
      <alignment horizontal="center"/>
    </xf>
    <xf numFmtId="0" fontId="20" fillId="0" borderId="0" xfId="107" applyFont="1" applyBorder="1" applyAlignment="1">
      <alignment horizontal="center"/>
    </xf>
    <xf numFmtId="0" fontId="20" fillId="0" borderId="0" xfId="114" applyFont="1" applyAlignment="1">
      <alignment horizontal="center"/>
    </xf>
    <xf numFmtId="0" fontId="20" fillId="0" borderId="45" xfId="114" applyFont="1" applyFill="1" applyBorder="1" applyAlignment="1">
      <alignment horizontal="center" vertical="center" wrapText="1"/>
    </xf>
    <xf numFmtId="0" fontId="20" fillId="0" borderId="83" xfId="114" applyFont="1" applyFill="1" applyBorder="1" applyAlignment="1">
      <alignment horizontal="center" vertical="center" wrapText="1"/>
    </xf>
    <xf numFmtId="0" fontId="20" fillId="0" borderId="98" xfId="114" applyFont="1" applyFill="1" applyBorder="1" applyAlignment="1">
      <alignment horizontal="center" vertical="center" wrapText="1"/>
    </xf>
    <xf numFmtId="0" fontId="20" fillId="0" borderId="80" xfId="114" applyFont="1" applyFill="1" applyBorder="1" applyAlignment="1">
      <alignment horizontal="center" vertical="center" wrapText="1"/>
    </xf>
    <xf numFmtId="0" fontId="20" fillId="0" borderId="52" xfId="114" applyFont="1" applyFill="1" applyBorder="1" applyAlignment="1">
      <alignment horizontal="center" vertical="center" wrapText="1"/>
    </xf>
    <xf numFmtId="0" fontId="20" fillId="0" borderId="92" xfId="114" applyFont="1" applyFill="1" applyBorder="1" applyAlignment="1">
      <alignment horizontal="center" vertical="center" wrapText="1"/>
    </xf>
    <xf numFmtId="0" fontId="20" fillId="30" borderId="96" xfId="114" applyFont="1" applyFill="1" applyBorder="1" applyAlignment="1">
      <alignment horizontal="center" vertical="center" wrapText="1"/>
    </xf>
    <xf numFmtId="0" fontId="20" fillId="30" borderId="97" xfId="114" applyFont="1" applyFill="1" applyBorder="1" applyAlignment="1">
      <alignment horizontal="center" vertical="center" wrapText="1"/>
    </xf>
    <xf numFmtId="0" fontId="20" fillId="30" borderId="120" xfId="114" applyFont="1" applyFill="1" applyBorder="1" applyAlignment="1">
      <alignment horizontal="center" vertical="center" wrapText="1"/>
    </xf>
    <xf numFmtId="0" fontId="20" fillId="30" borderId="118" xfId="114" applyFont="1" applyFill="1" applyBorder="1" applyAlignment="1">
      <alignment horizontal="center" vertical="center" wrapText="1"/>
    </xf>
    <xf numFmtId="0" fontId="20" fillId="30" borderId="119" xfId="114" applyFont="1" applyFill="1" applyBorder="1" applyAlignment="1">
      <alignment horizontal="center" vertical="center" wrapText="1"/>
    </xf>
    <xf numFmtId="0" fontId="20" fillId="30" borderId="116" xfId="114" applyFont="1" applyFill="1" applyBorder="1" applyAlignment="1">
      <alignment horizontal="center" vertical="center" wrapText="1"/>
    </xf>
    <xf numFmtId="0" fontId="20" fillId="30" borderId="86" xfId="114" applyFont="1" applyFill="1" applyBorder="1" applyAlignment="1">
      <alignment horizontal="center" vertical="center" wrapText="1"/>
    </xf>
    <xf numFmtId="0" fontId="20" fillId="30" borderId="48" xfId="114" applyFont="1" applyFill="1" applyBorder="1" applyAlignment="1">
      <alignment horizontal="center" vertical="center" wrapText="1"/>
    </xf>
    <xf numFmtId="0" fontId="20" fillId="30" borderId="54" xfId="114" applyFont="1" applyFill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 wrapText="1"/>
    </xf>
    <xf numFmtId="0" fontId="20" fillId="0" borderId="78" xfId="114" applyFont="1" applyBorder="1" applyAlignment="1">
      <alignment horizontal="center" vertical="center" wrapText="1"/>
    </xf>
    <xf numFmtId="0" fontId="20" fillId="0" borderId="54" xfId="114" applyFont="1" applyBorder="1" applyAlignment="1">
      <alignment horizontal="center" vertical="center" wrapText="1"/>
    </xf>
    <xf numFmtId="0" fontId="20" fillId="0" borderId="48" xfId="114" applyFont="1" applyFill="1" applyBorder="1" applyAlignment="1">
      <alignment horizontal="center" vertical="center"/>
    </xf>
    <xf numFmtId="0" fontId="20" fillId="0" borderId="78" xfId="114" applyFont="1" applyFill="1" applyBorder="1" applyAlignment="1">
      <alignment horizontal="center" vertical="center"/>
    </xf>
    <xf numFmtId="0" fontId="20" fillId="0" borderId="54" xfId="114" applyFont="1" applyFill="1" applyBorder="1" applyAlignment="1">
      <alignment horizontal="center" vertical="center"/>
    </xf>
    <xf numFmtId="0" fontId="24" fillId="0" borderId="0" xfId="114" applyFont="1" applyAlignment="1">
      <alignment horizontal="center"/>
    </xf>
    <xf numFmtId="0" fontId="20" fillId="30" borderId="78" xfId="114" applyFont="1" applyFill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/>
    </xf>
    <xf numFmtId="0" fontId="20" fillId="0" borderId="78" xfId="114" applyFont="1" applyBorder="1" applyAlignment="1">
      <alignment horizontal="center" vertical="center"/>
    </xf>
    <xf numFmtId="0" fontId="20" fillId="0" borderId="54" xfId="114" applyFont="1" applyBorder="1" applyAlignment="1">
      <alignment horizontal="center" vertical="center"/>
    </xf>
    <xf numFmtId="0" fontId="20" fillId="0" borderId="48" xfId="107" applyFont="1" applyBorder="1" applyAlignment="1">
      <alignment horizontal="center" vertical="center" wrapText="1"/>
    </xf>
    <xf numFmtId="0" fontId="20" fillId="0" borderId="78" xfId="107" applyFont="1" applyBorder="1" applyAlignment="1">
      <alignment horizontal="center" vertical="center" wrapText="1"/>
    </xf>
    <xf numFmtId="0" fontId="20" fillId="0" borderId="54" xfId="107" applyFont="1" applyBorder="1" applyAlignment="1">
      <alignment horizontal="center" vertical="center" wrapText="1"/>
    </xf>
    <xf numFmtId="0" fontId="20" fillId="0" borderId="52" xfId="106" applyFont="1" applyBorder="1" applyAlignment="1">
      <alignment horizontal="center"/>
    </xf>
    <xf numFmtId="0" fontId="21" fillId="0" borderId="16" xfId="106" applyFont="1" applyBorder="1" applyAlignment="1">
      <alignment horizontal="left" wrapText="1"/>
    </xf>
    <xf numFmtId="0" fontId="21" fillId="0" borderId="81" xfId="106" applyFont="1" applyBorder="1" applyAlignment="1">
      <alignment horizontal="left" wrapText="1"/>
    </xf>
    <xf numFmtId="0" fontId="24" fillId="0" borderId="0" xfId="107" applyFont="1" applyAlignment="1">
      <alignment horizontal="center"/>
    </xf>
    <xf numFmtId="0" fontId="24" fillId="0" borderId="0" xfId="111" applyFont="1" applyFill="1" applyBorder="1" applyAlignment="1">
      <alignment horizontal="center" wrapText="1"/>
    </xf>
    <xf numFmtId="0" fontId="20" fillId="0" borderId="0" xfId="106" applyFont="1" applyBorder="1" applyAlignment="1">
      <alignment horizontal="center" wrapText="1"/>
    </xf>
    <xf numFmtId="3" fontId="24" fillId="0" borderId="0" xfId="104" applyNumberFormat="1" applyFont="1" applyBorder="1" applyAlignment="1">
      <alignment horizontal="center" wrapText="1"/>
    </xf>
    <xf numFmtId="3" fontId="20" fillId="0" borderId="0" xfId="107" applyNumberFormat="1" applyFont="1" applyAlignment="1">
      <alignment horizontal="center"/>
    </xf>
    <xf numFmtId="0" fontId="24" fillId="0" borderId="0" xfId="107" applyFont="1" applyBorder="1" applyAlignment="1">
      <alignment horizontal="center"/>
    </xf>
    <xf numFmtId="3" fontId="19" fillId="0" borderId="0" xfId="107" applyNumberFormat="1" applyFont="1" applyAlignment="1">
      <alignment horizontal="center"/>
    </xf>
    <xf numFmtId="0" fontId="20" fillId="0" borderId="0" xfId="107" applyFont="1" applyAlignment="1">
      <alignment horizontal="center" wrapText="1"/>
    </xf>
    <xf numFmtId="0" fontId="24" fillId="0" borderId="0" xfId="137" applyFont="1" applyAlignment="1">
      <alignment horizontal="center" wrapText="1"/>
    </xf>
    <xf numFmtId="0" fontId="24" fillId="0" borderId="0" xfId="137" applyFont="1" applyBorder="1" applyAlignment="1">
      <alignment horizontal="center"/>
    </xf>
    <xf numFmtId="3" fontId="20" fillId="0" borderId="0" xfId="136" applyNumberFormat="1" applyFont="1" applyBorder="1" applyAlignment="1">
      <alignment horizontal="center" wrapText="1"/>
    </xf>
    <xf numFmtId="3" fontId="37" fillId="0" borderId="0" xfId="136" applyNumberFormat="1" applyFont="1" applyFill="1" applyAlignment="1">
      <alignment horizontal="center" wrapText="1"/>
    </xf>
    <xf numFmtId="3" fontId="37" fillId="0" borderId="0" xfId="136" applyNumberFormat="1" applyFont="1" applyFill="1" applyAlignment="1">
      <alignment horizontal="left" wrapText="1"/>
    </xf>
    <xf numFmtId="3" fontId="37" fillId="0" borderId="0" xfId="136" applyNumberFormat="1" applyFont="1" applyFill="1" applyAlignment="1">
      <alignment wrapText="1"/>
    </xf>
    <xf numFmtId="3" fontId="37" fillId="0" borderId="0" xfId="136" applyNumberFormat="1" applyFont="1" applyFill="1" applyBorder="1" applyAlignment="1">
      <alignment horizontal="left" wrapText="1"/>
    </xf>
    <xf numFmtId="0" fontId="25" fillId="31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</cellXfs>
  <cellStyles count="141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% - 1. jelölőszín" xfId="19" builtinId="31" customBuiltin="1"/>
    <cellStyle name="40% - 1. jelölőszín 2" xfId="20"/>
    <cellStyle name="40% - 2. jelölőszín" xfId="21" builtinId="35" customBuiltin="1"/>
    <cellStyle name="40% - 2. jelölőszín 2" xfId="22"/>
    <cellStyle name="40% - 3. jelölőszín" xfId="23" builtinId="39" customBuiltin="1"/>
    <cellStyle name="40% - 3. jelölőszín 2" xfId="24"/>
    <cellStyle name="40% - 4. jelölőszín" xfId="25" builtinId="43" customBuiltin="1"/>
    <cellStyle name="40% - 4. jelölőszín 2" xfId="26"/>
    <cellStyle name="40% - 5. jelölőszín" xfId="27" builtinId="47" customBuiltin="1"/>
    <cellStyle name="40% - 5. jelölőszín 2" xfId="28"/>
    <cellStyle name="40% - 6. jelölőszín" xfId="29" builtinId="51" customBuiltin="1"/>
    <cellStyle name="40% - 6. jelölőszín 2" xfId="30"/>
    <cellStyle name="40% - Accent1" xfId="31"/>
    <cellStyle name="40% - Accent2" xfId="32"/>
    <cellStyle name="40% - Accent3" xfId="33"/>
    <cellStyle name="40% - Accent4" xfId="34"/>
    <cellStyle name="40% - Accent5" xfId="35"/>
    <cellStyle name="40% - Accent6" xfId="36"/>
    <cellStyle name="60% - 1. jelölőszín" xfId="37" builtinId="32" customBuiltin="1"/>
    <cellStyle name="60% - 1. jelölőszín 2" xfId="38"/>
    <cellStyle name="60% - 2. jelölőszín" xfId="39" builtinId="36" customBuiltin="1"/>
    <cellStyle name="60% - 2. jelölőszín 2" xfId="40"/>
    <cellStyle name="60% - 3. jelölőszín" xfId="41" builtinId="40" customBuiltin="1"/>
    <cellStyle name="60% - 3. jelölőszín 2" xfId="42"/>
    <cellStyle name="60% - 4. jelölőszín" xfId="43" builtinId="44" customBuiltin="1"/>
    <cellStyle name="60% - 4. jelölőszín 2" xfId="44"/>
    <cellStyle name="60% - 5. jelölőszín" xfId="45" builtinId="48" customBuiltin="1"/>
    <cellStyle name="60% - 5. jelölőszín 2" xfId="46"/>
    <cellStyle name="60% - 6. jelölőszín" xfId="47" builtinId="52" customBuiltin="1"/>
    <cellStyle name="60% - 6. jelölőszín 2" xfId="48"/>
    <cellStyle name="60% - Accent1" xfId="49"/>
    <cellStyle name="60% - Accent2" xfId="50"/>
    <cellStyle name="60% - Accent3" xfId="51"/>
    <cellStyle name="60% - Accent4" xfId="52"/>
    <cellStyle name="60% - Accent5" xfId="53"/>
    <cellStyle name="60% - Accent6" xfId="54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Bevitel" xfId="62" builtinId="20" customBuiltin="1"/>
    <cellStyle name="Bevitel 2" xfId="63"/>
    <cellStyle name="Calculation" xfId="64"/>
    <cellStyle name="Check Cell" xfId="65"/>
    <cellStyle name="Cím" xfId="66" builtinId="15" customBuiltin="1"/>
    <cellStyle name="Cím 2" xfId="67"/>
    <cellStyle name="Címsor 1" xfId="68" builtinId="16" customBuiltin="1"/>
    <cellStyle name="Címsor 1 2" xfId="69"/>
    <cellStyle name="Címsor 2" xfId="70" builtinId="17" customBuiltin="1"/>
    <cellStyle name="Címsor 2 2" xfId="71"/>
    <cellStyle name="Címsor 3" xfId="72" builtinId="18" customBuiltin="1"/>
    <cellStyle name="Címsor 3 2" xfId="73"/>
    <cellStyle name="Címsor 4" xfId="74" builtinId="19" customBuiltin="1"/>
    <cellStyle name="Címsor 4 2" xfId="75"/>
    <cellStyle name="Ellenőrzőcella 2" xfId="122"/>
    <cellStyle name="Excel Built-in Normál_2012. évi költségvetés I. módosítás VÉGLEGES" xfId="76"/>
    <cellStyle name="Explanatory Text" xfId="77"/>
    <cellStyle name="Ezres" xfId="78" builtinId="3"/>
    <cellStyle name="Ezres 2" xfId="79"/>
    <cellStyle name="Ezres 3" xfId="80"/>
    <cellStyle name="Ezres 4" xfId="81"/>
    <cellStyle name="Figyelmeztetés" xfId="82" builtinId="11" customBuiltin="1"/>
    <cellStyle name="Figyelmeztetés 2" xfId="83"/>
    <cellStyle name="Good" xfId="84"/>
    <cellStyle name="Heading 1" xfId="85"/>
    <cellStyle name="Heading 2" xfId="86"/>
    <cellStyle name="Heading 3" xfId="87"/>
    <cellStyle name="Heading 4" xfId="88"/>
    <cellStyle name="Hivatkozott cella" xfId="89" builtinId="24" customBuiltin="1"/>
    <cellStyle name="Hivatkozott cella 2" xfId="90"/>
    <cellStyle name="Input" xfId="91"/>
    <cellStyle name="Jegyzet" xfId="92" builtinId="10" customBuiltin="1"/>
    <cellStyle name="Jegyzet 2" xfId="93"/>
    <cellStyle name="Jelölőszín (1) 2" xfId="123"/>
    <cellStyle name="Jelölőszín (2) 2" xfId="124"/>
    <cellStyle name="Jelölőszín (3) 2" xfId="125"/>
    <cellStyle name="Jelölőszín (4) 2" xfId="126"/>
    <cellStyle name="Jelölőszín (5) 2" xfId="127"/>
    <cellStyle name="Jelölőszín (6) 2" xfId="128"/>
    <cellStyle name="Jó 2" xfId="129"/>
    <cellStyle name="Kimenet" xfId="94" builtinId="21" customBuiltin="1"/>
    <cellStyle name="Kimenet 2" xfId="95"/>
    <cellStyle name="Linked Cell" xfId="96"/>
    <cellStyle name="Magyarázó szöveg 2" xfId="130"/>
    <cellStyle name="Neutral" xfId="97"/>
    <cellStyle name="Normál" xfId="0" builtinId="0"/>
    <cellStyle name="Normál 2" xfId="98"/>
    <cellStyle name="Normál 3" xfId="99"/>
    <cellStyle name="Normál 4" xfId="100"/>
    <cellStyle name="Normál 4 2" xfId="101"/>
    <cellStyle name="Normál 4_KÖLTSÉGVETÉS 2018. I.MÓDOSÍTÁS" xfId="131"/>
    <cellStyle name="Normál 5" xfId="102"/>
    <cellStyle name="Normál 6" xfId="132"/>
    <cellStyle name="Normál_2007. ktgvetés II. forduló_2013. évi költségvetés I." xfId="103"/>
    <cellStyle name="Normál_2007_Koncepció táblák_2013. évi költségvetés I." xfId="104"/>
    <cellStyle name="Normál_2012. évi költségvetés előirányzat nyilvántartás VÉGLEGES 2." xfId="105"/>
    <cellStyle name="Normál_2012. évi költségvetés IV. módosítás" xfId="106"/>
    <cellStyle name="Normál_2013 évi költségvetéshez 2013.02.19._2014 évi költségvetés Tündi táblák" xfId="136"/>
    <cellStyle name="Normál_2013. évi költségvetés I." xfId="107"/>
    <cellStyle name="Normál_2013. évi költségvetés I._2013. évi költségvetés előirányzat nyilvántartás" xfId="108"/>
    <cellStyle name="Normál_2013. évi költségvetés I._2013. évi költségvetés II. forduló testületi előterjesztés" xfId="139"/>
    <cellStyle name="Normál_2013. évi költségvetés I._iNTÉZMÉNYI NORMATÍVA 2014" xfId="109"/>
    <cellStyle name="Normál_2013. évi költségvetés II. forduló testületi előterjesztés" xfId="137"/>
    <cellStyle name="Normál_2014. évi kv. 6. tábla_kitöltve_szűkített II.fordulóhoz 2" xfId="140"/>
    <cellStyle name="Normal_KARSZJ3" xfId="110"/>
    <cellStyle name="Normál_költségvetés10melléklet_2013. évi költségvetés I." xfId="111"/>
    <cellStyle name="Normal_KTRSZJ" xfId="112"/>
    <cellStyle name="Normál_Másolat eredetijeKÖLTSÉGVETÉS2005új1" xfId="113"/>
    <cellStyle name="Normál_Másolat eredetijeKÖLTSÉGVETÉS2005új1_2013. évi költségvetés I." xfId="114"/>
    <cellStyle name="Normál_Másolat eredetijeKÖLTSÉGVETÉS2005új1_2013. évi költségvetés II. forduló testületi előterjesztés" xfId="138"/>
    <cellStyle name="Note" xfId="115"/>
    <cellStyle name="Output" xfId="116"/>
    <cellStyle name="Összesen" xfId="117" builtinId="25" customBuiltin="1"/>
    <cellStyle name="Összesen 2" xfId="118"/>
    <cellStyle name="Rossz 2" xfId="133"/>
    <cellStyle name="Semleges 2" xfId="134"/>
    <cellStyle name="Számítás 2" xfId="135"/>
    <cellStyle name="Title" xfId="119"/>
    <cellStyle name="Total" xfId="120"/>
    <cellStyle name="Warning Text" xfId="1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REPASY%20TAF\2019.%20&#233;v\&#214;nkorm&#225;nyzat\&#214;NKORM&#193;NYZAT%202019.&#233;vi%20kv.%20I.%20FORDUL&#211;%20KIK&#220;LD&#214;T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kumentumok\el&#337;terjeszt&#233;s\2018.%20&#233;vi%20el&#337;terjeszt&#233;sek\2018.%20&#233;vi%20k&#246;lts&#233;gvet&#233;s\Allami%20t&#225;mogat&#225;sokK&#246;lts&#233;gveteshez%20t&#225;bl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2019.%20&#233;vi%20k&#246;lts&#233;gvet&#233;s%20tervez&#233;sre%20II.%20fordul&#243;ho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REPASY%20TAF\2019.%20&#233;v\&#214;nkorm&#225;nyzat\&#214;NKORM&#193;NYZAT%202019.&#233;vi%20kv.%20II.%20fordul&#243;%20J&#211;%2002.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9 (2)"/>
      <sheetName val="2c. tábla 2019. (2)"/>
      <sheetName val="3.sz. tábla  (2)"/>
      <sheetName val="4.sz.tábla "/>
      <sheetName val="5.tábla (2)"/>
      <sheetName val="5b. sz. tábla  (2)"/>
      <sheetName val="6. sz. tábla 1"/>
      <sheetName val="7. sz. tábla  (3)"/>
      <sheetName val="Munka1"/>
    </sheetNames>
    <sheetDataSet>
      <sheetData sheetId="0"/>
      <sheetData sheetId="1">
        <row r="7">
          <cell r="K7">
            <v>1311563771</v>
          </cell>
        </row>
      </sheetData>
      <sheetData sheetId="2">
        <row r="13">
          <cell r="K13">
            <v>121927634</v>
          </cell>
        </row>
        <row r="24">
          <cell r="K24">
            <v>0</v>
          </cell>
          <cell r="L24">
            <v>0</v>
          </cell>
          <cell r="M24">
            <v>0</v>
          </cell>
        </row>
        <row r="26">
          <cell r="K26">
            <v>0</v>
          </cell>
          <cell r="L26">
            <v>0</v>
          </cell>
          <cell r="M26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</sheetData>
      <sheetData sheetId="3"/>
      <sheetData sheetId="4"/>
      <sheetData sheetId="5"/>
      <sheetData sheetId="6">
        <row r="9">
          <cell r="R9">
            <v>9431060</v>
          </cell>
        </row>
      </sheetData>
      <sheetData sheetId="7">
        <row r="19">
          <cell r="B19">
            <v>0</v>
          </cell>
        </row>
      </sheetData>
      <sheetData sheetId="8">
        <row r="5">
          <cell r="B5">
            <v>492708414</v>
          </cell>
        </row>
      </sheetData>
      <sheetData sheetId="9">
        <row r="237">
          <cell r="B237">
            <v>518990164</v>
          </cell>
        </row>
        <row r="241">
          <cell r="B241">
            <v>74242424</v>
          </cell>
          <cell r="C241">
            <v>74242424</v>
          </cell>
          <cell r="D241">
            <v>74242424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b. tábla (3)"/>
      <sheetName val="2c. tábla (3)"/>
    </sheetNames>
    <sheetDataSet>
      <sheetData sheetId="0">
        <row r="8">
          <cell r="E8">
            <v>180406200</v>
          </cell>
        </row>
        <row r="60">
          <cell r="D60">
            <v>4419000</v>
          </cell>
        </row>
        <row r="61">
          <cell r="D61">
            <v>2993000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 BF 2019.01.01. eredetileg"/>
      <sheetName val="ph BF 2019.01.01. emeléssel vég"/>
      <sheetName val="előző évhez képest számolás"/>
      <sheetName val="ph BF 2019.01.01. Kötváll.1."/>
      <sheetName val="ph BF 2019.01.01. kötváll. 2."/>
      <sheetName val="Óvodák normatíva elszámolás"/>
      <sheetName val="gyerekétkezés normatíva elsz."/>
      <sheetName val="tartalék, pénzm."/>
      <sheetName val="2b. tábla 2018 (2)"/>
      <sheetName val="2c. tábla 2018. (2)"/>
      <sheetName val="gyermekétk. tám. 2019."/>
      <sheetName val="2.sz.tábla ÖNKORM"/>
      <sheetName val="2.sz.tábla HIVATAL"/>
      <sheetName val="5.tábla (3)"/>
      <sheetName val="5.tábla kötelezettségekkel"/>
      <sheetName val="5b. sz. tábla "/>
      <sheetName val="5b. sz. tábla kötelezettségekke"/>
      <sheetName val="6. tábla JÓ"/>
      <sheetName val="7. sz. tábla JÓ (2)"/>
      <sheetName val="7. sz. tábla kötelezettségek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5">
          <cell r="E25">
            <v>342650441</v>
          </cell>
        </row>
        <row r="68">
          <cell r="C68">
            <v>13768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9 (2)"/>
      <sheetName val="2c. tábla 2019. (2)"/>
      <sheetName val="3.sz. tábla  (2)"/>
      <sheetName val="4.sz.tábla "/>
      <sheetName val="4a. sz. tábla  (3)"/>
      <sheetName val="5.tábla (2)"/>
      <sheetName val="5b. sz. tábla  (2)"/>
      <sheetName val="6.sz.tábla  (2)"/>
      <sheetName val="7. sz. tábla 1"/>
      <sheetName val="8. sz. tábla  (3)"/>
      <sheetName val="8a. sz. tábla  (4)"/>
      <sheetName val="9. sz. tábla (2)"/>
      <sheetName val="10 tábla "/>
      <sheetName val="11. sz. tábla"/>
      <sheetName val="12. sz. tábla"/>
      <sheetName val="13.sz. tábla"/>
      <sheetName val="14. sz. stabilitási tv  (3)"/>
      <sheetName val="15. sz. tábla (2)"/>
      <sheetName val="16. sz. tábla (3)"/>
      <sheetName val="17. sz. tábla "/>
      <sheetName val="18.sz.tábla  (4)"/>
      <sheetName val="Munka1"/>
    </sheetNames>
    <sheetDataSet>
      <sheetData sheetId="0">
        <row r="30">
          <cell r="D30">
            <v>126348942</v>
          </cell>
        </row>
      </sheetData>
      <sheetData sheetId="1">
        <row r="7">
          <cell r="D7">
            <v>1306754814.3333333</v>
          </cell>
        </row>
      </sheetData>
      <sheetData sheetId="2">
        <row r="12">
          <cell r="M12">
            <v>125192474</v>
          </cell>
        </row>
        <row r="34">
          <cell r="M34">
            <v>0</v>
          </cell>
        </row>
        <row r="42">
          <cell r="M42">
            <v>0</v>
          </cell>
        </row>
      </sheetData>
      <sheetData sheetId="3">
        <row r="5">
          <cell r="E5">
            <v>522094841</v>
          </cell>
        </row>
      </sheetData>
      <sheetData sheetId="4"/>
      <sheetData sheetId="5">
        <row r="12">
          <cell r="D12">
            <v>62689922.796516955</v>
          </cell>
        </row>
      </sheetData>
      <sheetData sheetId="6">
        <row r="9">
          <cell r="D9">
            <v>193972164</v>
          </cell>
        </row>
      </sheetData>
      <sheetData sheetId="7"/>
      <sheetData sheetId="8">
        <row r="7">
          <cell r="D7">
            <v>317071498</v>
          </cell>
        </row>
      </sheetData>
      <sheetData sheetId="9"/>
      <sheetData sheetId="10">
        <row r="131">
          <cell r="D131">
            <v>86073257</v>
          </cell>
        </row>
      </sheetData>
      <sheetData sheetId="11">
        <row r="162">
          <cell r="D162">
            <v>7902103500</v>
          </cell>
        </row>
        <row r="246">
          <cell r="D246">
            <v>74242424</v>
          </cell>
        </row>
        <row r="248">
          <cell r="D248">
            <v>49594849</v>
          </cell>
        </row>
      </sheetData>
      <sheetData sheetId="12">
        <row r="7">
          <cell r="H7">
            <v>672020854</v>
          </cell>
        </row>
      </sheetData>
      <sheetData sheetId="13">
        <row r="39">
          <cell r="H39">
            <v>37768349</v>
          </cell>
        </row>
        <row r="43">
          <cell r="G4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53"/>
  <sheetViews>
    <sheetView tabSelected="1" view="pageLayout" topLeftCell="A8" zoomScaleNormal="75" zoomScaleSheetLayoutView="89" workbookViewId="0">
      <selection activeCell="D18" sqref="D18"/>
    </sheetView>
  </sheetViews>
  <sheetFormatPr defaultColWidth="9.109375" defaultRowHeight="15" x14ac:dyDescent="0.25"/>
  <cols>
    <col min="1" max="1" width="40.33203125" style="17" customWidth="1"/>
    <col min="2" max="2" width="17.109375" style="279" customWidth="1"/>
    <col min="3" max="4" width="18.6640625" style="279" customWidth="1"/>
    <col min="5" max="5" width="18.109375" style="279" customWidth="1"/>
    <col min="6" max="6" width="9.109375" style="10"/>
    <col min="7" max="7" width="20" style="10" customWidth="1"/>
    <col min="8" max="16384" width="9.109375" style="10"/>
  </cols>
  <sheetData>
    <row r="1" spans="1:5" ht="15" hidden="1" customHeight="1" x14ac:dyDescent="0.25">
      <c r="A1" s="1357" t="s">
        <v>596</v>
      </c>
      <c r="B1" s="1357"/>
      <c r="C1" s="1357"/>
      <c r="D1" s="1357"/>
      <c r="E1" s="1357"/>
    </row>
    <row r="2" spans="1:5" ht="15.75" hidden="1" customHeight="1" x14ac:dyDescent="0.25">
      <c r="A2" s="1357"/>
      <c r="B2" s="1357"/>
      <c r="C2" s="1357"/>
      <c r="D2" s="1357"/>
      <c r="E2" s="1357"/>
    </row>
    <row r="3" spans="1:5" ht="31.65" customHeight="1" x14ac:dyDescent="0.25">
      <c r="A3" s="1357"/>
      <c r="B3" s="1357"/>
      <c r="C3" s="1357"/>
      <c r="D3" s="1357"/>
      <c r="E3" s="1357"/>
    </row>
    <row r="4" spans="1:5" ht="16.5" customHeight="1" thickBot="1" x14ac:dyDescent="0.35">
      <c r="A4" s="280"/>
      <c r="B4" s="280"/>
      <c r="C4" s="280"/>
      <c r="D4" s="280"/>
      <c r="E4" s="280"/>
    </row>
    <row r="5" spans="1:5" s="11" customFormat="1" ht="56.25" customHeight="1" thickBot="1" x14ac:dyDescent="0.3">
      <c r="A5" s="935" t="s">
        <v>328</v>
      </c>
      <c r="B5" s="711" t="s">
        <v>591</v>
      </c>
      <c r="C5" s="710" t="s">
        <v>978</v>
      </c>
      <c r="D5" s="710" t="s">
        <v>1044</v>
      </c>
      <c r="E5" s="936" t="s">
        <v>934</v>
      </c>
    </row>
    <row r="6" spans="1:5" ht="30" x14ac:dyDescent="0.25">
      <c r="A6" s="939" t="s">
        <v>410</v>
      </c>
      <c r="B6" s="940">
        <f>'2.sz.tábla   (2)'!N7</f>
        <v>1458289889.3333333</v>
      </c>
      <c r="C6" s="940">
        <f>'2.sz.tábla   (2)'!O7</f>
        <v>1513324883.3333333</v>
      </c>
      <c r="D6" s="940">
        <f>'2.sz.tábla   (2)'!P7</f>
        <v>1614459862.3333333</v>
      </c>
      <c r="E6" s="941">
        <f>D6-C6</f>
        <v>101134979</v>
      </c>
    </row>
    <row r="7" spans="1:5" ht="30" x14ac:dyDescent="0.25">
      <c r="A7" s="77" t="s">
        <v>411</v>
      </c>
      <c r="B7" s="150">
        <f>'2.sz.tábla   (2)'!N22</f>
        <v>1504479834</v>
      </c>
      <c r="C7" s="150">
        <f>'2.sz.tábla   (2)'!O22</f>
        <v>1696173273</v>
      </c>
      <c r="D7" s="150">
        <f>'2.sz.tábla   (2)'!P22</f>
        <v>2787094189</v>
      </c>
      <c r="E7" s="379">
        <f>D7-C7</f>
        <v>1090920916</v>
      </c>
    </row>
    <row r="8" spans="1:5" ht="21.75" customHeight="1" x14ac:dyDescent="0.25">
      <c r="A8" s="77" t="s">
        <v>412</v>
      </c>
      <c r="B8" s="150">
        <f>'2.sz.tábla   (2)'!N30</f>
        <v>1864200000</v>
      </c>
      <c r="C8" s="150">
        <f>'2.sz.tábla   (2)'!O30</f>
        <v>1864200000</v>
      </c>
      <c r="D8" s="150">
        <f>'2.sz.tábla   (2)'!P30</f>
        <v>1864200000</v>
      </c>
      <c r="E8" s="379">
        <f t="shared" ref="E8:E53" si="0">D8-C8</f>
        <v>0</v>
      </c>
    </row>
    <row r="9" spans="1:5" ht="30.15" customHeight="1" x14ac:dyDescent="0.25">
      <c r="A9" s="77" t="s">
        <v>413</v>
      </c>
      <c r="B9" s="150">
        <f>'2.sz.tábla   (2)'!N43</f>
        <v>839572764</v>
      </c>
      <c r="C9" s="150">
        <f>'2.sz.tábla   (2)'!O43</f>
        <v>853024418</v>
      </c>
      <c r="D9" s="150">
        <f>'2.sz.tábla   (2)'!P43</f>
        <v>854593495</v>
      </c>
      <c r="E9" s="379">
        <f t="shared" si="0"/>
        <v>1569077</v>
      </c>
    </row>
    <row r="10" spans="1:5" ht="30.75" customHeight="1" x14ac:dyDescent="0.25">
      <c r="A10" s="77" t="s">
        <v>414</v>
      </c>
      <c r="B10" s="150">
        <f>'2.sz.tábla   (2)'!N58</f>
        <v>69288400</v>
      </c>
      <c r="C10" s="150">
        <f>'2.sz.tábla   (2)'!O58</f>
        <v>100788400</v>
      </c>
      <c r="D10" s="150">
        <f>'2.sz.tábla   (2)'!P58</f>
        <v>100788400</v>
      </c>
      <c r="E10" s="379">
        <f t="shared" si="0"/>
        <v>0</v>
      </c>
    </row>
    <row r="11" spans="1:5" ht="27" customHeight="1" x14ac:dyDescent="0.25">
      <c r="A11" s="78" t="s">
        <v>415</v>
      </c>
      <c r="B11" s="150">
        <f>'2.sz.tábla   (2)'!N66</f>
        <v>25440000</v>
      </c>
      <c r="C11" s="150">
        <f>'2.sz.tábla   (2)'!O66</f>
        <v>32600559</v>
      </c>
      <c r="D11" s="150">
        <f>'2.sz.tábla   (2)'!P66</f>
        <v>33900559</v>
      </c>
      <c r="E11" s="379">
        <f t="shared" si="0"/>
        <v>1300000</v>
      </c>
    </row>
    <row r="12" spans="1:5" ht="35.4" customHeight="1" x14ac:dyDescent="0.25">
      <c r="A12" s="78" t="s">
        <v>416</v>
      </c>
      <c r="B12" s="150">
        <f>'2.sz.tábla   (2)'!N70</f>
        <v>453634994</v>
      </c>
      <c r="C12" s="150">
        <f>'2.sz.tábla   (2)'!O70</f>
        <v>606312431</v>
      </c>
      <c r="D12" s="150">
        <f>'2.sz.tábla   (2)'!P70</f>
        <v>616312431</v>
      </c>
      <c r="E12" s="379">
        <f t="shared" si="0"/>
        <v>10000000</v>
      </c>
    </row>
    <row r="13" spans="1:5" s="13" customFormat="1" ht="24" customHeight="1" x14ac:dyDescent="0.3">
      <c r="A13" s="79" t="s">
        <v>417</v>
      </c>
      <c r="B13" s="151">
        <f>SUM(B6:B12)</f>
        <v>6214905881.333333</v>
      </c>
      <c r="C13" s="151">
        <f>SUM(C6:C12)</f>
        <v>6666423964.333333</v>
      </c>
      <c r="D13" s="151">
        <f>SUM(D6:D12)</f>
        <v>7871348936.333333</v>
      </c>
      <c r="E13" s="380">
        <f t="shared" si="0"/>
        <v>1204924972</v>
      </c>
    </row>
    <row r="14" spans="1:5" s="13" customFormat="1" ht="24" customHeight="1" x14ac:dyDescent="0.3">
      <c r="A14" s="80" t="s">
        <v>418</v>
      </c>
      <c r="B14" s="937"/>
      <c r="C14" s="1175"/>
      <c r="D14" s="1175"/>
      <c r="E14" s="379">
        <f t="shared" si="0"/>
        <v>0</v>
      </c>
    </row>
    <row r="15" spans="1:5" ht="48.75" customHeight="1" x14ac:dyDescent="0.25">
      <c r="A15" s="77" t="s">
        <v>340</v>
      </c>
      <c r="B15" s="150">
        <f>'2.sz.tábla   (2)'!N76</f>
        <v>4089900918</v>
      </c>
      <c r="C15" s="150">
        <f>'2.sz.tábla   (2)'!O76</f>
        <v>4146748639</v>
      </c>
      <c r="D15" s="150">
        <f>'2.sz.tábla   (2)'!P76</f>
        <v>4146748639</v>
      </c>
      <c r="E15" s="379">
        <f t="shared" si="0"/>
        <v>0</v>
      </c>
    </row>
    <row r="16" spans="1:5" ht="57.75" customHeight="1" x14ac:dyDescent="0.25">
      <c r="A16" s="77" t="s">
        <v>419</v>
      </c>
      <c r="B16" s="150">
        <f>'2.sz.tábla   (2)'!N79</f>
        <v>1567650796</v>
      </c>
      <c r="C16" s="150">
        <f>'2.sz.tábla   (2)'!O79</f>
        <v>1709004901</v>
      </c>
      <c r="D16" s="150">
        <f>'2.sz.tábla   (2)'!P79</f>
        <v>1735004901</v>
      </c>
      <c r="E16" s="379">
        <f t="shared" si="0"/>
        <v>26000000</v>
      </c>
    </row>
    <row r="17" spans="1:11" s="13" customFormat="1" ht="33" customHeight="1" x14ac:dyDescent="0.3">
      <c r="A17" s="79" t="s">
        <v>420</v>
      </c>
      <c r="B17" s="152">
        <f>SUM(B15:B16)</f>
        <v>5657551714</v>
      </c>
      <c r="C17" s="152">
        <f>SUM(C15:C16)</f>
        <v>5855753540</v>
      </c>
      <c r="D17" s="152">
        <f>SUM(D15:D16)</f>
        <v>5881753540</v>
      </c>
      <c r="E17" s="380">
        <f t="shared" si="0"/>
        <v>26000000</v>
      </c>
    </row>
    <row r="18" spans="1:11" s="13" customFormat="1" ht="18" customHeight="1" x14ac:dyDescent="0.3">
      <c r="A18" s="81" t="s">
        <v>421</v>
      </c>
      <c r="B18" s="153">
        <f>B13+B17</f>
        <v>11872457595.333332</v>
      </c>
      <c r="C18" s="153">
        <f>C13+C17</f>
        <v>12522177504.333332</v>
      </c>
      <c r="D18" s="153">
        <f>D13+D17</f>
        <v>13753102476.333332</v>
      </c>
      <c r="E18" s="380">
        <f t="shared" si="0"/>
        <v>1230924972</v>
      </c>
    </row>
    <row r="19" spans="1:11" s="13" customFormat="1" ht="14.25" customHeight="1" x14ac:dyDescent="0.3">
      <c r="A19" s="81"/>
      <c r="B19" s="150"/>
      <c r="C19" s="150"/>
      <c r="D19" s="150"/>
      <c r="E19" s="380">
        <f t="shared" si="0"/>
        <v>0</v>
      </c>
      <c r="F19" s="12"/>
      <c r="G19" s="12"/>
      <c r="H19" s="12"/>
      <c r="I19" s="12"/>
      <c r="J19" s="12"/>
      <c r="K19" s="12"/>
    </row>
    <row r="20" spans="1:11" s="15" customFormat="1" ht="20.100000000000001" customHeight="1" x14ac:dyDescent="0.3">
      <c r="A20" s="79" t="s">
        <v>422</v>
      </c>
      <c r="B20" s="151">
        <f>SUM(B21:B23)</f>
        <v>3405832084</v>
      </c>
      <c r="C20" s="151">
        <f>SUM(C21:C23)</f>
        <v>3550659326</v>
      </c>
      <c r="D20" s="151">
        <f>SUM(D21:D23)</f>
        <v>3707886254</v>
      </c>
      <c r="E20" s="380">
        <f t="shared" si="0"/>
        <v>157226928</v>
      </c>
      <c r="F20" s="14"/>
      <c r="G20" s="14"/>
      <c r="H20" s="14"/>
      <c r="I20" s="14"/>
      <c r="J20" s="14"/>
      <c r="K20" s="14"/>
    </row>
    <row r="21" spans="1:11" s="15" customFormat="1" ht="20.100000000000001" customHeight="1" x14ac:dyDescent="0.25">
      <c r="A21" s="77" t="s">
        <v>423</v>
      </c>
      <c r="B21" s="150">
        <f>'5.tábla (2)'!B151</f>
        <v>2593229549</v>
      </c>
      <c r="C21" s="150">
        <f>'5.tábla (2)'!C151</f>
        <v>2705517064</v>
      </c>
      <c r="D21" s="150">
        <f>'5.tábla (2)'!D151</f>
        <v>2856532856</v>
      </c>
      <c r="E21" s="379">
        <f t="shared" si="0"/>
        <v>151015792</v>
      </c>
      <c r="F21" s="14"/>
      <c r="G21" s="14"/>
      <c r="H21" s="14"/>
      <c r="I21" s="14"/>
      <c r="J21" s="14"/>
      <c r="K21" s="14"/>
    </row>
    <row r="22" spans="1:11" s="15" customFormat="1" ht="20.100000000000001" customHeight="1" x14ac:dyDescent="0.25">
      <c r="A22" s="77" t="s">
        <v>424</v>
      </c>
      <c r="B22" s="150">
        <f>'5.tábla (2)'!B28</f>
        <v>464352277</v>
      </c>
      <c r="C22" s="150">
        <f>'5.tábla (2)'!C28</f>
        <v>481014182</v>
      </c>
      <c r="D22" s="150">
        <f>'5.tábla (2)'!D28</f>
        <v>488077685</v>
      </c>
      <c r="E22" s="379">
        <f t="shared" si="0"/>
        <v>7063503</v>
      </c>
      <c r="F22" s="14"/>
      <c r="G22" s="14"/>
      <c r="H22" s="14"/>
      <c r="I22" s="14"/>
      <c r="J22" s="14"/>
      <c r="K22" s="14"/>
    </row>
    <row r="23" spans="1:11" s="13" customFormat="1" ht="20.100000000000001" customHeight="1" x14ac:dyDescent="0.25">
      <c r="A23" s="77" t="s">
        <v>425</v>
      </c>
      <c r="B23" s="150">
        <f>'4.sz.tábla '!AS9-'4.sz.tábla '!W9</f>
        <v>348250258</v>
      </c>
      <c r="C23" s="150">
        <f>'4.sz.tábla '!AT9-'4.sz.tábla '!X9</f>
        <v>364128080</v>
      </c>
      <c r="D23" s="150">
        <f>'4.sz.tábla '!AU9-'4.sz.tábla '!Y9</f>
        <v>363275713</v>
      </c>
      <c r="E23" s="379">
        <f t="shared" si="0"/>
        <v>-852367</v>
      </c>
      <c r="F23" s="16"/>
      <c r="G23" s="12"/>
      <c r="H23" s="12"/>
      <c r="I23" s="12"/>
      <c r="J23" s="12"/>
      <c r="K23" s="12"/>
    </row>
    <row r="24" spans="1:11" ht="13.65" customHeight="1" x14ac:dyDescent="0.25">
      <c r="A24" s="77"/>
      <c r="B24" s="150"/>
      <c r="C24" s="150"/>
      <c r="D24" s="150"/>
      <c r="E24" s="379">
        <f t="shared" si="0"/>
        <v>0</v>
      </c>
    </row>
    <row r="25" spans="1:11" s="13" customFormat="1" ht="20.100000000000001" customHeight="1" x14ac:dyDescent="0.3">
      <c r="A25" s="79" t="s">
        <v>426</v>
      </c>
      <c r="B25" s="152">
        <f>SUM(B26:B28)</f>
        <v>8216439296</v>
      </c>
      <c r="C25" s="152">
        <f>SUM(C26:C28)</f>
        <v>8793393600</v>
      </c>
      <c r="D25" s="152">
        <f>SUM(D26:D28)</f>
        <v>9871221383</v>
      </c>
      <c r="E25" s="380">
        <f t="shared" si="0"/>
        <v>1077827783</v>
      </c>
    </row>
    <row r="26" spans="1:11" ht="20.100000000000001" customHeight="1" x14ac:dyDescent="0.25">
      <c r="A26" s="77" t="s">
        <v>427</v>
      </c>
      <c r="B26" s="150">
        <f>'7. sz. tábla 1'!B212</f>
        <v>8117495039</v>
      </c>
      <c r="C26" s="150">
        <f>'7. sz. tábla 1'!C212</f>
        <v>8674599615</v>
      </c>
      <c r="D26" s="150">
        <f>'7. sz. tábla 1'!D212</f>
        <v>9754340800</v>
      </c>
      <c r="E26" s="379">
        <f t="shared" si="0"/>
        <v>1079741185</v>
      </c>
    </row>
    <row r="27" spans="1:11" s="13" customFormat="1" ht="20.100000000000001" customHeight="1" x14ac:dyDescent="0.25">
      <c r="A27" s="77" t="s">
        <v>428</v>
      </c>
      <c r="B27" s="150">
        <f>'4.sz.tábla '!W11</f>
        <v>12871000</v>
      </c>
      <c r="C27" s="150">
        <f>'4.sz.tábla '!X11</f>
        <v>25386628</v>
      </c>
      <c r="D27" s="150">
        <f>'4.sz.tábla '!Y11</f>
        <v>26286628</v>
      </c>
      <c r="E27" s="379">
        <f t="shared" si="0"/>
        <v>900000</v>
      </c>
    </row>
    <row r="28" spans="1:11" ht="20.100000000000001" customHeight="1" x14ac:dyDescent="0.25">
      <c r="A28" s="77" t="s">
        <v>429</v>
      </c>
      <c r="B28" s="150">
        <f>'7. sz. tábla 1'!B223</f>
        <v>86073257</v>
      </c>
      <c r="C28" s="150">
        <f>'7. sz. tábla 1'!C223</f>
        <v>93407357</v>
      </c>
      <c r="D28" s="150">
        <f>'7. sz. tábla 1'!D223</f>
        <v>90593955</v>
      </c>
      <c r="E28" s="379">
        <f t="shared" si="0"/>
        <v>-2813402</v>
      </c>
    </row>
    <row r="29" spans="1:11" ht="12.75" customHeight="1" x14ac:dyDescent="0.3">
      <c r="A29" s="79"/>
      <c r="B29" s="938"/>
      <c r="C29" s="938"/>
      <c r="D29" s="938"/>
      <c r="E29" s="379">
        <f t="shared" si="0"/>
        <v>0</v>
      </c>
    </row>
    <row r="30" spans="1:11" s="13" customFormat="1" ht="20.100000000000001" customHeight="1" x14ac:dyDescent="0.3">
      <c r="A30" s="79" t="s">
        <v>430</v>
      </c>
      <c r="B30" s="152">
        <f>SUM(B31:B32)</f>
        <v>126348942</v>
      </c>
      <c r="C30" s="152">
        <f>SUM(C31:C32)</f>
        <v>54287305</v>
      </c>
      <c r="D30" s="152">
        <f>SUM(D31:D32)</f>
        <v>50157566</v>
      </c>
      <c r="E30" s="380">
        <f t="shared" si="0"/>
        <v>-4129739</v>
      </c>
    </row>
    <row r="31" spans="1:11" s="13" customFormat="1" ht="20.100000000000001" customHeight="1" x14ac:dyDescent="0.25">
      <c r="A31" s="77" t="s">
        <v>431</v>
      </c>
      <c r="B31" s="150">
        <f>40000000+37810593</f>
        <v>77810593</v>
      </c>
      <c r="C31" s="150">
        <v>8747312</v>
      </c>
      <c r="D31" s="150">
        <v>5496306</v>
      </c>
      <c r="E31" s="379">
        <f t="shared" si="0"/>
        <v>-3251006</v>
      </c>
    </row>
    <row r="32" spans="1:11" s="13" customFormat="1" ht="20.100000000000001" customHeight="1" x14ac:dyDescent="0.25">
      <c r="A32" s="77" t="s">
        <v>432</v>
      </c>
      <c r="B32" s="150">
        <f>B39</f>
        <v>48538349</v>
      </c>
      <c r="C32" s="150">
        <f>C39</f>
        <v>45539993</v>
      </c>
      <c r="D32" s="150">
        <f>D39</f>
        <v>44661260</v>
      </c>
      <c r="E32" s="379">
        <f t="shared" si="0"/>
        <v>-878733</v>
      </c>
    </row>
    <row r="33" spans="1:7" s="13" customFormat="1" ht="23.25" customHeight="1" x14ac:dyDescent="0.3">
      <c r="A33" s="79" t="s">
        <v>433</v>
      </c>
      <c r="B33" s="152">
        <f>SUM(B30,B25,B20)</f>
        <v>11748620322</v>
      </c>
      <c r="C33" s="152">
        <f>SUM(C30,C25,C20)</f>
        <v>12398340231</v>
      </c>
      <c r="D33" s="152">
        <f>SUM(D30,D25,D20)</f>
        <v>13629265203</v>
      </c>
      <c r="E33" s="380">
        <f t="shared" si="0"/>
        <v>1230924972</v>
      </c>
    </row>
    <row r="34" spans="1:7" ht="20.100000000000001" customHeight="1" x14ac:dyDescent="0.25">
      <c r="A34" s="77" t="s">
        <v>434</v>
      </c>
      <c r="B34" s="150">
        <f>'7. sz. tábla 1'!B215</f>
        <v>74242424</v>
      </c>
      <c r="C34" s="150">
        <f>'7. sz. tábla 1'!C215</f>
        <v>74242424</v>
      </c>
      <c r="D34" s="150">
        <f>'7. sz. tábla 1'!D215</f>
        <v>74242424</v>
      </c>
      <c r="E34" s="379">
        <f t="shared" si="0"/>
        <v>0</v>
      </c>
    </row>
    <row r="35" spans="1:7" ht="28.5" customHeight="1" x14ac:dyDescent="0.25">
      <c r="A35" s="77" t="s">
        <v>498</v>
      </c>
      <c r="B35" s="150">
        <f>'7. sz. tábla 1'!B217</f>
        <v>49594849</v>
      </c>
      <c r="C35" s="150">
        <f>'7. sz. tábla 1'!C217</f>
        <v>49594849</v>
      </c>
      <c r="D35" s="150">
        <f>'7. sz. tábla 1'!D217</f>
        <v>49594849</v>
      </c>
      <c r="E35" s="379">
        <f t="shared" si="0"/>
        <v>0</v>
      </c>
    </row>
    <row r="36" spans="1:7" ht="22.65" customHeight="1" x14ac:dyDescent="0.25">
      <c r="A36" s="77" t="s">
        <v>367</v>
      </c>
      <c r="B36" s="150">
        <f>'7. sz. tábla 1'!B216</f>
        <v>0</v>
      </c>
      <c r="C36" s="150">
        <f>'7. sz. tábla 1'!D216</f>
        <v>0</v>
      </c>
      <c r="D36" s="150">
        <f>'7. sz. tábla 1'!E216</f>
        <v>0</v>
      </c>
      <c r="E36" s="379">
        <f t="shared" si="0"/>
        <v>0</v>
      </c>
    </row>
    <row r="37" spans="1:7" s="13" customFormat="1" ht="21.75" customHeight="1" x14ac:dyDescent="0.3">
      <c r="A37" s="79" t="s">
        <v>435</v>
      </c>
      <c r="B37" s="152">
        <f>SUM(B34:B36)</f>
        <v>123837273</v>
      </c>
      <c r="C37" s="152">
        <f>SUM(C34:C36)</f>
        <v>123837273</v>
      </c>
      <c r="D37" s="152">
        <f>SUM(D34:D36)</f>
        <v>123837273</v>
      </c>
      <c r="E37" s="380">
        <f t="shared" si="0"/>
        <v>0</v>
      </c>
    </row>
    <row r="38" spans="1:7" s="13" customFormat="1" ht="20.100000000000001" customHeight="1" x14ac:dyDescent="0.3">
      <c r="A38" s="81" t="s">
        <v>436</v>
      </c>
      <c r="B38" s="153">
        <f>SUM(B33,B37)</f>
        <v>11872457595</v>
      </c>
      <c r="C38" s="153">
        <f>SUM(C33,C37)</f>
        <v>12522177504</v>
      </c>
      <c r="D38" s="153">
        <f>SUM(D33,D37)</f>
        <v>13753102476</v>
      </c>
      <c r="E38" s="380">
        <f t="shared" si="0"/>
        <v>1230924972</v>
      </c>
      <c r="G38" s="556">
        <f>E18-E38</f>
        <v>0</v>
      </c>
    </row>
    <row r="39" spans="1:7" s="15" customFormat="1" ht="20.100000000000001" customHeight="1" x14ac:dyDescent="0.3">
      <c r="A39" s="82" t="s">
        <v>437</v>
      </c>
      <c r="B39" s="154">
        <f>SUM(B40:B53)</f>
        <v>48538349</v>
      </c>
      <c r="C39" s="154">
        <f>SUM(C40:C53)</f>
        <v>45539993</v>
      </c>
      <c r="D39" s="154">
        <f>SUM(D40:D53)</f>
        <v>44661260</v>
      </c>
      <c r="E39" s="380">
        <f t="shared" si="0"/>
        <v>-878733</v>
      </c>
    </row>
    <row r="40" spans="1:7" s="15" customFormat="1" ht="17.399999999999999" customHeight="1" x14ac:dyDescent="0.25">
      <c r="A40" s="83" t="s">
        <v>438</v>
      </c>
      <c r="B40" s="150">
        <v>660000</v>
      </c>
      <c r="C40" s="1174">
        <v>660000</v>
      </c>
      <c r="D40" s="1174">
        <v>660000</v>
      </c>
      <c r="E40" s="379">
        <f t="shared" si="0"/>
        <v>0</v>
      </c>
    </row>
    <row r="41" spans="1:7" s="15" customFormat="1" ht="15" customHeight="1" x14ac:dyDescent="0.25">
      <c r="A41" s="83" t="s">
        <v>439</v>
      </c>
      <c r="B41" s="150">
        <v>0</v>
      </c>
      <c r="C41" s="1174">
        <v>0</v>
      </c>
      <c r="D41" s="1174">
        <v>0</v>
      </c>
      <c r="E41" s="379">
        <f t="shared" si="0"/>
        <v>0</v>
      </c>
    </row>
    <row r="42" spans="1:7" s="15" customFormat="1" ht="17.399999999999999" customHeight="1" x14ac:dyDescent="0.25">
      <c r="A42" s="83" t="s">
        <v>440</v>
      </c>
      <c r="B42" s="150">
        <v>5000000</v>
      </c>
      <c r="C42" s="1174">
        <v>0</v>
      </c>
      <c r="D42" s="1174">
        <v>0</v>
      </c>
      <c r="E42" s="379">
        <f t="shared" si="0"/>
        <v>0</v>
      </c>
    </row>
    <row r="43" spans="1:7" x14ac:dyDescent="0.25">
      <c r="A43" s="83" t="s">
        <v>441</v>
      </c>
      <c r="B43" s="150">
        <v>22849610</v>
      </c>
      <c r="C43" s="1174">
        <v>18849610</v>
      </c>
      <c r="D43" s="1174">
        <v>18849610</v>
      </c>
      <c r="E43" s="379">
        <f t="shared" si="0"/>
        <v>0</v>
      </c>
    </row>
    <row r="44" spans="1:7" x14ac:dyDescent="0.25">
      <c r="A44" s="83" t="s">
        <v>442</v>
      </c>
      <c r="B44" s="150">
        <v>3000000</v>
      </c>
      <c r="C44" s="1174">
        <v>150000</v>
      </c>
      <c r="D44" s="1174">
        <v>150000</v>
      </c>
      <c r="E44" s="379">
        <f t="shared" si="0"/>
        <v>0</v>
      </c>
    </row>
    <row r="45" spans="1:7" x14ac:dyDescent="0.25">
      <c r="A45" s="83" t="s">
        <v>443</v>
      </c>
      <c r="B45" s="150">
        <v>4000000</v>
      </c>
      <c r="C45" s="1174"/>
      <c r="D45" s="1174"/>
      <c r="E45" s="379">
        <f t="shared" si="0"/>
        <v>0</v>
      </c>
    </row>
    <row r="46" spans="1:7" x14ac:dyDescent="0.25">
      <c r="A46" s="83" t="s">
        <v>580</v>
      </c>
      <c r="B46" s="150">
        <v>11918739</v>
      </c>
      <c r="C46" s="1174">
        <v>11918739</v>
      </c>
      <c r="D46" s="1174">
        <v>11918739</v>
      </c>
      <c r="E46" s="379">
        <f t="shared" si="0"/>
        <v>0</v>
      </c>
    </row>
    <row r="47" spans="1:7" ht="27.6" x14ac:dyDescent="0.25">
      <c r="A47" s="83" t="s">
        <v>1002</v>
      </c>
      <c r="B47" s="150">
        <v>0</v>
      </c>
      <c r="C47" s="1174">
        <v>12437009</v>
      </c>
      <c r="D47" s="1174">
        <v>12437009</v>
      </c>
      <c r="E47" s="379">
        <f t="shared" si="0"/>
        <v>0</v>
      </c>
    </row>
    <row r="48" spans="1:7" ht="27.6" x14ac:dyDescent="0.25">
      <c r="A48" s="83" t="s">
        <v>715</v>
      </c>
      <c r="B48" s="150">
        <v>500000</v>
      </c>
      <c r="C48" s="1174">
        <v>500000</v>
      </c>
      <c r="D48" s="1174">
        <v>500000</v>
      </c>
      <c r="E48" s="379">
        <f t="shared" si="0"/>
        <v>0</v>
      </c>
    </row>
    <row r="49" spans="1:5" ht="19.5" customHeight="1" x14ac:dyDescent="0.25">
      <c r="A49" s="83" t="s">
        <v>189</v>
      </c>
      <c r="B49" s="150">
        <v>0</v>
      </c>
      <c r="C49" s="1174">
        <v>414635</v>
      </c>
      <c r="D49" s="1174">
        <v>145902</v>
      </c>
      <c r="E49" s="379">
        <f t="shared" si="0"/>
        <v>-268733</v>
      </c>
    </row>
    <row r="50" spans="1:5" ht="27.6" x14ac:dyDescent="0.25">
      <c r="A50" s="942" t="s">
        <v>581</v>
      </c>
      <c r="B50" s="150">
        <v>610000</v>
      </c>
      <c r="C50" s="1174">
        <v>610000</v>
      </c>
      <c r="D50" s="1174">
        <v>0</v>
      </c>
      <c r="E50" s="379">
        <f t="shared" si="0"/>
        <v>-610000</v>
      </c>
    </row>
    <row r="51" spans="1:5" x14ac:dyDescent="0.25">
      <c r="A51" s="942" t="s">
        <v>597</v>
      </c>
      <c r="B51" s="150">
        <v>0</v>
      </c>
      <c r="C51" s="1174"/>
      <c r="D51" s="1174"/>
      <c r="E51" s="379">
        <f t="shared" si="0"/>
        <v>0</v>
      </c>
    </row>
    <row r="52" spans="1:5" ht="27.6" x14ac:dyDescent="0.25">
      <c r="A52" s="942" t="s">
        <v>539</v>
      </c>
      <c r="B52" s="150">
        <v>0</v>
      </c>
      <c r="C52" s="1174"/>
      <c r="D52" s="1174"/>
      <c r="E52" s="379">
        <f t="shared" si="0"/>
        <v>0</v>
      </c>
    </row>
    <row r="53" spans="1:5" ht="27" thickBot="1" x14ac:dyDescent="0.3">
      <c r="A53" s="281" t="s">
        <v>598</v>
      </c>
      <c r="B53" s="943">
        <v>0</v>
      </c>
      <c r="C53" s="1176"/>
      <c r="D53" s="1176"/>
      <c r="E53" s="381">
        <f t="shared" si="0"/>
        <v>0</v>
      </c>
    </row>
  </sheetData>
  <sheetProtection selectLockedCells="1" selectUnlockedCells="1"/>
  <mergeCells count="1">
    <mergeCell ref="A1:E3"/>
  </mergeCells>
  <printOptions horizontalCentered="1"/>
  <pageMargins left="0.4597222222222222" right="0.57986111111111116" top="1.1201388888888888" bottom="0.98402777777777772" header="0.45" footer="0.51180555555555551"/>
  <pageSetup paperSize="9" scale="50" firstPageNumber="0" orientation="portrait" r:id="rId1"/>
  <headerFooter alignWithMargins="0">
    <oddHeader xml:space="preserve">&amp;C
1. melléklet a 31/2019. (XII.13.) önkormányzati rendelethez
 az önkormányzat 2019. évi költségvetéséről szóló 6/2019. (II.28.) önkormányzati rendelet 
1. mellékletének helyébe a következő 1. melléklet lép:  
&amp;R
&amp;P. oldal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T101"/>
  <sheetViews>
    <sheetView view="pageLayout" topLeftCell="A3" zoomScale="91" zoomScaleNormal="91" zoomScaleSheetLayoutView="89" zoomScalePageLayoutView="91" workbookViewId="0">
      <selection activeCell="L9" sqref="L9"/>
    </sheetView>
  </sheetViews>
  <sheetFormatPr defaultColWidth="9.109375" defaultRowHeight="13.2" x14ac:dyDescent="0.25"/>
  <cols>
    <col min="1" max="1" width="25.6640625" style="16" customWidth="1"/>
    <col min="2" max="3" width="15" style="16" customWidth="1"/>
    <col min="4" max="4" width="14.44140625" style="16" customWidth="1"/>
    <col min="5" max="5" width="15.5546875" style="16" customWidth="1"/>
    <col min="6" max="6" width="14.109375" style="16" customWidth="1"/>
    <col min="7" max="7" width="13.33203125" style="16" customWidth="1"/>
    <col min="8" max="8" width="11.5546875" style="16" customWidth="1"/>
    <col min="9" max="9" width="15.5546875" style="16" customWidth="1"/>
    <col min="10" max="10" width="12.88671875" style="16" customWidth="1"/>
    <col min="11" max="11" width="14.109375" style="16" customWidth="1"/>
    <col min="12" max="12" width="12.88671875" style="16" customWidth="1"/>
    <col min="13" max="13" width="15.44140625" style="16" customWidth="1"/>
    <col min="14" max="14" width="14.44140625" style="16" customWidth="1"/>
    <col min="15" max="16" width="15.33203125" style="16" customWidth="1"/>
    <col min="17" max="17" width="16.33203125" style="16" customWidth="1"/>
    <col min="18" max="18" width="16.109375" style="16" customWidth="1"/>
    <col min="19" max="19" width="9.109375" style="18"/>
    <col min="20" max="20" width="9.33203125" style="18" bestFit="1" customWidth="1"/>
    <col min="21" max="21" width="0.33203125" style="18" customWidth="1"/>
    <col min="22" max="16384" width="9.109375" style="18"/>
  </cols>
  <sheetData>
    <row r="1" spans="1:18" hidden="1" x14ac:dyDescent="0.25">
      <c r="A1" s="72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idden="1" x14ac:dyDescent="0.25">
      <c r="A2" s="73"/>
    </row>
    <row r="3" spans="1:18" ht="15.6" x14ac:dyDescent="0.3">
      <c r="A3" s="1364" t="s">
        <v>599</v>
      </c>
      <c r="B3" s="1364"/>
      <c r="C3" s="1364"/>
      <c r="D3" s="1364"/>
      <c r="E3" s="1364"/>
      <c r="F3" s="1364"/>
      <c r="G3" s="1364"/>
      <c r="H3" s="1364"/>
      <c r="I3" s="1364"/>
      <c r="J3" s="1364"/>
      <c r="K3" s="1364"/>
      <c r="L3" s="1364"/>
      <c r="M3" s="1364"/>
      <c r="N3" s="1364"/>
      <c r="O3" s="1364"/>
      <c r="P3" s="1364"/>
      <c r="Q3" s="1364"/>
    </row>
    <row r="4" spans="1:18" ht="13.8" thickBot="1" x14ac:dyDescent="0.3">
      <c r="A4" s="569"/>
      <c r="B4" s="569"/>
      <c r="C4" s="569"/>
      <c r="D4" s="569"/>
      <c r="E4" s="569"/>
      <c r="F4" s="569"/>
      <c r="G4" s="569"/>
      <c r="H4" s="569"/>
      <c r="I4" s="569"/>
      <c r="J4" s="569"/>
      <c r="K4" s="569"/>
      <c r="L4" s="569"/>
      <c r="M4" s="569"/>
      <c r="N4" s="569"/>
      <c r="O4" s="569"/>
      <c r="P4" s="569"/>
      <c r="Q4" s="569"/>
    </row>
    <row r="5" spans="1:18" s="19" customFormat="1" ht="27.75" customHeight="1" thickBot="1" x14ac:dyDescent="0.3">
      <c r="A5" s="189" t="s">
        <v>328</v>
      </c>
      <c r="B5" s="1365" t="s">
        <v>444</v>
      </c>
      <c r="C5" s="1366"/>
      <c r="D5" s="1366"/>
      <c r="E5" s="1367"/>
      <c r="F5" s="1365" t="s">
        <v>223</v>
      </c>
      <c r="G5" s="1366"/>
      <c r="H5" s="1366"/>
      <c r="I5" s="1367"/>
      <c r="J5" s="1368" t="s">
        <v>445</v>
      </c>
      <c r="K5" s="1368"/>
      <c r="L5" s="1368"/>
      <c r="M5" s="1368"/>
      <c r="N5" s="1368" t="s">
        <v>446</v>
      </c>
      <c r="O5" s="1368"/>
      <c r="P5" s="1368"/>
      <c r="Q5" s="1368"/>
      <c r="R5" s="34"/>
    </row>
    <row r="6" spans="1:18" s="20" customFormat="1" ht="53.4" customHeight="1" thickBot="1" x14ac:dyDescent="0.3">
      <c r="A6" s="189"/>
      <c r="B6" s="1086" t="s">
        <v>591</v>
      </c>
      <c r="C6" s="550" t="s">
        <v>978</v>
      </c>
      <c r="D6" s="550" t="s">
        <v>1044</v>
      </c>
      <c r="E6" s="936" t="s">
        <v>934</v>
      </c>
      <c r="F6" s="963" t="s">
        <v>591</v>
      </c>
      <c r="G6" s="550" t="s">
        <v>978</v>
      </c>
      <c r="H6" s="550" t="s">
        <v>1044</v>
      </c>
      <c r="I6" s="936" t="s">
        <v>934</v>
      </c>
      <c r="J6" s="963" t="s">
        <v>591</v>
      </c>
      <c r="K6" s="550" t="s">
        <v>978</v>
      </c>
      <c r="L6" s="550" t="s">
        <v>1044</v>
      </c>
      <c r="M6" s="936" t="s">
        <v>934</v>
      </c>
      <c r="N6" s="1086" t="s">
        <v>591</v>
      </c>
      <c r="O6" s="710" t="s">
        <v>935</v>
      </c>
      <c r="P6" s="550" t="s">
        <v>1044</v>
      </c>
      <c r="Q6" s="936" t="s">
        <v>934</v>
      </c>
      <c r="R6" s="14"/>
    </row>
    <row r="7" spans="1:18" s="20" customFormat="1" ht="39.6" x14ac:dyDescent="0.25">
      <c r="A7" s="946" t="s">
        <v>410</v>
      </c>
      <c r="B7" s="201">
        <f t="shared" ref="B7" si="0">B8+B16+B17+B18+B19+B20</f>
        <v>1306754814.3333333</v>
      </c>
      <c r="C7" s="201">
        <f>C8+C16+C17+C18+C19+C20</f>
        <v>1352552852.3333333</v>
      </c>
      <c r="D7" s="201">
        <f>D8+D16+D17+D18+D19+D20</f>
        <v>1447812796.3333333</v>
      </c>
      <c r="E7" s="954">
        <f>D7-C7</f>
        <v>95259944</v>
      </c>
      <c r="F7" s="256">
        <f>F8+F16+F17+F18+F19+F20</f>
        <v>26342601</v>
      </c>
      <c r="G7" s="201">
        <f t="shared" ref="G7" si="1">G8+G16+G17+G18+G19+G20</f>
        <v>31072057</v>
      </c>
      <c r="H7" s="201">
        <f t="shared" ref="H7:Q7" si="2">H8+H16+H17+H18+H19+H20</f>
        <v>36947092</v>
      </c>
      <c r="I7" s="407">
        <f>H7-G7</f>
        <v>5875035</v>
      </c>
      <c r="J7" s="954">
        <f t="shared" ref="J7:K7" si="3">J8+J16+J17+J18+J19+J20</f>
        <v>125192474</v>
      </c>
      <c r="K7" s="201">
        <f t="shared" si="3"/>
        <v>129699974</v>
      </c>
      <c r="L7" s="201">
        <f t="shared" si="2"/>
        <v>129699974</v>
      </c>
      <c r="M7" s="407">
        <f>L7-K7</f>
        <v>0</v>
      </c>
      <c r="N7" s="573">
        <f t="shared" si="2"/>
        <v>1458289889.3333333</v>
      </c>
      <c r="O7" s="201">
        <f t="shared" si="2"/>
        <v>1513324883.3333333</v>
      </c>
      <c r="P7" s="201">
        <f t="shared" si="2"/>
        <v>1614459862.3333333</v>
      </c>
      <c r="Q7" s="407">
        <f t="shared" si="2"/>
        <v>101134979</v>
      </c>
      <c r="R7" s="14"/>
    </row>
    <row r="8" spans="1:18" s="21" customFormat="1" ht="26.4" x14ac:dyDescent="0.25">
      <c r="A8" s="949" t="s">
        <v>447</v>
      </c>
      <c r="B8" s="170">
        <f>SUM(B9:B15)</f>
        <v>1008634125.3333333</v>
      </c>
      <c r="C8" s="170">
        <f>SUM(C9:C15)</f>
        <v>1069929384.3333333</v>
      </c>
      <c r="D8" s="170">
        <f>SUM(D9:D15)</f>
        <v>1122802637.3333333</v>
      </c>
      <c r="E8" s="581">
        <f>D8-C8</f>
        <v>52873253</v>
      </c>
      <c r="F8" s="956"/>
      <c r="G8" s="170">
        <f>SUM(G9:G15)</f>
        <v>0</v>
      </c>
      <c r="H8" s="170">
        <f>SUM(H9:H15)</f>
        <v>0</v>
      </c>
      <c r="I8" s="1251">
        <f>H8-G8</f>
        <v>0</v>
      </c>
      <c r="J8" s="581">
        <f t="shared" ref="J8:K8" si="4">SUM(J9:J15)</f>
        <v>0</v>
      </c>
      <c r="K8" s="170">
        <f t="shared" si="4"/>
        <v>0</v>
      </c>
      <c r="L8" s="170">
        <f t="shared" ref="L8:Q8" si="5">SUM(L9:L15)</f>
        <v>0</v>
      </c>
      <c r="M8" s="1251">
        <f>L8-K8</f>
        <v>0</v>
      </c>
      <c r="N8" s="574">
        <f>SUM(N9:N15)</f>
        <v>1008634125.3333333</v>
      </c>
      <c r="O8" s="170">
        <f t="shared" si="5"/>
        <v>1069929384.3333333</v>
      </c>
      <c r="P8" s="170">
        <f t="shared" si="5"/>
        <v>1122802637.3333333</v>
      </c>
      <c r="Q8" s="398">
        <f t="shared" si="5"/>
        <v>52873253</v>
      </c>
      <c r="R8" s="357"/>
    </row>
    <row r="9" spans="1:18" s="21" customFormat="1" ht="26.4" x14ac:dyDescent="0.25">
      <c r="A9" s="952" t="s">
        <v>448</v>
      </c>
      <c r="B9" s="170">
        <f>'2b. tábla 2019 (2)'!E4</f>
        <v>522094841</v>
      </c>
      <c r="C9" s="170">
        <f>'2b. tábla 2019 (2)'!I4</f>
        <v>529647994</v>
      </c>
      <c r="D9" s="170">
        <f>'2b. tábla 2019 (2)'!K4</f>
        <v>530463326</v>
      </c>
      <c r="E9" s="581">
        <f t="shared" ref="E9:E13" si="6">D9-C9</f>
        <v>815332</v>
      </c>
      <c r="F9" s="957"/>
      <c r="G9" s="297"/>
      <c r="H9" s="297"/>
      <c r="I9" s="577"/>
      <c r="J9" s="1088"/>
      <c r="K9" s="297"/>
      <c r="L9" s="297"/>
      <c r="M9" s="577"/>
      <c r="N9" s="409">
        <f>SUM(B9+F9+J9)</f>
        <v>522094841</v>
      </c>
      <c r="O9" s="90">
        <f t="shared" ref="O9:P13" si="7">SUM(C9+G9+K9)</f>
        <v>529647994</v>
      </c>
      <c r="P9" s="90">
        <f t="shared" si="7"/>
        <v>530463326</v>
      </c>
      <c r="Q9" s="396">
        <f>SUM(E9+I9+M9)</f>
        <v>815332</v>
      </c>
      <c r="R9" s="357"/>
    </row>
    <row r="10" spans="1:18" s="21" customFormat="1" ht="39.6" x14ac:dyDescent="0.25">
      <c r="A10" s="952" t="s">
        <v>449</v>
      </c>
      <c r="B10" s="170">
        <f>'2b. tábla 2019 (2)'!E30</f>
        <v>254728334.33333331</v>
      </c>
      <c r="C10" s="170">
        <f>'2b. tábla 2019 (2)'!I30</f>
        <v>259150533.33333331</v>
      </c>
      <c r="D10" s="170">
        <f>'2b. tábla 2019 (2)'!K30</f>
        <v>260019840.33333331</v>
      </c>
      <c r="E10" s="581">
        <f t="shared" si="6"/>
        <v>869307</v>
      </c>
      <c r="F10" s="957"/>
      <c r="G10" s="297"/>
      <c r="H10" s="297"/>
      <c r="I10" s="577"/>
      <c r="J10" s="1088"/>
      <c r="K10" s="297"/>
      <c r="L10" s="297"/>
      <c r="M10" s="577"/>
      <c r="N10" s="409">
        <f t="shared" ref="N10:N14" si="8">SUM(B10+F10+J10)</f>
        <v>254728334.33333331</v>
      </c>
      <c r="O10" s="90">
        <f t="shared" si="7"/>
        <v>259150533.33333331</v>
      </c>
      <c r="P10" s="90">
        <f t="shared" si="7"/>
        <v>260019840.33333331</v>
      </c>
      <c r="Q10" s="396">
        <f>SUM(E10+I10+M10)</f>
        <v>869307</v>
      </c>
      <c r="R10" s="357"/>
    </row>
    <row r="11" spans="1:18" s="21" customFormat="1" ht="39.6" x14ac:dyDescent="0.25">
      <c r="A11" s="947" t="s">
        <v>450</v>
      </c>
      <c r="B11" s="170">
        <f>'2b. tábla 2019 (2)'!E42</f>
        <v>215151670</v>
      </c>
      <c r="C11" s="170">
        <f>'2b. tábla 2019 (2)'!I42</f>
        <v>252945371</v>
      </c>
      <c r="D11" s="170">
        <f>'2b. tábla 2019 (2)'!K42</f>
        <v>256458734</v>
      </c>
      <c r="E11" s="581">
        <f t="shared" si="6"/>
        <v>3513363</v>
      </c>
      <c r="F11" s="957"/>
      <c r="G11" s="297"/>
      <c r="H11" s="297"/>
      <c r="I11" s="577"/>
      <c r="J11" s="1088"/>
      <c r="K11" s="297"/>
      <c r="L11" s="297"/>
      <c r="M11" s="577"/>
      <c r="N11" s="409">
        <f t="shared" si="8"/>
        <v>215151670</v>
      </c>
      <c r="O11" s="90">
        <f t="shared" si="7"/>
        <v>252945371</v>
      </c>
      <c r="P11" s="90">
        <f t="shared" si="7"/>
        <v>256458734</v>
      </c>
      <c r="Q11" s="396">
        <f>SUM(E11+I11+M11)</f>
        <v>3513363</v>
      </c>
      <c r="R11" s="357"/>
    </row>
    <row r="12" spans="1:18" s="21" customFormat="1" ht="26.4" x14ac:dyDescent="0.25">
      <c r="A12" s="947" t="s">
        <v>451</v>
      </c>
      <c r="B12" s="170">
        <f>'2b. tábla 2019 (2)'!E73</f>
        <v>16659280</v>
      </c>
      <c r="C12" s="170">
        <f>'2b. tábla 2019 (2)'!I73</f>
        <v>20796114</v>
      </c>
      <c r="D12" s="170">
        <f>'2b. tábla 2019 (2)'!K73</f>
        <v>21637265</v>
      </c>
      <c r="E12" s="581">
        <f t="shared" si="6"/>
        <v>841151</v>
      </c>
      <c r="F12" s="957"/>
      <c r="G12" s="297"/>
      <c r="H12" s="297"/>
      <c r="I12" s="577"/>
      <c r="J12" s="1088"/>
      <c r="K12" s="297"/>
      <c r="L12" s="297"/>
      <c r="M12" s="577"/>
      <c r="N12" s="409">
        <f t="shared" si="8"/>
        <v>16659280</v>
      </c>
      <c r="O12" s="90">
        <f t="shared" si="7"/>
        <v>20796114</v>
      </c>
      <c r="P12" s="90">
        <f t="shared" si="7"/>
        <v>21637265</v>
      </c>
      <c r="Q12" s="396">
        <f>SUM(E12+I12+M12)</f>
        <v>841151</v>
      </c>
      <c r="R12" s="357"/>
    </row>
    <row r="13" spans="1:18" s="20" customFormat="1" ht="39.6" x14ac:dyDescent="0.25">
      <c r="A13" s="947" t="s">
        <v>389</v>
      </c>
      <c r="B13" s="170"/>
      <c r="C13" s="170">
        <f>'2b. tábla 2019 (2)'!I78</f>
        <v>7389372</v>
      </c>
      <c r="D13" s="170">
        <f>'2b. tábla 2019 (2)'!K78</f>
        <v>54223472</v>
      </c>
      <c r="E13" s="581">
        <f t="shared" si="6"/>
        <v>46834100</v>
      </c>
      <c r="F13" s="958"/>
      <c r="G13" s="297"/>
      <c r="H13" s="297"/>
      <c r="I13" s="578"/>
      <c r="J13" s="1089"/>
      <c r="K13" s="297"/>
      <c r="L13" s="297"/>
      <c r="M13" s="578"/>
      <c r="N13" s="409">
        <f t="shared" si="8"/>
        <v>0</v>
      </c>
      <c r="O13" s="90">
        <f t="shared" si="7"/>
        <v>7389372</v>
      </c>
      <c r="P13" s="90">
        <f t="shared" si="7"/>
        <v>54223472</v>
      </c>
      <c r="Q13" s="396">
        <f>SUM(E13+I13+M13)</f>
        <v>46834100</v>
      </c>
      <c r="R13" s="14"/>
    </row>
    <row r="14" spans="1:18" s="20" customFormat="1" ht="26.4" x14ac:dyDescent="0.25">
      <c r="A14" s="947" t="s">
        <v>400</v>
      </c>
      <c r="B14" s="576"/>
      <c r="C14" s="579"/>
      <c r="D14" s="579"/>
      <c r="E14" s="579"/>
      <c r="F14" s="958"/>
      <c r="G14" s="297"/>
      <c r="H14" s="297"/>
      <c r="I14" s="578"/>
      <c r="J14" s="1089"/>
      <c r="K14" s="297"/>
      <c r="L14" s="297"/>
      <c r="M14" s="578"/>
      <c r="N14" s="409">
        <f t="shared" si="8"/>
        <v>0</v>
      </c>
      <c r="O14" s="297"/>
      <c r="P14" s="297"/>
      <c r="Q14" s="580"/>
      <c r="R14" s="14"/>
    </row>
    <row r="15" spans="1:18" s="20" customFormat="1" x14ac:dyDescent="0.25">
      <c r="A15" s="947" t="s">
        <v>489</v>
      </c>
      <c r="B15" s="576"/>
      <c r="C15" s="579"/>
      <c r="D15" s="579"/>
      <c r="E15" s="579"/>
      <c r="F15" s="958"/>
      <c r="G15" s="297"/>
      <c r="H15" s="297"/>
      <c r="I15" s="578"/>
      <c r="J15" s="1089"/>
      <c r="K15" s="297"/>
      <c r="L15" s="297"/>
      <c r="M15" s="578"/>
      <c r="N15" s="95"/>
      <c r="O15" s="297"/>
      <c r="P15" s="297"/>
      <c r="Q15" s="580"/>
      <c r="R15" s="14"/>
    </row>
    <row r="16" spans="1:18" s="20" customFormat="1" x14ac:dyDescent="0.25">
      <c r="A16" s="947" t="s">
        <v>346</v>
      </c>
      <c r="B16" s="576"/>
      <c r="C16" s="579"/>
      <c r="D16" s="579"/>
      <c r="E16" s="579"/>
      <c r="F16" s="958"/>
      <c r="G16" s="297"/>
      <c r="H16" s="297"/>
      <c r="I16" s="578"/>
      <c r="J16" s="1089"/>
      <c r="K16" s="297"/>
      <c r="L16" s="297"/>
      <c r="M16" s="578"/>
      <c r="N16" s="95"/>
      <c r="O16" s="297"/>
      <c r="P16" s="297"/>
      <c r="Q16" s="580"/>
      <c r="R16" s="14"/>
    </row>
    <row r="17" spans="1:18" s="22" customFormat="1" ht="52.8" x14ac:dyDescent="0.25">
      <c r="A17" s="947" t="s">
        <v>452</v>
      </c>
      <c r="B17" s="576"/>
      <c r="C17" s="579"/>
      <c r="D17" s="579"/>
      <c r="E17" s="579"/>
      <c r="F17" s="959"/>
      <c r="G17" s="581"/>
      <c r="H17" s="581"/>
      <c r="I17" s="582"/>
      <c r="J17" s="1090"/>
      <c r="K17" s="581"/>
      <c r="L17" s="581"/>
      <c r="M17" s="582"/>
      <c r="N17" s="95"/>
      <c r="O17" s="297"/>
      <c r="P17" s="297"/>
      <c r="Q17" s="580"/>
      <c r="R17" s="358"/>
    </row>
    <row r="18" spans="1:18" s="22" customFormat="1" ht="52.8" x14ac:dyDescent="0.25">
      <c r="A18" s="947" t="s">
        <v>453</v>
      </c>
      <c r="B18" s="576"/>
      <c r="C18" s="579"/>
      <c r="D18" s="579"/>
      <c r="E18" s="579"/>
      <c r="F18" s="959"/>
      <c r="G18" s="581"/>
      <c r="H18" s="581"/>
      <c r="I18" s="582"/>
      <c r="J18" s="1090"/>
      <c r="K18" s="581"/>
      <c r="L18" s="581"/>
      <c r="M18" s="582"/>
      <c r="N18" s="95"/>
      <c r="O18" s="297"/>
      <c r="P18" s="297"/>
      <c r="Q18" s="580"/>
      <c r="R18" s="358"/>
    </row>
    <row r="19" spans="1:18" s="22" customFormat="1" ht="52.8" x14ac:dyDescent="0.25">
      <c r="A19" s="947" t="s">
        <v>454</v>
      </c>
      <c r="B19" s="576"/>
      <c r="C19" s="579"/>
      <c r="D19" s="579"/>
      <c r="E19" s="579"/>
      <c r="F19" s="959"/>
      <c r="G19" s="581"/>
      <c r="H19" s="581"/>
      <c r="I19" s="582"/>
      <c r="J19" s="1090"/>
      <c r="K19" s="581"/>
      <c r="L19" s="581"/>
      <c r="M19" s="582"/>
      <c r="N19" s="95"/>
      <c r="O19" s="297"/>
      <c r="P19" s="297"/>
      <c r="Q19" s="580"/>
      <c r="R19" s="358"/>
    </row>
    <row r="20" spans="1:18" s="20" customFormat="1" ht="39.6" x14ac:dyDescent="0.25">
      <c r="A20" s="947" t="s">
        <v>455</v>
      </c>
      <c r="B20" s="170">
        <v>298120689</v>
      </c>
      <c r="C20" s="581">
        <v>282623468</v>
      </c>
      <c r="D20" s="581">
        <v>325010159</v>
      </c>
      <c r="E20" s="581">
        <f>D20-C20</f>
        <v>42386691</v>
      </c>
      <c r="F20" s="575">
        <f>'2.a tábla ÚJ '!S13</f>
        <v>26342601</v>
      </c>
      <c r="G20" s="576">
        <f>'2.a tábla ÚJ '!T13</f>
        <v>31072057</v>
      </c>
      <c r="H20" s="576">
        <f>'2.a tábla ÚJ '!U13</f>
        <v>36947092</v>
      </c>
      <c r="I20" s="398">
        <f>H20-G20</f>
        <v>5875035</v>
      </c>
      <c r="J20" s="579">
        <f>'2.a tábla ÚJ '!N13</f>
        <v>125192474</v>
      </c>
      <c r="K20" s="579">
        <f>'2.a tábla ÚJ '!O13</f>
        <v>129699974</v>
      </c>
      <c r="L20" s="579">
        <f>'2.a tábla ÚJ '!P13</f>
        <v>129699974</v>
      </c>
      <c r="M20" s="576">
        <f>L20-K20</f>
        <v>0</v>
      </c>
      <c r="N20" s="409">
        <f t="shared" ref="N20:P27" si="9">SUM(B20+F20+J20)</f>
        <v>449655764</v>
      </c>
      <c r="O20" s="90">
        <f t="shared" ref="O20:P21" si="10">C20+G20+K20</f>
        <v>443395499</v>
      </c>
      <c r="P20" s="90">
        <f t="shared" si="10"/>
        <v>491657225</v>
      </c>
      <c r="Q20" s="396">
        <f>E20+I20+M20</f>
        <v>48261726</v>
      </c>
      <c r="R20" s="14"/>
    </row>
    <row r="21" spans="1:18" s="20" customFormat="1" ht="49.65" customHeight="1" x14ac:dyDescent="0.25">
      <c r="A21" s="947" t="s">
        <v>456</v>
      </c>
      <c r="B21" s="576"/>
      <c r="C21" s="579"/>
      <c r="D21" s="579"/>
      <c r="E21" s="579"/>
      <c r="F21" s="958"/>
      <c r="G21" s="297"/>
      <c r="H21" s="297"/>
      <c r="I21" s="398">
        <f t="shared" ref="I21:I22" si="11">H21-G21</f>
        <v>0</v>
      </c>
      <c r="J21" s="579">
        <f>'2.a tábla ÚJ '!N14</f>
        <v>120000000</v>
      </c>
      <c r="K21" s="579">
        <f>'2.a tábla ÚJ '!O14</f>
        <v>124507500</v>
      </c>
      <c r="L21" s="579">
        <f>'2.a tábla ÚJ '!P14</f>
        <v>124507500</v>
      </c>
      <c r="M21" s="576">
        <f>L21-K21</f>
        <v>0</v>
      </c>
      <c r="N21" s="409">
        <f t="shared" si="9"/>
        <v>120000000</v>
      </c>
      <c r="O21" s="90">
        <f t="shared" si="10"/>
        <v>124507500</v>
      </c>
      <c r="P21" s="90">
        <f t="shared" si="10"/>
        <v>124507500</v>
      </c>
      <c r="Q21" s="396">
        <f>E21+I21+M21</f>
        <v>0</v>
      </c>
      <c r="R21" s="14"/>
    </row>
    <row r="22" spans="1:18" s="20" customFormat="1" ht="39.6" x14ac:dyDescent="0.25">
      <c r="A22" s="948" t="s">
        <v>411</v>
      </c>
      <c r="B22" s="89">
        <f>B23+B24+B25+B26+B27</f>
        <v>1504479834</v>
      </c>
      <c r="C22" s="89">
        <f>C23+C24+C25+C26+C27</f>
        <v>1696173273</v>
      </c>
      <c r="D22" s="89">
        <f>D23+D24+D25+D26+D27</f>
        <v>2786781765</v>
      </c>
      <c r="E22" s="298">
        <f>D22-C22</f>
        <v>1090608492</v>
      </c>
      <c r="F22" s="94">
        <f>F23+F24+F25+F26+F27</f>
        <v>0</v>
      </c>
      <c r="G22" s="89">
        <f t="shared" ref="G22" si="12">G23+G24+G25+G26+G27</f>
        <v>0</v>
      </c>
      <c r="H22" s="89">
        <f t="shared" ref="H22:Q22" si="13">H23+H24+H25+H26+H27</f>
        <v>0</v>
      </c>
      <c r="I22" s="398">
        <f t="shared" si="11"/>
        <v>0</v>
      </c>
      <c r="J22" s="298">
        <f t="shared" ref="J22:K22" si="14">J23+J24+J25+J26+J27</f>
        <v>0</v>
      </c>
      <c r="K22" s="89">
        <f t="shared" si="14"/>
        <v>0</v>
      </c>
      <c r="L22" s="89">
        <f t="shared" si="13"/>
        <v>312424</v>
      </c>
      <c r="M22" s="945">
        <f>L22-K22</f>
        <v>312424</v>
      </c>
      <c r="N22" s="583">
        <f t="shared" si="9"/>
        <v>1504479834</v>
      </c>
      <c r="O22" s="89">
        <f t="shared" si="13"/>
        <v>1696173273</v>
      </c>
      <c r="P22" s="89">
        <f>P23+P24+P25+P26+P27</f>
        <v>2787094189</v>
      </c>
      <c r="Q22" s="395">
        <f t="shared" si="13"/>
        <v>1090920916</v>
      </c>
      <c r="R22" s="14"/>
    </row>
    <row r="23" spans="1:18" s="20" customFormat="1" ht="26.4" x14ac:dyDescent="0.25">
      <c r="A23" s="947" t="s">
        <v>457</v>
      </c>
      <c r="B23" s="576"/>
      <c r="C23" s="579">
        <f>'2b. tábla 2019 (2)'!I85</f>
        <v>30000000</v>
      </c>
      <c r="D23" s="579">
        <f>'2b. tábla 2019 (2)'!K85</f>
        <v>34503000</v>
      </c>
      <c r="E23" s="579">
        <f>D23-C23</f>
        <v>4503000</v>
      </c>
      <c r="F23" s="958"/>
      <c r="G23" s="297"/>
      <c r="H23" s="297"/>
      <c r="I23" s="578"/>
      <c r="J23" s="1089"/>
      <c r="K23" s="297"/>
      <c r="L23" s="297"/>
      <c r="M23" s="578"/>
      <c r="N23" s="409">
        <f t="shared" si="9"/>
        <v>0</v>
      </c>
      <c r="O23" s="90">
        <f t="shared" si="9"/>
        <v>30000000</v>
      </c>
      <c r="P23" s="1192">
        <f t="shared" si="9"/>
        <v>34503000</v>
      </c>
      <c r="Q23" s="396">
        <f>E23+I23+M23</f>
        <v>4503000</v>
      </c>
      <c r="R23" s="14"/>
    </row>
    <row r="24" spans="1:18" s="20" customFormat="1" ht="52.8" x14ac:dyDescent="0.25">
      <c r="A24" s="947" t="s">
        <v>458</v>
      </c>
      <c r="B24" s="576"/>
      <c r="C24" s="579"/>
      <c r="D24" s="579"/>
      <c r="E24" s="579"/>
      <c r="F24" s="958"/>
      <c r="G24" s="297"/>
      <c r="H24" s="297"/>
      <c r="I24" s="578"/>
      <c r="J24" s="1089"/>
      <c r="K24" s="297"/>
      <c r="L24" s="297"/>
      <c r="M24" s="578"/>
      <c r="N24" s="409">
        <f t="shared" si="9"/>
        <v>0</v>
      </c>
      <c r="O24" s="297"/>
      <c r="P24" s="297"/>
      <c r="Q24" s="580"/>
      <c r="R24" s="14"/>
    </row>
    <row r="25" spans="1:18" s="20" customFormat="1" ht="52.8" x14ac:dyDescent="0.25">
      <c r="A25" s="947" t="s">
        <v>459</v>
      </c>
      <c r="B25" s="576"/>
      <c r="C25" s="579"/>
      <c r="D25" s="579"/>
      <c r="E25" s="579"/>
      <c r="F25" s="958"/>
      <c r="G25" s="297"/>
      <c r="H25" s="297"/>
      <c r="I25" s="578"/>
      <c r="J25" s="1089"/>
      <c r="K25" s="297"/>
      <c r="L25" s="297"/>
      <c r="M25" s="578"/>
      <c r="N25" s="409">
        <f t="shared" si="9"/>
        <v>0</v>
      </c>
      <c r="O25" s="297"/>
      <c r="P25" s="297"/>
      <c r="Q25" s="580"/>
      <c r="R25" s="14"/>
    </row>
    <row r="26" spans="1:18" s="20" customFormat="1" ht="52.8" x14ac:dyDescent="0.25">
      <c r="A26" s="947" t="s">
        <v>460</v>
      </c>
      <c r="B26" s="576"/>
      <c r="C26" s="579"/>
      <c r="D26" s="579"/>
      <c r="E26" s="579"/>
      <c r="F26" s="958"/>
      <c r="G26" s="297"/>
      <c r="H26" s="297"/>
      <c r="I26" s="578"/>
      <c r="J26" s="1089"/>
      <c r="K26" s="297"/>
      <c r="L26" s="297"/>
      <c r="M26" s="578"/>
      <c r="N26" s="409">
        <f t="shared" si="9"/>
        <v>0</v>
      </c>
      <c r="O26" s="297"/>
      <c r="P26" s="297"/>
      <c r="Q26" s="580"/>
      <c r="R26" s="14"/>
    </row>
    <row r="27" spans="1:18" s="20" customFormat="1" ht="40.200000000000003" thickBot="1" x14ac:dyDescent="0.3">
      <c r="A27" s="950" t="s">
        <v>347</v>
      </c>
      <c r="B27" s="953">
        <v>1504479834</v>
      </c>
      <c r="C27" s="955">
        <v>1666173273</v>
      </c>
      <c r="D27" s="955">
        <v>2752278765</v>
      </c>
      <c r="E27" s="955">
        <f>D27-C27</f>
        <v>1086105492</v>
      </c>
      <c r="F27" s="960"/>
      <c r="G27" s="584"/>
      <c r="H27" s="584"/>
      <c r="I27" s="585"/>
      <c r="J27" s="356">
        <f>'2.a tábla ÚJ '!N43</f>
        <v>0</v>
      </c>
      <c r="K27" s="356">
        <f>'2.a tábla ÚJ '!O43</f>
        <v>0</v>
      </c>
      <c r="L27" s="356">
        <f>'2.a tábla ÚJ '!H16</f>
        <v>312424</v>
      </c>
      <c r="M27" s="356">
        <f>L27-K27</f>
        <v>312424</v>
      </c>
      <c r="N27" s="409">
        <f t="shared" si="9"/>
        <v>1504479834</v>
      </c>
      <c r="O27" s="356">
        <f>C27+G27+K27</f>
        <v>1666173273</v>
      </c>
      <c r="P27" s="356">
        <f>D27+H27+L27</f>
        <v>2752591189</v>
      </c>
      <c r="Q27" s="397">
        <f>E27+I27+M27</f>
        <v>1086417916</v>
      </c>
      <c r="R27" s="14"/>
    </row>
    <row r="28" spans="1:18" s="20" customFormat="1" ht="27" customHeight="1" thickBot="1" x14ac:dyDescent="0.3">
      <c r="A28" s="951" t="s">
        <v>328</v>
      </c>
      <c r="B28" s="1358" t="s">
        <v>444</v>
      </c>
      <c r="C28" s="1359"/>
      <c r="D28" s="1359"/>
      <c r="E28" s="1360"/>
      <c r="F28" s="1358" t="s">
        <v>223</v>
      </c>
      <c r="G28" s="1359"/>
      <c r="H28" s="1359"/>
      <c r="I28" s="1360"/>
      <c r="J28" s="1369" t="s">
        <v>445</v>
      </c>
      <c r="K28" s="1370"/>
      <c r="L28" s="1370"/>
      <c r="M28" s="1371"/>
      <c r="N28" s="1369" t="s">
        <v>446</v>
      </c>
      <c r="O28" s="1370"/>
      <c r="P28" s="1370"/>
      <c r="Q28" s="1371"/>
      <c r="R28" s="14"/>
    </row>
    <row r="29" spans="1:18" s="20" customFormat="1" ht="54" customHeight="1" thickBot="1" x14ac:dyDescent="0.3">
      <c r="A29" s="189"/>
      <c r="B29" s="1249" t="s">
        <v>591</v>
      </c>
      <c r="C29" s="550" t="s">
        <v>978</v>
      </c>
      <c r="D29" s="550" t="s">
        <v>1044</v>
      </c>
      <c r="E29" s="936" t="s">
        <v>934</v>
      </c>
      <c r="F29" s="1250" t="s">
        <v>591</v>
      </c>
      <c r="G29" s="550" t="s">
        <v>978</v>
      </c>
      <c r="H29" s="550" t="s">
        <v>1044</v>
      </c>
      <c r="I29" s="936" t="s">
        <v>934</v>
      </c>
      <c r="J29" s="1086" t="s">
        <v>591</v>
      </c>
      <c r="K29" s="550" t="s">
        <v>978</v>
      </c>
      <c r="L29" s="550" t="s">
        <v>1044</v>
      </c>
      <c r="M29" s="936" t="s">
        <v>934</v>
      </c>
      <c r="N29" s="1086" t="s">
        <v>591</v>
      </c>
      <c r="O29" s="710" t="s">
        <v>935</v>
      </c>
      <c r="P29" s="550" t="s">
        <v>1044</v>
      </c>
      <c r="Q29" s="936" t="s">
        <v>934</v>
      </c>
      <c r="R29" s="14"/>
    </row>
    <row r="30" spans="1:18" s="20" customFormat="1" ht="25.5" customHeight="1" x14ac:dyDescent="0.25">
      <c r="A30" s="1262" t="s">
        <v>412</v>
      </c>
      <c r="B30" s="256">
        <f t="shared" ref="B30" si="15">B31+B34+B42</f>
        <v>1863700000</v>
      </c>
      <c r="C30" s="201">
        <f t="shared" ref="C30:D30" si="16">C31+C34+C42</f>
        <v>1863700000</v>
      </c>
      <c r="D30" s="201">
        <f t="shared" si="16"/>
        <v>1863700000</v>
      </c>
      <c r="E30" s="1271">
        <f>D30-C30</f>
        <v>0</v>
      </c>
      <c r="F30" s="1269">
        <f t="shared" ref="F30:G30" si="17">F31+F34+F42</f>
        <v>500000</v>
      </c>
      <c r="G30" s="201">
        <f t="shared" si="17"/>
        <v>500000</v>
      </c>
      <c r="H30" s="201">
        <f t="shared" ref="H30:L30" si="18">H31+H34+H42</f>
        <v>500000</v>
      </c>
      <c r="I30" s="407">
        <f>H30-G30</f>
        <v>0</v>
      </c>
      <c r="J30" s="954"/>
      <c r="K30" s="201">
        <f t="shared" ref="K30" si="19">K31+K34+K42</f>
        <v>0</v>
      </c>
      <c r="L30" s="201">
        <f t="shared" si="18"/>
        <v>0</v>
      </c>
      <c r="M30" s="407">
        <f>L30-K30</f>
        <v>0</v>
      </c>
      <c r="N30" s="573">
        <f t="shared" ref="N30:N57" si="20">SUM(B30+F30+J30)</f>
        <v>1864200000</v>
      </c>
      <c r="O30" s="201">
        <f t="shared" ref="O30:O57" si="21">SUM(C30+G30+K30)</f>
        <v>1864200000</v>
      </c>
      <c r="P30" s="201">
        <f t="shared" ref="P30:P57" si="22">SUM(D30+H30+L30)</f>
        <v>1864200000</v>
      </c>
      <c r="Q30" s="407">
        <f t="shared" ref="Q30:Q57" si="23">SUM(E30+I30+M30)</f>
        <v>0</v>
      </c>
      <c r="R30" s="359"/>
    </row>
    <row r="31" spans="1:18" s="20" customFormat="1" x14ac:dyDescent="0.25">
      <c r="A31" s="1263" t="s">
        <v>462</v>
      </c>
      <c r="B31" s="95">
        <f t="shared" ref="B31" si="24">SUM(B32:B33)</f>
        <v>461800000</v>
      </c>
      <c r="C31" s="90">
        <f t="shared" ref="C31:D31" si="25">SUM(C32:C33)</f>
        <v>461800000</v>
      </c>
      <c r="D31" s="90">
        <f t="shared" si="25"/>
        <v>461800000</v>
      </c>
      <c r="E31" s="396">
        <f>D31-C31</f>
        <v>0</v>
      </c>
      <c r="F31" s="1191">
        <f t="shared" ref="F31" si="26">SUM(F32:F33)</f>
        <v>0</v>
      </c>
      <c r="G31" s="297"/>
      <c r="H31" s="297"/>
      <c r="I31" s="396">
        <f>G31-F31</f>
        <v>0</v>
      </c>
      <c r="J31" s="297"/>
      <c r="K31" s="297"/>
      <c r="L31" s="297"/>
      <c r="M31" s="396"/>
      <c r="N31" s="409">
        <f t="shared" si="20"/>
        <v>461800000</v>
      </c>
      <c r="O31" s="90">
        <f t="shared" si="21"/>
        <v>461800000</v>
      </c>
      <c r="P31" s="90">
        <f t="shared" si="22"/>
        <v>461800000</v>
      </c>
      <c r="Q31" s="396">
        <f t="shared" si="23"/>
        <v>0</v>
      </c>
      <c r="R31" s="14"/>
    </row>
    <row r="32" spans="1:18" s="20" customFormat="1" x14ac:dyDescent="0.25">
      <c r="A32" s="1264" t="s">
        <v>463</v>
      </c>
      <c r="B32" s="95">
        <v>438000000</v>
      </c>
      <c r="C32" s="90">
        <v>438000000</v>
      </c>
      <c r="D32" s="90">
        <v>438000000</v>
      </c>
      <c r="E32" s="396">
        <f t="shared" ref="E32:E58" si="27">D32-C32</f>
        <v>0</v>
      </c>
      <c r="F32" s="1191"/>
      <c r="G32" s="587"/>
      <c r="H32" s="587"/>
      <c r="I32" s="396"/>
      <c r="J32" s="297"/>
      <c r="K32" s="587"/>
      <c r="L32" s="587"/>
      <c r="M32" s="396"/>
      <c r="N32" s="409">
        <f t="shared" si="20"/>
        <v>438000000</v>
      </c>
      <c r="O32" s="90">
        <f t="shared" si="21"/>
        <v>438000000</v>
      </c>
      <c r="P32" s="90">
        <f t="shared" si="22"/>
        <v>438000000</v>
      </c>
      <c r="Q32" s="396">
        <f t="shared" si="23"/>
        <v>0</v>
      </c>
      <c r="R32" s="14"/>
    </row>
    <row r="33" spans="1:18" s="20" customFormat="1" x14ac:dyDescent="0.25">
      <c r="A33" s="1264" t="s">
        <v>464</v>
      </c>
      <c r="B33" s="95">
        <v>23800000</v>
      </c>
      <c r="C33" s="90">
        <v>23800000</v>
      </c>
      <c r="D33" s="90">
        <v>23800000</v>
      </c>
      <c r="E33" s="396">
        <f t="shared" si="27"/>
        <v>0</v>
      </c>
      <c r="F33" s="1191"/>
      <c r="G33" s="587"/>
      <c r="H33" s="587"/>
      <c r="I33" s="396"/>
      <c r="J33" s="297"/>
      <c r="K33" s="587"/>
      <c r="L33" s="587"/>
      <c r="M33" s="396"/>
      <c r="N33" s="409">
        <f t="shared" si="20"/>
        <v>23800000</v>
      </c>
      <c r="O33" s="90">
        <f t="shared" si="21"/>
        <v>23800000</v>
      </c>
      <c r="P33" s="90">
        <f t="shared" si="22"/>
        <v>23800000</v>
      </c>
      <c r="Q33" s="396">
        <f t="shared" si="23"/>
        <v>0</v>
      </c>
      <c r="R33" s="14"/>
    </row>
    <row r="34" spans="1:18" s="20" customFormat="1" ht="27" customHeight="1" x14ac:dyDescent="0.25">
      <c r="A34" s="1263" t="s">
        <v>465</v>
      </c>
      <c r="B34" s="95">
        <f>B35+B37+B38</f>
        <v>1396000000</v>
      </c>
      <c r="C34" s="90">
        <f>C35+C37+C38</f>
        <v>1396000000</v>
      </c>
      <c r="D34" s="90">
        <f>D35+D37+D38</f>
        <v>1396000000</v>
      </c>
      <c r="E34" s="396">
        <f t="shared" si="27"/>
        <v>0</v>
      </c>
      <c r="F34" s="1191"/>
      <c r="G34" s="297"/>
      <c r="H34" s="297"/>
      <c r="I34" s="396"/>
      <c r="J34" s="297"/>
      <c r="K34" s="297"/>
      <c r="L34" s="297"/>
      <c r="M34" s="396"/>
      <c r="N34" s="409">
        <f t="shared" si="20"/>
        <v>1396000000</v>
      </c>
      <c r="O34" s="90">
        <f t="shared" si="21"/>
        <v>1396000000</v>
      </c>
      <c r="P34" s="90">
        <f t="shared" si="22"/>
        <v>1396000000</v>
      </c>
      <c r="Q34" s="396">
        <f t="shared" si="23"/>
        <v>0</v>
      </c>
      <c r="R34" s="14"/>
    </row>
    <row r="35" spans="1:18" s="20" customFormat="1" ht="25.5" customHeight="1" x14ac:dyDescent="0.25">
      <c r="A35" s="1263" t="s">
        <v>466</v>
      </c>
      <c r="B35" s="95">
        <f>SUM(B36)</f>
        <v>940000000</v>
      </c>
      <c r="C35" s="90">
        <f>SUM(C36)</f>
        <v>940000000</v>
      </c>
      <c r="D35" s="90">
        <f>SUM(D36)</f>
        <v>940000000</v>
      </c>
      <c r="E35" s="396">
        <f t="shared" si="27"/>
        <v>0</v>
      </c>
      <c r="F35" s="1191"/>
      <c r="G35" s="587"/>
      <c r="H35" s="587"/>
      <c r="I35" s="396"/>
      <c r="J35" s="297"/>
      <c r="K35" s="587"/>
      <c r="L35" s="587"/>
      <c r="M35" s="396"/>
      <c r="N35" s="409">
        <f t="shared" si="20"/>
        <v>940000000</v>
      </c>
      <c r="O35" s="90">
        <f t="shared" si="21"/>
        <v>940000000</v>
      </c>
      <c r="P35" s="90">
        <f t="shared" si="22"/>
        <v>940000000</v>
      </c>
      <c r="Q35" s="396">
        <f t="shared" si="23"/>
        <v>0</v>
      </c>
      <c r="R35" s="14"/>
    </row>
    <row r="36" spans="1:18" s="20" customFormat="1" x14ac:dyDescent="0.25">
      <c r="A36" s="1263" t="s">
        <v>467</v>
      </c>
      <c r="B36" s="95">
        <v>940000000</v>
      </c>
      <c r="C36" s="90">
        <v>940000000</v>
      </c>
      <c r="D36" s="90">
        <v>940000000</v>
      </c>
      <c r="E36" s="396">
        <f t="shared" si="27"/>
        <v>0</v>
      </c>
      <c r="F36" s="1191"/>
      <c r="G36" s="587"/>
      <c r="H36" s="587"/>
      <c r="I36" s="396"/>
      <c r="J36" s="297"/>
      <c r="K36" s="587"/>
      <c r="L36" s="587"/>
      <c r="M36" s="396"/>
      <c r="N36" s="409">
        <f t="shared" si="20"/>
        <v>940000000</v>
      </c>
      <c r="O36" s="90">
        <f t="shared" si="21"/>
        <v>940000000</v>
      </c>
      <c r="P36" s="90">
        <f t="shared" si="22"/>
        <v>940000000</v>
      </c>
      <c r="Q36" s="396">
        <f t="shared" si="23"/>
        <v>0</v>
      </c>
      <c r="R36" s="14"/>
    </row>
    <row r="37" spans="1:18" s="20" customFormat="1" x14ac:dyDescent="0.25">
      <c r="A37" s="1263" t="s">
        <v>468</v>
      </c>
      <c r="B37" s="95">
        <v>56000000</v>
      </c>
      <c r="C37" s="90">
        <v>56000000</v>
      </c>
      <c r="D37" s="90">
        <v>56000000</v>
      </c>
      <c r="E37" s="396">
        <f t="shared" si="27"/>
        <v>0</v>
      </c>
      <c r="F37" s="1191"/>
      <c r="G37" s="587"/>
      <c r="H37" s="587"/>
      <c r="I37" s="396"/>
      <c r="J37" s="297"/>
      <c r="K37" s="587"/>
      <c r="L37" s="587"/>
      <c r="M37" s="396"/>
      <c r="N37" s="409">
        <f t="shared" si="20"/>
        <v>56000000</v>
      </c>
      <c r="O37" s="90">
        <f t="shared" si="21"/>
        <v>56000000</v>
      </c>
      <c r="P37" s="90">
        <f t="shared" si="22"/>
        <v>56000000</v>
      </c>
      <c r="Q37" s="396">
        <f t="shared" si="23"/>
        <v>0</v>
      </c>
      <c r="R37" s="14"/>
    </row>
    <row r="38" spans="1:18" s="20" customFormat="1" ht="26.4" x14ac:dyDescent="0.25">
      <c r="A38" s="1263" t="s">
        <v>469</v>
      </c>
      <c r="B38" s="95">
        <f>SUM(B39:B41)</f>
        <v>400000000</v>
      </c>
      <c r="C38" s="90">
        <f>SUM(C39:C41)</f>
        <v>400000000</v>
      </c>
      <c r="D38" s="90">
        <f>SUM(D39:D41)</f>
        <v>400000000</v>
      </c>
      <c r="E38" s="396">
        <f t="shared" si="27"/>
        <v>0</v>
      </c>
      <c r="F38" s="1191"/>
      <c r="G38" s="297"/>
      <c r="H38" s="297"/>
      <c r="I38" s="396"/>
      <c r="J38" s="297"/>
      <c r="K38" s="297"/>
      <c r="L38" s="297"/>
      <c r="M38" s="396"/>
      <c r="N38" s="409">
        <f t="shared" si="20"/>
        <v>400000000</v>
      </c>
      <c r="O38" s="90">
        <f t="shared" si="21"/>
        <v>400000000</v>
      </c>
      <c r="P38" s="90">
        <f t="shared" si="22"/>
        <v>400000000</v>
      </c>
      <c r="Q38" s="396">
        <f t="shared" si="23"/>
        <v>0</v>
      </c>
      <c r="R38" s="14"/>
    </row>
    <row r="39" spans="1:18" s="20" customFormat="1" x14ac:dyDescent="0.25">
      <c r="A39" s="1263" t="s">
        <v>470</v>
      </c>
      <c r="B39" s="95">
        <v>400000000</v>
      </c>
      <c r="C39" s="90">
        <v>400000000</v>
      </c>
      <c r="D39" s="90">
        <v>400000000</v>
      </c>
      <c r="E39" s="396">
        <f t="shared" si="27"/>
        <v>0</v>
      </c>
      <c r="F39" s="1191"/>
      <c r="G39" s="587"/>
      <c r="H39" s="587"/>
      <c r="I39" s="396"/>
      <c r="J39" s="297"/>
      <c r="K39" s="587"/>
      <c r="L39" s="587"/>
      <c r="M39" s="396"/>
      <c r="N39" s="409">
        <f t="shared" si="20"/>
        <v>400000000</v>
      </c>
      <c r="O39" s="90">
        <f t="shared" si="21"/>
        <v>400000000</v>
      </c>
      <c r="P39" s="90">
        <f t="shared" si="22"/>
        <v>400000000</v>
      </c>
      <c r="Q39" s="396">
        <f t="shared" si="23"/>
        <v>0</v>
      </c>
      <c r="R39" s="14"/>
    </row>
    <row r="40" spans="1:18" s="20" customFormat="1" x14ac:dyDescent="0.25">
      <c r="A40" s="1263" t="s">
        <v>471</v>
      </c>
      <c r="B40" s="95"/>
      <c r="C40" s="90"/>
      <c r="D40" s="90"/>
      <c r="E40" s="396">
        <f t="shared" si="27"/>
        <v>0</v>
      </c>
      <c r="F40" s="1191"/>
      <c r="G40" s="587"/>
      <c r="H40" s="587"/>
      <c r="I40" s="396"/>
      <c r="J40" s="297"/>
      <c r="K40" s="587"/>
      <c r="L40" s="587"/>
      <c r="M40" s="396"/>
      <c r="N40" s="409">
        <f t="shared" si="20"/>
        <v>0</v>
      </c>
      <c r="O40" s="90">
        <f t="shared" si="21"/>
        <v>0</v>
      </c>
      <c r="P40" s="90">
        <f t="shared" si="22"/>
        <v>0</v>
      </c>
      <c r="Q40" s="396">
        <f t="shared" si="23"/>
        <v>0</v>
      </c>
      <c r="R40" s="14"/>
    </row>
    <row r="41" spans="1:18" s="20" customFormat="1" x14ac:dyDescent="0.25">
      <c r="A41" s="1263" t="s">
        <v>330</v>
      </c>
      <c r="B41" s="95"/>
      <c r="C41" s="90"/>
      <c r="D41" s="90"/>
      <c r="E41" s="396">
        <f t="shared" si="27"/>
        <v>0</v>
      </c>
      <c r="F41" s="1191"/>
      <c r="G41" s="587"/>
      <c r="H41" s="587"/>
      <c r="I41" s="396"/>
      <c r="J41" s="297"/>
      <c r="K41" s="587"/>
      <c r="L41" s="587"/>
      <c r="M41" s="396"/>
      <c r="N41" s="409">
        <f t="shared" si="20"/>
        <v>0</v>
      </c>
      <c r="O41" s="90">
        <f t="shared" si="21"/>
        <v>0</v>
      </c>
      <c r="P41" s="90">
        <f t="shared" si="22"/>
        <v>0</v>
      </c>
      <c r="Q41" s="396">
        <f t="shared" si="23"/>
        <v>0</v>
      </c>
      <c r="R41" s="14"/>
    </row>
    <row r="42" spans="1:18" s="20" customFormat="1" ht="39.6" x14ac:dyDescent="0.25">
      <c r="A42" s="1263" t="s">
        <v>579</v>
      </c>
      <c r="B42" s="95">
        <v>5900000</v>
      </c>
      <c r="C42" s="90">
        <v>5900000</v>
      </c>
      <c r="D42" s="90">
        <v>5900000</v>
      </c>
      <c r="E42" s="396">
        <f t="shared" si="27"/>
        <v>0</v>
      </c>
      <c r="F42" s="1192">
        <f>'2.a tábla ÚJ '!S20</f>
        <v>500000</v>
      </c>
      <c r="G42" s="90">
        <f>'2.a tábla ÚJ '!T20</f>
        <v>500000</v>
      </c>
      <c r="H42" s="90">
        <f>'2.a tábla ÚJ '!U20</f>
        <v>500000</v>
      </c>
      <c r="I42" s="396">
        <f>H42-G42</f>
        <v>0</v>
      </c>
      <c r="J42" s="297"/>
      <c r="K42" s="587"/>
      <c r="L42" s="587"/>
      <c r="M42" s="396">
        <f>K42-J42</f>
        <v>0</v>
      </c>
      <c r="N42" s="409">
        <f t="shared" si="20"/>
        <v>6400000</v>
      </c>
      <c r="O42" s="90">
        <f t="shared" si="21"/>
        <v>6400000</v>
      </c>
      <c r="P42" s="90">
        <f t="shared" si="22"/>
        <v>6400000</v>
      </c>
      <c r="Q42" s="396">
        <f t="shared" si="23"/>
        <v>0</v>
      </c>
      <c r="R42" s="14"/>
    </row>
    <row r="43" spans="1:18" s="24" customFormat="1" ht="25.5" customHeight="1" x14ac:dyDescent="0.25">
      <c r="A43" s="1265" t="s">
        <v>413</v>
      </c>
      <c r="B43" s="94">
        <f t="shared" ref="B43:D43" si="28">B44+B45+B47+B48+B51+B52+B53+B54+B57+B55+B56</f>
        <v>760976989</v>
      </c>
      <c r="C43" s="89">
        <f t="shared" ref="C43" si="29">C44+C45+C47+C48+C51+C52+C53+C54+C57+C55+C56</f>
        <v>774928643</v>
      </c>
      <c r="D43" s="89">
        <f t="shared" si="28"/>
        <v>776697720</v>
      </c>
      <c r="E43" s="395">
        <f t="shared" si="27"/>
        <v>1769077</v>
      </c>
      <c r="F43" s="1193">
        <f t="shared" ref="F43:G43" si="30">F44+F45+F47+F48+F51+F52+F53+F54+F57+F55+F56</f>
        <v>33220024</v>
      </c>
      <c r="G43" s="89">
        <f t="shared" si="30"/>
        <v>33220024</v>
      </c>
      <c r="H43" s="89">
        <f t="shared" ref="H43:L43" si="31">H44+H45+H47+H48+H51+H52+H53+H54+H57+H55+H56</f>
        <v>33220024</v>
      </c>
      <c r="I43" s="396">
        <f t="shared" ref="I43:I52" si="32">H43-G43</f>
        <v>0</v>
      </c>
      <c r="J43" s="298">
        <f t="shared" ref="J43:K43" si="33">J44+J45+J47+J48+J51+J52+J53+J54+J57+J55+J56</f>
        <v>45375751</v>
      </c>
      <c r="K43" s="89">
        <f t="shared" si="33"/>
        <v>44875751</v>
      </c>
      <c r="L43" s="89">
        <f t="shared" si="31"/>
        <v>44675751</v>
      </c>
      <c r="M43" s="395">
        <f>L43-K43</f>
        <v>-200000</v>
      </c>
      <c r="N43" s="583">
        <f t="shared" si="20"/>
        <v>839572764</v>
      </c>
      <c r="O43" s="89">
        <f t="shared" si="21"/>
        <v>853024418</v>
      </c>
      <c r="P43" s="89">
        <f t="shared" si="22"/>
        <v>854593495</v>
      </c>
      <c r="Q43" s="395">
        <f t="shared" si="23"/>
        <v>1569077</v>
      </c>
      <c r="R43" s="360"/>
    </row>
    <row r="44" spans="1:18" s="25" customFormat="1" ht="25.5" customHeight="1" x14ac:dyDescent="0.25">
      <c r="A44" s="1264" t="s">
        <v>390</v>
      </c>
      <c r="B44" s="95"/>
      <c r="C44" s="297"/>
      <c r="D44" s="297"/>
      <c r="E44" s="395">
        <f t="shared" si="27"/>
        <v>0</v>
      </c>
      <c r="F44" s="1192"/>
      <c r="G44" s="587"/>
      <c r="H44" s="587"/>
      <c r="I44" s="396">
        <f t="shared" si="32"/>
        <v>0</v>
      </c>
      <c r="J44" s="587"/>
      <c r="K44" s="587"/>
      <c r="L44" s="587"/>
      <c r="M44" s="396"/>
      <c r="N44" s="409">
        <f t="shared" si="20"/>
        <v>0</v>
      </c>
      <c r="O44" s="90">
        <f t="shared" si="21"/>
        <v>0</v>
      </c>
      <c r="P44" s="90">
        <f t="shared" si="22"/>
        <v>0</v>
      </c>
      <c r="Q44" s="396">
        <f t="shared" si="23"/>
        <v>0</v>
      </c>
      <c r="R44" s="361"/>
    </row>
    <row r="45" spans="1:18" s="26" customFormat="1" ht="22.65" customHeight="1" x14ac:dyDescent="0.25">
      <c r="A45" s="1264" t="s">
        <v>391</v>
      </c>
      <c r="B45" s="95">
        <v>358868508</v>
      </c>
      <c r="C45" s="90">
        <v>358868508</v>
      </c>
      <c r="D45" s="90">
        <v>358868508</v>
      </c>
      <c r="E45" s="396">
        <f t="shared" si="27"/>
        <v>0</v>
      </c>
      <c r="F45" s="1192">
        <f>'2.a tábla ÚJ '!S23</f>
        <v>21200000</v>
      </c>
      <c r="G45" s="90">
        <f>'2.a tábla ÚJ '!T23</f>
        <v>21200000</v>
      </c>
      <c r="H45" s="90">
        <f>'2.a tábla ÚJ '!U23</f>
        <v>21200000</v>
      </c>
      <c r="I45" s="396">
        <f t="shared" si="32"/>
        <v>0</v>
      </c>
      <c r="J45" s="297">
        <f>'2.a tábla ÚJ '!N23</f>
        <v>42741000</v>
      </c>
      <c r="K45" s="297">
        <f>'2.a tábla ÚJ '!O23</f>
        <v>42347300</v>
      </c>
      <c r="L45" s="297">
        <f>'2.a tábla ÚJ '!P23</f>
        <v>42189820</v>
      </c>
      <c r="M45" s="396">
        <f>L45-K45</f>
        <v>-157480</v>
      </c>
      <c r="N45" s="409">
        <f t="shared" si="20"/>
        <v>422809508</v>
      </c>
      <c r="O45" s="90">
        <f t="shared" si="21"/>
        <v>422415808</v>
      </c>
      <c r="P45" s="90">
        <f t="shared" si="22"/>
        <v>422258328</v>
      </c>
      <c r="Q45" s="396">
        <f t="shared" si="23"/>
        <v>-157480</v>
      </c>
      <c r="R45" s="362"/>
    </row>
    <row r="46" spans="1:18" s="26" customFormat="1" ht="22.65" customHeight="1" x14ac:dyDescent="0.25">
      <c r="A46" s="1264" t="s">
        <v>254</v>
      </c>
      <c r="B46" s="95">
        <v>358868508</v>
      </c>
      <c r="C46" s="90">
        <v>358868508</v>
      </c>
      <c r="D46" s="90">
        <v>358868508</v>
      </c>
      <c r="E46" s="396">
        <f t="shared" si="27"/>
        <v>0</v>
      </c>
      <c r="F46" s="1192">
        <f>'2.a tábla ÚJ '!S24</f>
        <v>7500000</v>
      </c>
      <c r="G46" s="90">
        <f>'2.a tábla ÚJ '!T24</f>
        <v>7500000</v>
      </c>
      <c r="H46" s="90">
        <f>'2.a tábla ÚJ '!U24</f>
        <v>7500000</v>
      </c>
      <c r="I46" s="396">
        <f t="shared" si="32"/>
        <v>0</v>
      </c>
      <c r="J46" s="297"/>
      <c r="K46" s="297"/>
      <c r="L46" s="297"/>
      <c r="M46" s="396">
        <f t="shared" ref="M46:M61" si="34">L46-K46</f>
        <v>0</v>
      </c>
      <c r="N46" s="409">
        <f t="shared" si="20"/>
        <v>366368508</v>
      </c>
      <c r="O46" s="90">
        <f t="shared" si="21"/>
        <v>366368508</v>
      </c>
      <c r="P46" s="90">
        <f t="shared" si="22"/>
        <v>366368508</v>
      </c>
      <c r="Q46" s="396">
        <f t="shared" si="23"/>
        <v>0</v>
      </c>
      <c r="R46" s="362"/>
    </row>
    <row r="47" spans="1:18" s="26" customFormat="1" ht="24.75" customHeight="1" x14ac:dyDescent="0.25">
      <c r="A47" s="1263" t="s">
        <v>474</v>
      </c>
      <c r="B47" s="95">
        <v>4700000</v>
      </c>
      <c r="C47" s="90">
        <v>4700000</v>
      </c>
      <c r="D47" s="90">
        <v>4700000</v>
      </c>
      <c r="E47" s="396">
        <f t="shared" si="27"/>
        <v>0</v>
      </c>
      <c r="F47" s="1192">
        <f>'2.a tábla ÚJ '!S25</f>
        <v>4957499</v>
      </c>
      <c r="G47" s="90">
        <f>'2.a tábla ÚJ '!T25</f>
        <v>4957499</v>
      </c>
      <c r="H47" s="90">
        <f>'2.a tábla ÚJ '!U25</f>
        <v>4957499</v>
      </c>
      <c r="I47" s="396">
        <f t="shared" si="32"/>
        <v>0</v>
      </c>
      <c r="J47" s="297">
        <f>'2.a tábla ÚJ '!N25</f>
        <v>228346</v>
      </c>
      <c r="K47" s="297">
        <f>'2.a tábla ÚJ '!O25</f>
        <v>228346</v>
      </c>
      <c r="L47" s="297">
        <f>'2.a tábla ÚJ '!P25</f>
        <v>228346</v>
      </c>
      <c r="M47" s="396">
        <f t="shared" si="34"/>
        <v>0</v>
      </c>
      <c r="N47" s="409">
        <f t="shared" si="20"/>
        <v>9885845</v>
      </c>
      <c r="O47" s="90">
        <f t="shared" si="21"/>
        <v>9885845</v>
      </c>
      <c r="P47" s="90">
        <f t="shared" si="22"/>
        <v>9885845</v>
      </c>
      <c r="Q47" s="396">
        <f t="shared" si="23"/>
        <v>0</v>
      </c>
      <c r="R47" s="362"/>
    </row>
    <row r="48" spans="1:18" s="26" customFormat="1" ht="22.65" customHeight="1" x14ac:dyDescent="0.25">
      <c r="A48" s="1263" t="s">
        <v>475</v>
      </c>
      <c r="B48" s="95">
        <f>SUM(B49:B50)</f>
        <v>22661346</v>
      </c>
      <c r="C48" s="90">
        <f>SUM(C49:C50)</f>
        <v>22661346</v>
      </c>
      <c r="D48" s="90">
        <f>SUM(D49:D50)</f>
        <v>22661346</v>
      </c>
      <c r="E48" s="396">
        <f t="shared" si="27"/>
        <v>0</v>
      </c>
      <c r="F48" s="1192"/>
      <c r="G48" s="297"/>
      <c r="H48" s="297"/>
      <c r="I48" s="396"/>
      <c r="J48" s="297">
        <f>'[3]2.a tábla ÚJ '!K24</f>
        <v>0</v>
      </c>
      <c r="K48" s="297">
        <f>'[3]2.a tábla ÚJ '!L24</f>
        <v>0</v>
      </c>
      <c r="L48" s="297">
        <f>'[3]2.a tábla ÚJ '!M24</f>
        <v>0</v>
      </c>
      <c r="M48" s="396">
        <f t="shared" si="34"/>
        <v>0</v>
      </c>
      <c r="N48" s="409">
        <f t="shared" si="20"/>
        <v>22661346</v>
      </c>
      <c r="O48" s="90">
        <f t="shared" si="21"/>
        <v>22661346</v>
      </c>
      <c r="P48" s="90">
        <f t="shared" si="22"/>
        <v>22661346</v>
      </c>
      <c r="Q48" s="396">
        <f t="shared" si="23"/>
        <v>0</v>
      </c>
      <c r="R48" s="362"/>
    </row>
    <row r="49" spans="1:18" s="26" customFormat="1" ht="20.25" customHeight="1" x14ac:dyDescent="0.25">
      <c r="A49" s="1266" t="s">
        <v>388</v>
      </c>
      <c r="B49" s="95">
        <v>6661346</v>
      </c>
      <c r="C49" s="90">
        <v>6661346</v>
      </c>
      <c r="D49" s="90">
        <v>6661346</v>
      </c>
      <c r="E49" s="396">
        <f t="shared" si="27"/>
        <v>0</v>
      </c>
      <c r="F49" s="1192"/>
      <c r="G49" s="297"/>
      <c r="H49" s="297"/>
      <c r="I49" s="396"/>
      <c r="J49" s="297"/>
      <c r="K49" s="297"/>
      <c r="L49" s="297"/>
      <c r="M49" s="396">
        <f t="shared" si="34"/>
        <v>0</v>
      </c>
      <c r="N49" s="409">
        <f t="shared" si="20"/>
        <v>6661346</v>
      </c>
      <c r="O49" s="90">
        <f t="shared" si="21"/>
        <v>6661346</v>
      </c>
      <c r="P49" s="90">
        <f t="shared" si="22"/>
        <v>6661346</v>
      </c>
      <c r="Q49" s="396">
        <f t="shared" si="23"/>
        <v>0</v>
      </c>
      <c r="R49" s="362"/>
    </row>
    <row r="50" spans="1:18" s="26" customFormat="1" ht="24.75" customHeight="1" x14ac:dyDescent="0.25">
      <c r="A50" s="1266" t="s">
        <v>476</v>
      </c>
      <c r="B50" s="95">
        <v>16000000</v>
      </c>
      <c r="C50" s="90">
        <v>16000000</v>
      </c>
      <c r="D50" s="90">
        <v>16000000</v>
      </c>
      <c r="E50" s="396">
        <f t="shared" si="27"/>
        <v>0</v>
      </c>
      <c r="F50" s="1192"/>
      <c r="G50" s="297"/>
      <c r="H50" s="297"/>
      <c r="I50" s="396"/>
      <c r="J50" s="297">
        <f>'[3]2.a tábla ÚJ '!K26</f>
        <v>0</v>
      </c>
      <c r="K50" s="297">
        <f>'[3]2.a tábla ÚJ '!L26</f>
        <v>0</v>
      </c>
      <c r="L50" s="297">
        <f>'[3]2.a tábla ÚJ '!M26</f>
        <v>0</v>
      </c>
      <c r="M50" s="396">
        <f t="shared" si="34"/>
        <v>0</v>
      </c>
      <c r="N50" s="409">
        <f t="shared" si="20"/>
        <v>16000000</v>
      </c>
      <c r="O50" s="90">
        <f t="shared" si="21"/>
        <v>16000000</v>
      </c>
      <c r="P50" s="90">
        <f t="shared" si="22"/>
        <v>16000000</v>
      </c>
      <c r="Q50" s="396">
        <f t="shared" si="23"/>
        <v>0</v>
      </c>
      <c r="R50" s="362"/>
    </row>
    <row r="51" spans="1:18" s="26" customFormat="1" ht="19.5" customHeight="1" x14ac:dyDescent="0.25">
      <c r="A51" s="1266" t="s">
        <v>477</v>
      </c>
      <c r="B51" s="95">
        <v>36196776</v>
      </c>
      <c r="C51" s="90">
        <v>36196776</v>
      </c>
      <c r="D51" s="90">
        <v>36196776</v>
      </c>
      <c r="E51" s="396">
        <f t="shared" si="27"/>
        <v>0</v>
      </c>
      <c r="F51" s="1192"/>
      <c r="G51" s="297"/>
      <c r="H51" s="297"/>
      <c r="I51" s="396"/>
      <c r="J51" s="297">
        <f>'2.a tábla ÚJ '!N27</f>
        <v>854922</v>
      </c>
      <c r="K51" s="297">
        <f>'2.a tábla ÚJ '!O27</f>
        <v>854922</v>
      </c>
      <c r="L51" s="297">
        <f>'2.a tábla ÚJ '!P27</f>
        <v>854922</v>
      </c>
      <c r="M51" s="396">
        <f t="shared" si="34"/>
        <v>0</v>
      </c>
      <c r="N51" s="409">
        <f t="shared" si="20"/>
        <v>37051698</v>
      </c>
      <c r="O51" s="90">
        <f t="shared" si="21"/>
        <v>37051698</v>
      </c>
      <c r="P51" s="90">
        <f t="shared" si="22"/>
        <v>37051698</v>
      </c>
      <c r="Q51" s="396">
        <f t="shared" si="23"/>
        <v>0</v>
      </c>
      <c r="R51" s="362"/>
    </row>
    <row r="52" spans="1:18" s="26" customFormat="1" ht="22.65" customHeight="1" x14ac:dyDescent="0.25">
      <c r="A52" s="1264" t="s">
        <v>478</v>
      </c>
      <c r="B52" s="95">
        <v>121355776</v>
      </c>
      <c r="C52" s="90">
        <v>124255198</v>
      </c>
      <c r="D52" s="90">
        <v>124255198</v>
      </c>
      <c r="E52" s="396">
        <f t="shared" si="27"/>
        <v>0</v>
      </c>
      <c r="F52" s="1192">
        <f>'2.a tábla ÚJ '!S28</f>
        <v>7062525</v>
      </c>
      <c r="G52" s="90">
        <f>'2.a tábla ÚJ '!T28</f>
        <v>7062525</v>
      </c>
      <c r="H52" s="90">
        <f>'2.a tábla ÚJ '!U28</f>
        <v>7062525</v>
      </c>
      <c r="I52" s="396">
        <f t="shared" si="32"/>
        <v>0</v>
      </c>
      <c r="J52" s="297">
        <f>'2.a tábla ÚJ '!N28</f>
        <v>881483</v>
      </c>
      <c r="K52" s="297">
        <f>'2.a tábla ÚJ '!O28</f>
        <v>775183</v>
      </c>
      <c r="L52" s="297">
        <f>'2.a tábla ÚJ '!P28</f>
        <v>732663</v>
      </c>
      <c r="M52" s="396">
        <f t="shared" si="34"/>
        <v>-42520</v>
      </c>
      <c r="N52" s="409">
        <f t="shared" si="20"/>
        <v>129299784</v>
      </c>
      <c r="O52" s="90">
        <f t="shared" si="21"/>
        <v>132092906</v>
      </c>
      <c r="P52" s="90">
        <f t="shared" si="22"/>
        <v>132050386</v>
      </c>
      <c r="Q52" s="396">
        <f t="shared" si="23"/>
        <v>-42520</v>
      </c>
      <c r="R52" s="362"/>
    </row>
    <row r="53" spans="1:18" s="26" customFormat="1" ht="20.25" customHeight="1" x14ac:dyDescent="0.25">
      <c r="A53" s="1264" t="s">
        <v>479</v>
      </c>
      <c r="B53" s="95">
        <v>161635528</v>
      </c>
      <c r="C53" s="90">
        <v>161949160</v>
      </c>
      <c r="D53" s="90">
        <v>163718237</v>
      </c>
      <c r="E53" s="396">
        <f t="shared" si="27"/>
        <v>1769077</v>
      </c>
      <c r="F53" s="1192"/>
      <c r="G53" s="587"/>
      <c r="H53" s="587"/>
      <c r="I53" s="396"/>
      <c r="J53" s="297">
        <f>'2.a tábla ÚJ '!N29</f>
        <v>650000</v>
      </c>
      <c r="K53" s="297">
        <f>'2.a tábla ÚJ '!O29</f>
        <v>650000</v>
      </c>
      <c r="L53" s="297">
        <f>'2.a tábla ÚJ '!P29</f>
        <v>650000</v>
      </c>
      <c r="M53" s="396">
        <f t="shared" si="34"/>
        <v>0</v>
      </c>
      <c r="N53" s="409">
        <f t="shared" si="20"/>
        <v>162285528</v>
      </c>
      <c r="O53" s="90">
        <f t="shared" si="21"/>
        <v>162599160</v>
      </c>
      <c r="P53" s="90">
        <f t="shared" si="22"/>
        <v>164368237</v>
      </c>
      <c r="Q53" s="396">
        <f t="shared" si="23"/>
        <v>1769077</v>
      </c>
      <c r="R53" s="362"/>
    </row>
    <row r="54" spans="1:18" s="26" customFormat="1" ht="15" customHeight="1" x14ac:dyDescent="0.25">
      <c r="A54" s="1264" t="s">
        <v>480</v>
      </c>
      <c r="B54" s="95">
        <v>53000000</v>
      </c>
      <c r="C54" s="90">
        <v>53000000</v>
      </c>
      <c r="D54" s="90">
        <v>53000000</v>
      </c>
      <c r="E54" s="396">
        <f t="shared" si="27"/>
        <v>0</v>
      </c>
      <c r="F54" s="1191"/>
      <c r="G54" s="587"/>
      <c r="H54" s="587"/>
      <c r="I54" s="396"/>
      <c r="J54" s="297">
        <f>'[3]2.a tábla ÚJ '!K30</f>
        <v>0</v>
      </c>
      <c r="K54" s="297">
        <f>'2.a tábla ÚJ '!O30</f>
        <v>0</v>
      </c>
      <c r="L54" s="297">
        <f>'2.a tábla ÚJ '!P30</f>
        <v>0</v>
      </c>
      <c r="M54" s="396">
        <f t="shared" si="34"/>
        <v>0</v>
      </c>
      <c r="N54" s="409">
        <f t="shared" si="20"/>
        <v>53000000</v>
      </c>
      <c r="O54" s="90">
        <f t="shared" si="21"/>
        <v>53000000</v>
      </c>
      <c r="P54" s="90">
        <f t="shared" si="22"/>
        <v>53000000</v>
      </c>
      <c r="Q54" s="396">
        <f t="shared" si="23"/>
        <v>0</v>
      </c>
      <c r="R54" s="362"/>
    </row>
    <row r="55" spans="1:18" s="26" customFormat="1" ht="26.4" customHeight="1" x14ac:dyDescent="0.25">
      <c r="A55" s="1264" t="s">
        <v>394</v>
      </c>
      <c r="B55" s="95"/>
      <c r="C55" s="90"/>
      <c r="D55" s="90"/>
      <c r="E55" s="396">
        <f t="shared" si="27"/>
        <v>0</v>
      </c>
      <c r="F55" s="1191"/>
      <c r="G55" s="587"/>
      <c r="H55" s="587"/>
      <c r="I55" s="396"/>
      <c r="J55" s="297">
        <f>'[3]2.a tábla ÚJ '!K31</f>
        <v>0</v>
      </c>
      <c r="K55" s="297"/>
      <c r="L55" s="297"/>
      <c r="M55" s="396">
        <f t="shared" si="34"/>
        <v>0</v>
      </c>
      <c r="N55" s="409">
        <f t="shared" si="20"/>
        <v>0</v>
      </c>
      <c r="O55" s="90">
        <f t="shared" si="21"/>
        <v>0</v>
      </c>
      <c r="P55" s="90">
        <f t="shared" si="22"/>
        <v>0</v>
      </c>
      <c r="Q55" s="396">
        <f t="shared" si="23"/>
        <v>0</v>
      </c>
      <c r="R55" s="362"/>
    </row>
    <row r="56" spans="1:18" s="26" customFormat="1" ht="26.4" customHeight="1" x14ac:dyDescent="0.25">
      <c r="A56" s="1264" t="s">
        <v>392</v>
      </c>
      <c r="B56" s="95">
        <v>0</v>
      </c>
      <c r="C56" s="90">
        <v>0</v>
      </c>
      <c r="D56" s="90">
        <v>0</v>
      </c>
      <c r="E56" s="396">
        <f t="shared" si="27"/>
        <v>0</v>
      </c>
      <c r="F56" s="1191"/>
      <c r="G56" s="587"/>
      <c r="H56" s="587"/>
      <c r="I56" s="396"/>
      <c r="J56" s="297">
        <f>'[3]2.a tábla ÚJ '!K32</f>
        <v>0</v>
      </c>
      <c r="K56" s="297"/>
      <c r="L56" s="297"/>
      <c r="M56" s="396">
        <f t="shared" si="34"/>
        <v>0</v>
      </c>
      <c r="N56" s="409">
        <f t="shared" si="20"/>
        <v>0</v>
      </c>
      <c r="O56" s="90">
        <f t="shared" si="21"/>
        <v>0</v>
      </c>
      <c r="P56" s="90">
        <f t="shared" si="22"/>
        <v>0</v>
      </c>
      <c r="Q56" s="396">
        <f t="shared" si="23"/>
        <v>0</v>
      </c>
      <c r="R56" s="362"/>
    </row>
    <row r="57" spans="1:18" s="26" customFormat="1" ht="26.4" x14ac:dyDescent="0.25">
      <c r="A57" s="1266" t="s">
        <v>393</v>
      </c>
      <c r="B57" s="95">
        <v>2559055</v>
      </c>
      <c r="C57" s="90">
        <v>13297655</v>
      </c>
      <c r="D57" s="90">
        <v>13297655</v>
      </c>
      <c r="E57" s="396">
        <f t="shared" si="27"/>
        <v>0</v>
      </c>
      <c r="F57" s="1191"/>
      <c r="G57" s="587"/>
      <c r="H57" s="587"/>
      <c r="I57" s="396"/>
      <c r="J57" s="297">
        <f>'2.a tábla ÚJ '!N33</f>
        <v>20000</v>
      </c>
      <c r="K57" s="297">
        <f>'2.a tábla ÚJ '!O33</f>
        <v>20000</v>
      </c>
      <c r="L57" s="297">
        <f>'2.a tábla ÚJ '!P33</f>
        <v>20000</v>
      </c>
      <c r="M57" s="396">
        <f t="shared" si="34"/>
        <v>0</v>
      </c>
      <c r="N57" s="409">
        <f t="shared" si="20"/>
        <v>2579055</v>
      </c>
      <c r="O57" s="90">
        <f t="shared" si="21"/>
        <v>13317655</v>
      </c>
      <c r="P57" s="90">
        <f t="shared" si="22"/>
        <v>13317655</v>
      </c>
      <c r="Q57" s="396">
        <f t="shared" si="23"/>
        <v>0</v>
      </c>
      <c r="R57" s="362"/>
    </row>
    <row r="58" spans="1:18" s="24" customFormat="1" ht="25.5" customHeight="1" x14ac:dyDescent="0.25">
      <c r="A58" s="1265" t="s">
        <v>414</v>
      </c>
      <c r="B58" s="94">
        <f t="shared" ref="B58:D58" si="35">SUM(B59:B63)</f>
        <v>69288400</v>
      </c>
      <c r="C58" s="89">
        <f t="shared" ref="C58" si="36">SUM(C59:C63)</f>
        <v>100788400</v>
      </c>
      <c r="D58" s="89">
        <f t="shared" si="35"/>
        <v>100788400</v>
      </c>
      <c r="E58" s="395">
        <f t="shared" si="27"/>
        <v>0</v>
      </c>
      <c r="F58" s="1194">
        <f t="shared" ref="F58:G58" si="37">SUM(F59:F63)</f>
        <v>0</v>
      </c>
      <c r="G58" s="89">
        <f t="shared" si="37"/>
        <v>0</v>
      </c>
      <c r="H58" s="89">
        <f t="shared" ref="H58:Q58" si="38">SUM(H59:H63)</f>
        <v>0</v>
      </c>
      <c r="I58" s="395">
        <f t="shared" si="38"/>
        <v>0</v>
      </c>
      <c r="J58" s="298">
        <f t="shared" ref="J58:L58" si="39">SUM(J59:J63)</f>
        <v>0</v>
      </c>
      <c r="K58" s="298">
        <f t="shared" ref="K58" si="40">SUM(K59:K63)</f>
        <v>0</v>
      </c>
      <c r="L58" s="298">
        <f t="shared" si="39"/>
        <v>0</v>
      </c>
      <c r="M58" s="396">
        <f t="shared" si="34"/>
        <v>0</v>
      </c>
      <c r="N58" s="583">
        <f t="shared" si="38"/>
        <v>69288400</v>
      </c>
      <c r="O58" s="89">
        <f t="shared" si="38"/>
        <v>100788400</v>
      </c>
      <c r="P58" s="89">
        <f t="shared" si="38"/>
        <v>100788400</v>
      </c>
      <c r="Q58" s="395">
        <f t="shared" si="38"/>
        <v>0</v>
      </c>
      <c r="R58" s="360"/>
    </row>
    <row r="59" spans="1:18" s="24" customFormat="1" ht="27.75" customHeight="1" x14ac:dyDescent="0.25">
      <c r="A59" s="1263" t="s">
        <v>481</v>
      </c>
      <c r="B59" s="95"/>
      <c r="C59" s="297"/>
      <c r="D59" s="297"/>
      <c r="E59" s="396"/>
      <c r="F59" s="1195"/>
      <c r="G59" s="587"/>
      <c r="H59" s="587"/>
      <c r="I59" s="408"/>
      <c r="J59" s="587"/>
      <c r="K59" s="587"/>
      <c r="L59" s="587"/>
      <c r="M59" s="396">
        <f t="shared" si="34"/>
        <v>0</v>
      </c>
      <c r="N59" s="583"/>
      <c r="O59" s="298"/>
      <c r="P59" s="298"/>
      <c r="Q59" s="395"/>
      <c r="R59" s="360"/>
    </row>
    <row r="60" spans="1:18" s="26" customFormat="1" ht="14.25" customHeight="1" x14ac:dyDescent="0.25">
      <c r="A60" s="1263" t="s">
        <v>482</v>
      </c>
      <c r="B60" s="95">
        <v>69288400</v>
      </c>
      <c r="C60" s="297">
        <v>100788400</v>
      </c>
      <c r="D60" s="297">
        <v>100788400</v>
      </c>
      <c r="E60" s="396">
        <f>D60-C60</f>
        <v>0</v>
      </c>
      <c r="F60" s="1195"/>
      <c r="G60" s="587"/>
      <c r="H60" s="587"/>
      <c r="I60" s="408"/>
      <c r="J60" s="587"/>
      <c r="K60" s="587"/>
      <c r="L60" s="587"/>
      <c r="M60" s="396">
        <f t="shared" si="34"/>
        <v>0</v>
      </c>
      <c r="N60" s="409">
        <f t="shared" ref="N60:P63" si="41">B60+J60+F60</f>
        <v>69288400</v>
      </c>
      <c r="O60" s="90">
        <f t="shared" si="41"/>
        <v>100788400</v>
      </c>
      <c r="P60" s="90">
        <f t="shared" si="41"/>
        <v>100788400</v>
      </c>
      <c r="Q60" s="396">
        <f t="shared" ref="Q60:Q61" si="42">E60+M60+I60</f>
        <v>0</v>
      </c>
      <c r="R60" s="362"/>
    </row>
    <row r="61" spans="1:18" s="26" customFormat="1" ht="27" customHeight="1" x14ac:dyDescent="0.25">
      <c r="A61" s="1267" t="s">
        <v>483</v>
      </c>
      <c r="B61" s="95"/>
      <c r="C61" s="297"/>
      <c r="D61" s="297"/>
      <c r="E61" s="396"/>
      <c r="F61" s="1196">
        <f>'2.a tábla ÚJ '!S37</f>
        <v>0</v>
      </c>
      <c r="G61" s="588">
        <f>'2.a tábla ÚJ '!T37</f>
        <v>0</v>
      </c>
      <c r="H61" s="588">
        <f>'2.a tábla ÚJ '!U37</f>
        <v>0</v>
      </c>
      <c r="I61" s="396">
        <f>H61-G61</f>
        <v>0</v>
      </c>
      <c r="J61" s="587">
        <f>'2.a tábla ÚJ '!N37</f>
        <v>0</v>
      </c>
      <c r="K61" s="587">
        <f>'2.a tábla ÚJ '!O37</f>
        <v>0</v>
      </c>
      <c r="L61" s="587">
        <f>'2.a tábla ÚJ '!P37</f>
        <v>0</v>
      </c>
      <c r="M61" s="396">
        <f t="shared" si="34"/>
        <v>0</v>
      </c>
      <c r="N61" s="409">
        <f t="shared" si="41"/>
        <v>0</v>
      </c>
      <c r="O61" s="90">
        <f t="shared" si="41"/>
        <v>0</v>
      </c>
      <c r="P61" s="90">
        <f t="shared" si="41"/>
        <v>0</v>
      </c>
      <c r="Q61" s="396">
        <f t="shared" si="42"/>
        <v>0</v>
      </c>
      <c r="R61" s="362"/>
    </row>
    <row r="62" spans="1:18" s="26" customFormat="1" ht="23.25" customHeight="1" x14ac:dyDescent="0.25">
      <c r="A62" s="1263" t="s">
        <v>484</v>
      </c>
      <c r="B62" s="95"/>
      <c r="C62" s="297"/>
      <c r="D62" s="297"/>
      <c r="E62" s="396"/>
      <c r="F62" s="1191"/>
      <c r="G62" s="587"/>
      <c r="H62" s="587"/>
      <c r="I62" s="396"/>
      <c r="J62" s="297"/>
      <c r="K62" s="587"/>
      <c r="L62" s="587"/>
      <c r="M62" s="396"/>
      <c r="N62" s="409">
        <f t="shared" si="41"/>
        <v>0</v>
      </c>
      <c r="O62" s="90">
        <f t="shared" si="41"/>
        <v>0</v>
      </c>
      <c r="P62" s="90">
        <f t="shared" si="41"/>
        <v>0</v>
      </c>
      <c r="Q62" s="396"/>
      <c r="R62" s="362"/>
    </row>
    <row r="63" spans="1:18" s="26" customFormat="1" ht="40.200000000000003" thickBot="1" x14ac:dyDescent="0.3">
      <c r="A63" s="1268" t="s">
        <v>485</v>
      </c>
      <c r="B63" s="962"/>
      <c r="C63" s="584"/>
      <c r="D63" s="584"/>
      <c r="E63" s="397"/>
      <c r="F63" s="1270"/>
      <c r="G63" s="1186"/>
      <c r="H63" s="1186"/>
      <c r="I63" s="397"/>
      <c r="J63" s="584"/>
      <c r="K63" s="1186"/>
      <c r="L63" s="1186"/>
      <c r="M63" s="397"/>
      <c r="N63" s="586">
        <f t="shared" si="41"/>
        <v>0</v>
      </c>
      <c r="O63" s="356">
        <f t="shared" si="41"/>
        <v>0</v>
      </c>
      <c r="P63" s="356">
        <f t="shared" si="41"/>
        <v>0</v>
      </c>
      <c r="Q63" s="397"/>
      <c r="R63" s="362"/>
    </row>
    <row r="64" spans="1:18" s="26" customFormat="1" ht="28.5" customHeight="1" thickBot="1" x14ac:dyDescent="0.3">
      <c r="A64" s="934" t="s">
        <v>328</v>
      </c>
      <c r="B64" s="1358" t="s">
        <v>444</v>
      </c>
      <c r="C64" s="1359"/>
      <c r="D64" s="1359"/>
      <c r="E64" s="1360"/>
      <c r="F64" s="1358" t="s">
        <v>223</v>
      </c>
      <c r="G64" s="1359"/>
      <c r="H64" s="1359"/>
      <c r="I64" s="1360"/>
      <c r="J64" s="1361" t="s">
        <v>445</v>
      </c>
      <c r="K64" s="1362"/>
      <c r="L64" s="1362"/>
      <c r="M64" s="1363"/>
      <c r="N64" s="1361" t="s">
        <v>446</v>
      </c>
      <c r="O64" s="1362"/>
      <c r="P64" s="1362"/>
      <c r="Q64" s="1363"/>
      <c r="R64" s="362"/>
    </row>
    <row r="65" spans="1:20" s="26" customFormat="1" ht="47.25" customHeight="1" thickBot="1" x14ac:dyDescent="0.3">
      <c r="A65" s="189"/>
      <c r="B65" s="1257" t="s">
        <v>591</v>
      </c>
      <c r="C65" s="550" t="s">
        <v>978</v>
      </c>
      <c r="D65" s="550" t="s">
        <v>1044</v>
      </c>
      <c r="E65" s="936" t="s">
        <v>934</v>
      </c>
      <c r="F65" s="1250" t="s">
        <v>591</v>
      </c>
      <c r="G65" s="550" t="s">
        <v>978</v>
      </c>
      <c r="H65" s="550" t="s">
        <v>1044</v>
      </c>
      <c r="I65" s="936" t="s">
        <v>934</v>
      </c>
      <c r="J65" s="1086" t="s">
        <v>591</v>
      </c>
      <c r="K65" s="550" t="s">
        <v>978</v>
      </c>
      <c r="L65" s="550" t="s">
        <v>1044</v>
      </c>
      <c r="M65" s="936" t="s">
        <v>934</v>
      </c>
      <c r="N65" s="1086" t="s">
        <v>591</v>
      </c>
      <c r="O65" s="550" t="s">
        <v>935</v>
      </c>
      <c r="P65" s="550" t="s">
        <v>1044</v>
      </c>
      <c r="Q65" s="936" t="s">
        <v>934</v>
      </c>
      <c r="R65" s="362"/>
    </row>
    <row r="66" spans="1:20" s="24" customFormat="1" ht="24.75" customHeight="1" x14ac:dyDescent="0.25">
      <c r="A66" s="1262" t="s">
        <v>415</v>
      </c>
      <c r="B66" s="256">
        <f t="shared" ref="B66:D66" si="43">SUM(B67:B69)</f>
        <v>25440000</v>
      </c>
      <c r="C66" s="201">
        <f t="shared" ref="C66" si="44">SUM(C67:C69)</f>
        <v>32525559</v>
      </c>
      <c r="D66" s="201">
        <f t="shared" si="43"/>
        <v>33825559</v>
      </c>
      <c r="E66" s="407">
        <f>D66-C66</f>
        <v>1300000</v>
      </c>
      <c r="F66" s="1269">
        <f t="shared" ref="F66:G66" si="45">SUM(F67:F69)</f>
        <v>0</v>
      </c>
      <c r="G66" s="201">
        <f t="shared" si="45"/>
        <v>0</v>
      </c>
      <c r="H66" s="201">
        <f t="shared" ref="H66:Q66" si="46">SUM(H67:H69)</f>
        <v>0</v>
      </c>
      <c r="I66" s="407">
        <f>H66-G66</f>
        <v>0</v>
      </c>
      <c r="J66" s="954">
        <f t="shared" ref="J66:K66" si="47">SUM(J67:J69)</f>
        <v>0</v>
      </c>
      <c r="K66" s="201">
        <f t="shared" si="47"/>
        <v>75000</v>
      </c>
      <c r="L66" s="201">
        <f t="shared" si="46"/>
        <v>75000</v>
      </c>
      <c r="M66" s="407">
        <f>L66-K66</f>
        <v>0</v>
      </c>
      <c r="N66" s="256">
        <f t="shared" si="46"/>
        <v>25440000</v>
      </c>
      <c r="O66" s="201">
        <f t="shared" si="46"/>
        <v>32600559</v>
      </c>
      <c r="P66" s="201">
        <f t="shared" si="46"/>
        <v>33900559</v>
      </c>
      <c r="Q66" s="407">
        <f t="shared" si="46"/>
        <v>1300000</v>
      </c>
      <c r="R66" s="360"/>
    </row>
    <row r="67" spans="1:20" s="24" customFormat="1" ht="34.5" customHeight="1" x14ac:dyDescent="0.25">
      <c r="A67" s="1263" t="s">
        <v>37</v>
      </c>
      <c r="B67" s="1297"/>
      <c r="C67" s="587"/>
      <c r="D67" s="587"/>
      <c r="E67" s="408"/>
      <c r="F67" s="1195"/>
      <c r="G67" s="587"/>
      <c r="H67" s="587"/>
      <c r="I67" s="408"/>
      <c r="J67" s="587"/>
      <c r="K67" s="587"/>
      <c r="L67" s="587"/>
      <c r="M67" s="395">
        <f t="shared" ref="M67:M70" si="48">L67-K67</f>
        <v>0</v>
      </c>
      <c r="N67" s="95">
        <f t="shared" ref="N67:P68" si="49">B67+F67+J67</f>
        <v>0</v>
      </c>
      <c r="O67" s="90">
        <f t="shared" si="49"/>
        <v>0</v>
      </c>
      <c r="P67" s="90">
        <f t="shared" si="49"/>
        <v>0</v>
      </c>
      <c r="Q67" s="396">
        <f t="shared" ref="Q67:Q68" si="50">E67+I67+M67</f>
        <v>0</v>
      </c>
      <c r="R67" s="360"/>
    </row>
    <row r="68" spans="1:20" s="26" customFormat="1" ht="60" customHeight="1" x14ac:dyDescent="0.25">
      <c r="A68" s="1263" t="s">
        <v>38</v>
      </c>
      <c r="B68" s="95">
        <v>25440000</v>
      </c>
      <c r="C68" s="297">
        <v>25440000</v>
      </c>
      <c r="D68" s="297">
        <v>25440000</v>
      </c>
      <c r="E68" s="396">
        <f>D68-C68</f>
        <v>0</v>
      </c>
      <c r="F68" s="1191"/>
      <c r="G68" s="587"/>
      <c r="H68" s="587"/>
      <c r="I68" s="396"/>
      <c r="J68" s="297"/>
      <c r="K68" s="587"/>
      <c r="L68" s="587"/>
      <c r="M68" s="395">
        <f t="shared" si="48"/>
        <v>0</v>
      </c>
      <c r="N68" s="95">
        <f t="shared" si="49"/>
        <v>25440000</v>
      </c>
      <c r="O68" s="90">
        <f t="shared" si="49"/>
        <v>25440000</v>
      </c>
      <c r="P68" s="90">
        <f t="shared" si="49"/>
        <v>25440000</v>
      </c>
      <c r="Q68" s="396">
        <f t="shared" si="50"/>
        <v>0</v>
      </c>
      <c r="R68" s="363"/>
    </row>
    <row r="69" spans="1:20" s="26" customFormat="1" ht="27" customHeight="1" x14ac:dyDescent="0.25">
      <c r="A69" s="1263" t="s">
        <v>39</v>
      </c>
      <c r="B69" s="95">
        <v>0</v>
      </c>
      <c r="C69" s="297">
        <v>7085559</v>
      </c>
      <c r="D69" s="297">
        <v>8385559</v>
      </c>
      <c r="E69" s="396">
        <f t="shared" ref="E69:E79" si="51">D69-C69</f>
        <v>1300000</v>
      </c>
      <c r="F69" s="1191"/>
      <c r="G69" s="587"/>
      <c r="H69" s="587"/>
      <c r="I69" s="396"/>
      <c r="J69" s="587">
        <f>'2.a tábla ÚJ '!N41</f>
        <v>0</v>
      </c>
      <c r="K69" s="587">
        <f>'2.a tábla ÚJ '!O41</f>
        <v>75000</v>
      </c>
      <c r="L69" s="587">
        <f>'2.a tábla ÚJ '!P41</f>
        <v>75000</v>
      </c>
      <c r="M69" s="395">
        <f t="shared" si="48"/>
        <v>0</v>
      </c>
      <c r="N69" s="95">
        <f>SUM(B69+F69+J69)</f>
        <v>0</v>
      </c>
      <c r="O69" s="90">
        <f>SUM(C69+G69+K69)</f>
        <v>7160559</v>
      </c>
      <c r="P69" s="90">
        <f>SUM(D69+H69+L69)</f>
        <v>8460559</v>
      </c>
      <c r="Q69" s="396">
        <f>SUM(E69+I69+M69)</f>
        <v>1300000</v>
      </c>
      <c r="R69" s="362"/>
    </row>
    <row r="70" spans="1:20" s="24" customFormat="1" ht="22.65" customHeight="1" x14ac:dyDescent="0.25">
      <c r="A70" s="1293" t="s">
        <v>416</v>
      </c>
      <c r="B70" s="94">
        <f t="shared" ref="B70:D70" si="52">SUM(B71:B73)</f>
        <v>453634994</v>
      </c>
      <c r="C70" s="89">
        <f t="shared" ref="C70" si="53">SUM(C71:C73)</f>
        <v>606312431</v>
      </c>
      <c r="D70" s="89">
        <f t="shared" si="52"/>
        <v>616312431</v>
      </c>
      <c r="E70" s="395">
        <f t="shared" si="51"/>
        <v>10000000</v>
      </c>
      <c r="F70" s="1194">
        <f t="shared" ref="F70:G70" si="54">SUM(F71:F73)</f>
        <v>0</v>
      </c>
      <c r="G70" s="89">
        <f t="shared" si="54"/>
        <v>0</v>
      </c>
      <c r="H70" s="89">
        <f t="shared" ref="H70" si="55">SUM(H71:H73)</f>
        <v>0</v>
      </c>
      <c r="I70" s="395">
        <f>H70-G70</f>
        <v>0</v>
      </c>
      <c r="J70" s="298"/>
      <c r="K70" s="298"/>
      <c r="L70" s="298"/>
      <c r="M70" s="1251">
        <f t="shared" si="48"/>
        <v>0</v>
      </c>
      <c r="N70" s="583">
        <f>SUM(N71:N73)</f>
        <v>453634994</v>
      </c>
      <c r="O70" s="89">
        <f>SUM(O71:O73)</f>
        <v>606312431</v>
      </c>
      <c r="P70" s="89">
        <f>SUM(P71:P73)</f>
        <v>616312431</v>
      </c>
      <c r="Q70" s="395">
        <f>SUM(Q71:Q73)</f>
        <v>10000000</v>
      </c>
      <c r="R70" s="364"/>
    </row>
    <row r="71" spans="1:20" s="26" customFormat="1" ht="59.25" customHeight="1" x14ac:dyDescent="0.25">
      <c r="A71" s="1263" t="s">
        <v>40</v>
      </c>
      <c r="B71" s="1297"/>
      <c r="C71" s="587"/>
      <c r="D71" s="587"/>
      <c r="E71" s="396"/>
      <c r="F71" s="1195"/>
      <c r="G71" s="587"/>
      <c r="H71" s="587"/>
      <c r="I71" s="408"/>
      <c r="J71" s="587"/>
      <c r="K71" s="587"/>
      <c r="L71" s="587"/>
      <c r="M71" s="408"/>
      <c r="N71" s="95">
        <f t="shared" ref="N71:P73" si="56">B71+F71+J71</f>
        <v>0</v>
      </c>
      <c r="O71" s="90">
        <f t="shared" si="56"/>
        <v>0</v>
      </c>
      <c r="P71" s="90">
        <f t="shared" si="56"/>
        <v>0</v>
      </c>
      <c r="Q71" s="396">
        <f t="shared" ref="Q71:Q73" si="57">E71+I71+M71</f>
        <v>0</v>
      </c>
      <c r="R71" s="362"/>
    </row>
    <row r="72" spans="1:20" s="26" customFormat="1" ht="64.5" customHeight="1" x14ac:dyDescent="0.25">
      <c r="A72" s="1263" t="s">
        <v>41</v>
      </c>
      <c r="B72" s="95">
        <v>353634994</v>
      </c>
      <c r="C72" s="90">
        <v>503634994</v>
      </c>
      <c r="D72" s="90">
        <v>503634994</v>
      </c>
      <c r="E72" s="396">
        <f t="shared" si="51"/>
        <v>0</v>
      </c>
      <c r="F72" s="1191"/>
      <c r="G72" s="587"/>
      <c r="H72" s="587"/>
      <c r="I72" s="396">
        <f>H72-G72</f>
        <v>0</v>
      </c>
      <c r="J72" s="297"/>
      <c r="K72" s="587"/>
      <c r="L72" s="587"/>
      <c r="M72" s="396">
        <f t="shared" ref="M72:M73" si="58">K72-J72</f>
        <v>0</v>
      </c>
      <c r="N72" s="95">
        <f t="shared" si="56"/>
        <v>353634994</v>
      </c>
      <c r="O72" s="90">
        <f t="shared" si="56"/>
        <v>503634994</v>
      </c>
      <c r="P72" s="90">
        <f t="shared" si="56"/>
        <v>503634994</v>
      </c>
      <c r="Q72" s="396">
        <f t="shared" si="57"/>
        <v>0</v>
      </c>
      <c r="R72" s="362"/>
    </row>
    <row r="73" spans="1:20" s="26" customFormat="1" ht="24.75" customHeight="1" x14ac:dyDescent="0.25">
      <c r="A73" s="1263" t="s">
        <v>42</v>
      </c>
      <c r="B73" s="95">
        <v>100000000</v>
      </c>
      <c r="C73" s="297">
        <v>102677437</v>
      </c>
      <c r="D73" s="297">
        <v>112677437</v>
      </c>
      <c r="E73" s="396">
        <f t="shared" si="51"/>
        <v>10000000</v>
      </c>
      <c r="F73" s="1191"/>
      <c r="G73" s="587"/>
      <c r="H73" s="587"/>
      <c r="I73" s="396">
        <f t="shared" ref="I73:I80" si="59">H73-G73</f>
        <v>0</v>
      </c>
      <c r="J73" s="587"/>
      <c r="K73" s="587"/>
      <c r="L73" s="587"/>
      <c r="M73" s="396">
        <f t="shared" si="58"/>
        <v>0</v>
      </c>
      <c r="N73" s="95">
        <f t="shared" si="56"/>
        <v>100000000</v>
      </c>
      <c r="O73" s="90">
        <f t="shared" si="56"/>
        <v>102677437</v>
      </c>
      <c r="P73" s="90">
        <f t="shared" si="56"/>
        <v>112677437</v>
      </c>
      <c r="Q73" s="396">
        <f t="shared" si="57"/>
        <v>10000000</v>
      </c>
      <c r="R73" s="362"/>
    </row>
    <row r="74" spans="1:20" s="24" customFormat="1" ht="24.75" customHeight="1" x14ac:dyDescent="0.25">
      <c r="A74" s="1265" t="s">
        <v>417</v>
      </c>
      <c r="B74" s="94">
        <f t="shared" ref="B74:D74" si="60">B70+B66+B58+B43+B30+B22+B7</f>
        <v>5984275031.333333</v>
      </c>
      <c r="C74" s="89">
        <f t="shared" ref="C74" si="61">C70+C66+C58+C43+C30+C22+C7</f>
        <v>6426981158.333333</v>
      </c>
      <c r="D74" s="89">
        <f t="shared" si="60"/>
        <v>7625918671.333333</v>
      </c>
      <c r="E74" s="396">
        <f t="shared" si="51"/>
        <v>1198937513</v>
      </c>
      <c r="F74" s="1194">
        <f>F70+F66+F58+F43+F30+F22+F7</f>
        <v>60062625</v>
      </c>
      <c r="G74" s="89">
        <f t="shared" ref="G74" si="62">G70+G66+G58+G43+G30+G22+G7</f>
        <v>64792081</v>
      </c>
      <c r="H74" s="89">
        <f t="shared" ref="H74:Q74" si="63">H70+H66+H58+H43+H30+H22+H7</f>
        <v>70667116</v>
      </c>
      <c r="I74" s="396">
        <f t="shared" si="59"/>
        <v>5875035</v>
      </c>
      <c r="J74" s="298">
        <f t="shared" ref="J74:K74" si="64">J70+J66+J58+J43+J30+J22+J7</f>
        <v>170568225</v>
      </c>
      <c r="K74" s="89">
        <f t="shared" si="64"/>
        <v>174650725</v>
      </c>
      <c r="L74" s="89">
        <f t="shared" si="63"/>
        <v>174763149</v>
      </c>
      <c r="M74" s="395">
        <f>L74-K74</f>
        <v>112424</v>
      </c>
      <c r="N74" s="94">
        <f t="shared" si="63"/>
        <v>6214905881.333333</v>
      </c>
      <c r="O74" s="89">
        <f t="shared" si="63"/>
        <v>6666423964.333333</v>
      </c>
      <c r="P74" s="89">
        <f>P70+P66+P58+P43+P30+P22+P7</f>
        <v>7871348936.333333</v>
      </c>
      <c r="Q74" s="395">
        <f t="shared" si="63"/>
        <v>1204924972</v>
      </c>
      <c r="R74" s="360">
        <f>L74+H74+D74</f>
        <v>7871348936.333333</v>
      </c>
      <c r="T74" s="23"/>
    </row>
    <row r="75" spans="1:20" s="24" customFormat="1" ht="24.75" customHeight="1" x14ac:dyDescent="0.25">
      <c r="A75" s="1293" t="s">
        <v>418</v>
      </c>
      <c r="B75" s="94">
        <f t="shared" ref="B75:D75" si="65">B76+B79</f>
        <v>5657375438</v>
      </c>
      <c r="C75" s="89">
        <f t="shared" ref="C75" si="66">C76+C79</f>
        <v>5817703494</v>
      </c>
      <c r="D75" s="89">
        <f t="shared" si="65"/>
        <v>5843703494</v>
      </c>
      <c r="E75" s="396">
        <f>D75-C75</f>
        <v>26000000</v>
      </c>
      <c r="F75" s="1194">
        <f t="shared" ref="F75:G75" si="67">F76+F79</f>
        <v>0</v>
      </c>
      <c r="G75" s="89">
        <f t="shared" si="67"/>
        <v>23685448</v>
      </c>
      <c r="H75" s="89">
        <f t="shared" ref="H75:Q75" si="68">H76+H79</f>
        <v>23685448</v>
      </c>
      <c r="I75" s="396">
        <f t="shared" si="59"/>
        <v>0</v>
      </c>
      <c r="J75" s="298">
        <f t="shared" ref="J75:K75" si="69">J76+J79</f>
        <v>176276</v>
      </c>
      <c r="K75" s="89">
        <f t="shared" si="69"/>
        <v>14364598</v>
      </c>
      <c r="L75" s="89">
        <f t="shared" si="68"/>
        <v>14364598</v>
      </c>
      <c r="M75" s="395">
        <f t="shared" ref="M75:M85" si="70">L75-K75</f>
        <v>0</v>
      </c>
      <c r="N75" s="94">
        <f t="shared" si="68"/>
        <v>5657551714</v>
      </c>
      <c r="O75" s="89">
        <f t="shared" si="68"/>
        <v>5855753540</v>
      </c>
      <c r="P75" s="89">
        <f t="shared" si="68"/>
        <v>5881753540</v>
      </c>
      <c r="Q75" s="395">
        <f t="shared" si="68"/>
        <v>26000000</v>
      </c>
      <c r="R75" s="360"/>
      <c r="T75" s="23"/>
    </row>
    <row r="76" spans="1:20" s="24" customFormat="1" ht="46.5" customHeight="1" x14ac:dyDescent="0.25">
      <c r="A76" s="1293" t="s">
        <v>43</v>
      </c>
      <c r="B76" s="94">
        <f t="shared" ref="B76:D76" si="71">SUM(B77:B78)</f>
        <v>4089724642</v>
      </c>
      <c r="C76" s="89">
        <f t="shared" ref="C76" si="72">SUM(C77:C78)</f>
        <v>4108698593</v>
      </c>
      <c r="D76" s="89">
        <f t="shared" si="71"/>
        <v>4108698593</v>
      </c>
      <c r="E76" s="396">
        <f t="shared" si="51"/>
        <v>0</v>
      </c>
      <c r="F76" s="1194">
        <f t="shared" ref="F76:G76" si="73">SUM(F77:F78)</f>
        <v>0</v>
      </c>
      <c r="G76" s="89">
        <f t="shared" si="73"/>
        <v>23685448</v>
      </c>
      <c r="H76" s="89">
        <f t="shared" ref="H76:L76" si="74">SUM(H77:H78)</f>
        <v>23685448</v>
      </c>
      <c r="I76" s="396">
        <f t="shared" si="59"/>
        <v>0</v>
      </c>
      <c r="J76" s="298">
        <f t="shared" ref="J76:K76" si="75">SUM(J77:J78)</f>
        <v>176276</v>
      </c>
      <c r="K76" s="89">
        <f t="shared" si="75"/>
        <v>14364598</v>
      </c>
      <c r="L76" s="89">
        <f t="shared" si="74"/>
        <v>14364598</v>
      </c>
      <c r="M76" s="395">
        <f t="shared" si="70"/>
        <v>0</v>
      </c>
      <c r="N76" s="94">
        <f>B76+J76+F76</f>
        <v>4089900918</v>
      </c>
      <c r="O76" s="89">
        <f>C76+K76+G76</f>
        <v>4146748639</v>
      </c>
      <c r="P76" s="89">
        <f>D76+L76+H76</f>
        <v>4146748639</v>
      </c>
      <c r="Q76" s="395">
        <f>E76+M76+I76</f>
        <v>0</v>
      </c>
      <c r="R76" s="360"/>
    </row>
    <row r="77" spans="1:20" s="26" customFormat="1" ht="66.150000000000006" customHeight="1" x14ac:dyDescent="0.25">
      <c r="A77" s="1293" t="s">
        <v>503</v>
      </c>
      <c r="B77" s="95">
        <v>216967264</v>
      </c>
      <c r="C77" s="90">
        <v>221548950</v>
      </c>
      <c r="D77" s="90">
        <v>221548950</v>
      </c>
      <c r="E77" s="396">
        <f t="shared" si="51"/>
        <v>0</v>
      </c>
      <c r="F77" s="1192">
        <f>'2.a tábla ÚJ '!S47</f>
        <v>0</v>
      </c>
      <c r="G77" s="90">
        <f>'2.a tábla ÚJ '!T47</f>
        <v>14511377</v>
      </c>
      <c r="H77" s="90">
        <f>'2.a tábla ÚJ '!U47</f>
        <v>14511377</v>
      </c>
      <c r="I77" s="396">
        <f t="shared" si="59"/>
        <v>0</v>
      </c>
      <c r="J77" s="297">
        <f>'2.a tábla ÚJ '!N47</f>
        <v>176276</v>
      </c>
      <c r="K77" s="297">
        <f>'2.a tábla ÚJ '!O47</f>
        <v>13083041</v>
      </c>
      <c r="L77" s="297">
        <f>'2.a tábla ÚJ '!P47</f>
        <v>13083041</v>
      </c>
      <c r="M77" s="395">
        <f t="shared" si="70"/>
        <v>0</v>
      </c>
      <c r="N77" s="95">
        <f t="shared" ref="N77:P78" si="76">B77+F77+J77</f>
        <v>217143540</v>
      </c>
      <c r="O77" s="90">
        <f t="shared" si="76"/>
        <v>249143368</v>
      </c>
      <c r="P77" s="90">
        <f t="shared" si="76"/>
        <v>249143368</v>
      </c>
      <c r="Q77" s="396">
        <f t="shared" ref="Q77:Q78" si="77">E77+I77+M77</f>
        <v>0</v>
      </c>
      <c r="R77" s="363"/>
    </row>
    <row r="78" spans="1:20" s="26" customFormat="1" ht="72" customHeight="1" x14ac:dyDescent="0.25">
      <c r="A78" s="1263" t="s">
        <v>44</v>
      </c>
      <c r="B78" s="95">
        <v>3872757378</v>
      </c>
      <c r="C78" s="90">
        <v>3887149643</v>
      </c>
      <c r="D78" s="90">
        <v>3887149643</v>
      </c>
      <c r="E78" s="396">
        <f t="shared" si="51"/>
        <v>0</v>
      </c>
      <c r="F78" s="1192">
        <f>'2.a tábla ÚJ '!S48</f>
        <v>0</v>
      </c>
      <c r="G78" s="90">
        <f>'2.a tábla ÚJ '!T48</f>
        <v>9174071</v>
      </c>
      <c r="H78" s="90">
        <f>'2.a tábla ÚJ '!U48</f>
        <v>9174071</v>
      </c>
      <c r="I78" s="396">
        <f t="shared" si="59"/>
        <v>0</v>
      </c>
      <c r="J78" s="297">
        <f>'2.a tábla ÚJ '!N48</f>
        <v>0</v>
      </c>
      <c r="K78" s="297">
        <f>'2.a tábla ÚJ '!O48</f>
        <v>1281557</v>
      </c>
      <c r="L78" s="297">
        <f>'2.a tábla ÚJ '!P48</f>
        <v>1281557</v>
      </c>
      <c r="M78" s="395">
        <f t="shared" si="70"/>
        <v>0</v>
      </c>
      <c r="N78" s="409">
        <f t="shared" si="76"/>
        <v>3872757378</v>
      </c>
      <c r="O78" s="90">
        <f t="shared" si="76"/>
        <v>3897605271</v>
      </c>
      <c r="P78" s="90">
        <f t="shared" si="76"/>
        <v>3897605271</v>
      </c>
      <c r="Q78" s="396">
        <f t="shared" si="77"/>
        <v>0</v>
      </c>
      <c r="R78" s="362"/>
    </row>
    <row r="79" spans="1:20" s="24" customFormat="1" ht="51" customHeight="1" x14ac:dyDescent="0.25">
      <c r="A79" s="1293" t="s">
        <v>45</v>
      </c>
      <c r="B79" s="94">
        <f t="shared" ref="B79:D79" si="78">B80+B84+B89+B90</f>
        <v>1567650796</v>
      </c>
      <c r="C79" s="89">
        <f t="shared" ref="C79" si="79">C80+C84+C89+C90</f>
        <v>1709004901</v>
      </c>
      <c r="D79" s="89">
        <f t="shared" si="78"/>
        <v>1735004901</v>
      </c>
      <c r="E79" s="396">
        <f t="shared" si="51"/>
        <v>26000000</v>
      </c>
      <c r="F79" s="1194">
        <f t="shared" ref="F79:Q79" si="80">F80+F84+F89+F90</f>
        <v>0</v>
      </c>
      <c r="G79" s="89">
        <f t="shared" ref="G79" si="81">G80+G84+G89+G90</f>
        <v>0</v>
      </c>
      <c r="H79" s="89">
        <f t="shared" si="80"/>
        <v>0</v>
      </c>
      <c r="I79" s="396">
        <f t="shared" si="59"/>
        <v>0</v>
      </c>
      <c r="J79" s="298">
        <f t="shared" ref="J79:K79" si="82">J80+J84+J89+J90</f>
        <v>0</v>
      </c>
      <c r="K79" s="89">
        <f t="shared" si="82"/>
        <v>0</v>
      </c>
      <c r="L79" s="89">
        <f t="shared" si="80"/>
        <v>0</v>
      </c>
      <c r="M79" s="395">
        <f t="shared" si="70"/>
        <v>0</v>
      </c>
      <c r="N79" s="94">
        <f t="shared" si="80"/>
        <v>1567650796</v>
      </c>
      <c r="O79" s="89">
        <f t="shared" si="80"/>
        <v>1709004901</v>
      </c>
      <c r="P79" s="89">
        <f t="shared" si="80"/>
        <v>1735004901</v>
      </c>
      <c r="Q79" s="395">
        <f t="shared" si="80"/>
        <v>26000000</v>
      </c>
      <c r="R79" s="365"/>
    </row>
    <row r="80" spans="1:20" s="24" customFormat="1" ht="38.25" customHeight="1" x14ac:dyDescent="0.25">
      <c r="A80" s="1265" t="s">
        <v>46</v>
      </c>
      <c r="B80" s="94"/>
      <c r="C80" s="298"/>
      <c r="D80" s="298"/>
      <c r="E80" s="395"/>
      <c r="F80" s="1194">
        <f t="shared" ref="F80" si="83">SUM(F81:F83)</f>
        <v>0</v>
      </c>
      <c r="G80" s="89">
        <f t="shared" ref="G80" si="84">SUM(G81:G83)</f>
        <v>0</v>
      </c>
      <c r="H80" s="89">
        <f t="shared" ref="H80:Q80" si="85">SUM(H81:H83)</f>
        <v>0</v>
      </c>
      <c r="I80" s="396">
        <f t="shared" si="59"/>
        <v>0</v>
      </c>
      <c r="J80" s="298">
        <f t="shared" ref="J80" si="86">SUM(J81:J83)</f>
        <v>0</v>
      </c>
      <c r="K80" s="298"/>
      <c r="L80" s="298"/>
      <c r="M80" s="395">
        <f t="shared" si="70"/>
        <v>0</v>
      </c>
      <c r="N80" s="94">
        <f t="shared" si="85"/>
        <v>0</v>
      </c>
      <c r="O80" s="89">
        <f t="shared" si="85"/>
        <v>0</v>
      </c>
      <c r="P80" s="298"/>
      <c r="Q80" s="395">
        <f t="shared" si="85"/>
        <v>0</v>
      </c>
      <c r="R80" s="365"/>
    </row>
    <row r="81" spans="1:18" s="26" customFormat="1" ht="23.25" customHeight="1" x14ac:dyDescent="0.25">
      <c r="A81" s="1263" t="s">
        <v>47</v>
      </c>
      <c r="B81" s="1297"/>
      <c r="C81" s="587"/>
      <c r="D81" s="587"/>
      <c r="E81" s="408"/>
      <c r="F81" s="1195"/>
      <c r="G81" s="587"/>
      <c r="H81" s="587"/>
      <c r="I81" s="408"/>
      <c r="J81" s="587"/>
      <c r="K81" s="587"/>
      <c r="L81" s="587"/>
      <c r="M81" s="395">
        <f t="shared" si="70"/>
        <v>0</v>
      </c>
      <c r="N81" s="95">
        <f t="shared" ref="N81:N90" si="87">B81+J81</f>
        <v>0</v>
      </c>
      <c r="O81" s="90">
        <f t="shared" ref="O81:O90" si="88">C81+K81</f>
        <v>0</v>
      </c>
      <c r="P81" s="297"/>
      <c r="Q81" s="396">
        <f t="shared" ref="Q81:Q90" si="89">E81+M81</f>
        <v>0</v>
      </c>
      <c r="R81" s="365"/>
    </row>
    <row r="82" spans="1:18" s="26" customFormat="1" ht="39.6" x14ac:dyDescent="0.25">
      <c r="A82" s="1263" t="s">
        <v>48</v>
      </c>
      <c r="B82" s="1297"/>
      <c r="C82" s="587"/>
      <c r="D82" s="587"/>
      <c r="E82" s="408"/>
      <c r="F82" s="1195"/>
      <c r="G82" s="587"/>
      <c r="H82" s="587"/>
      <c r="I82" s="408"/>
      <c r="J82" s="587"/>
      <c r="K82" s="587"/>
      <c r="L82" s="587"/>
      <c r="M82" s="395">
        <f t="shared" si="70"/>
        <v>0</v>
      </c>
      <c r="N82" s="95">
        <f t="shared" si="87"/>
        <v>0</v>
      </c>
      <c r="O82" s="90">
        <f t="shared" si="88"/>
        <v>0</v>
      </c>
      <c r="P82" s="297"/>
      <c r="Q82" s="396">
        <f t="shared" si="89"/>
        <v>0</v>
      </c>
      <c r="R82" s="365"/>
    </row>
    <row r="83" spans="1:18" s="26" customFormat="1" ht="23.25" customHeight="1" x14ac:dyDescent="0.25">
      <c r="A83" s="1263" t="s">
        <v>49</v>
      </c>
      <c r="B83" s="1297"/>
      <c r="C83" s="587"/>
      <c r="D83" s="587"/>
      <c r="E83" s="408"/>
      <c r="F83" s="1195"/>
      <c r="G83" s="587"/>
      <c r="H83" s="587"/>
      <c r="I83" s="408"/>
      <c r="J83" s="587"/>
      <c r="K83" s="587"/>
      <c r="L83" s="587"/>
      <c r="M83" s="395">
        <f t="shared" si="70"/>
        <v>0</v>
      </c>
      <c r="N83" s="95">
        <f t="shared" si="87"/>
        <v>0</v>
      </c>
      <c r="O83" s="90">
        <f t="shared" si="88"/>
        <v>0</v>
      </c>
      <c r="P83" s="297"/>
      <c r="Q83" s="396">
        <f t="shared" si="89"/>
        <v>0</v>
      </c>
      <c r="R83" s="365"/>
    </row>
    <row r="84" spans="1:18" s="24" customFormat="1" ht="27" customHeight="1" x14ac:dyDescent="0.25">
      <c r="A84" s="1265" t="s">
        <v>50</v>
      </c>
      <c r="B84" s="94">
        <f>SUM(B85:B88)</f>
        <v>1554850796</v>
      </c>
      <c r="C84" s="89">
        <f>SUM(C85:C88)</f>
        <v>1696204901</v>
      </c>
      <c r="D84" s="89">
        <f>SUM(D85:D88)</f>
        <v>1722204901</v>
      </c>
      <c r="E84" s="395">
        <f>D84-C84</f>
        <v>26000000</v>
      </c>
      <c r="F84" s="1194"/>
      <c r="G84" s="298"/>
      <c r="H84" s="298"/>
      <c r="I84" s="395">
        <f>H84-G84</f>
        <v>0</v>
      </c>
      <c r="J84" s="298"/>
      <c r="K84" s="298"/>
      <c r="L84" s="298"/>
      <c r="M84" s="395">
        <f t="shared" si="70"/>
        <v>0</v>
      </c>
      <c r="N84" s="94">
        <f t="shared" si="87"/>
        <v>1554850796</v>
      </c>
      <c r="O84" s="89">
        <f t="shared" si="88"/>
        <v>1696204901</v>
      </c>
      <c r="P84" s="89">
        <f>D84+L84</f>
        <v>1722204901</v>
      </c>
      <c r="Q84" s="395">
        <f t="shared" si="89"/>
        <v>26000000</v>
      </c>
      <c r="R84" s="364"/>
    </row>
    <row r="85" spans="1:18" s="26" customFormat="1" ht="39.6" x14ac:dyDescent="0.25">
      <c r="A85" s="1294" t="s">
        <v>600</v>
      </c>
      <c r="B85" s="1297">
        <v>1554850796</v>
      </c>
      <c r="C85" s="587">
        <v>1696204901</v>
      </c>
      <c r="D85" s="587">
        <v>1722204901</v>
      </c>
      <c r="E85" s="396">
        <f>D85-C85</f>
        <v>26000000</v>
      </c>
      <c r="F85" s="1191"/>
      <c r="G85" s="587"/>
      <c r="H85" s="587"/>
      <c r="I85" s="395">
        <f>H85-G85</f>
        <v>0</v>
      </c>
      <c r="J85" s="297"/>
      <c r="K85" s="587"/>
      <c r="L85" s="587"/>
      <c r="M85" s="395">
        <f t="shared" si="70"/>
        <v>0</v>
      </c>
      <c r="N85" s="95">
        <f t="shared" si="87"/>
        <v>1554850796</v>
      </c>
      <c r="O85" s="90">
        <f t="shared" si="88"/>
        <v>1696204901</v>
      </c>
      <c r="P85" s="90">
        <f>D85+L85</f>
        <v>1722204901</v>
      </c>
      <c r="Q85" s="396">
        <f t="shared" si="89"/>
        <v>26000000</v>
      </c>
      <c r="R85" s="362"/>
    </row>
    <row r="86" spans="1:18" s="26" customFormat="1" ht="23.25" customHeight="1" x14ac:dyDescent="0.25">
      <c r="A86" s="1264" t="s">
        <v>51</v>
      </c>
      <c r="B86" s="1297"/>
      <c r="C86" s="587"/>
      <c r="D86" s="587"/>
      <c r="E86" s="408"/>
      <c r="F86" s="1195"/>
      <c r="G86" s="587"/>
      <c r="H86" s="587"/>
      <c r="I86" s="408"/>
      <c r="J86" s="587"/>
      <c r="K86" s="587"/>
      <c r="L86" s="587"/>
      <c r="M86" s="408"/>
      <c r="N86" s="95">
        <f t="shared" si="87"/>
        <v>0</v>
      </c>
      <c r="O86" s="90">
        <f t="shared" si="88"/>
        <v>0</v>
      </c>
      <c r="P86" s="297"/>
      <c r="Q86" s="396">
        <f t="shared" si="89"/>
        <v>0</v>
      </c>
      <c r="R86" s="362"/>
    </row>
    <row r="87" spans="1:18" s="24" customFormat="1" ht="39.6" x14ac:dyDescent="0.25">
      <c r="A87" s="1264" t="s">
        <v>52</v>
      </c>
      <c r="B87" s="1297"/>
      <c r="C87" s="587"/>
      <c r="D87" s="587"/>
      <c r="E87" s="408"/>
      <c r="F87" s="1195"/>
      <c r="G87" s="587"/>
      <c r="H87" s="587"/>
      <c r="I87" s="408"/>
      <c r="J87" s="587"/>
      <c r="K87" s="587"/>
      <c r="L87" s="587"/>
      <c r="M87" s="408"/>
      <c r="N87" s="95">
        <f t="shared" si="87"/>
        <v>0</v>
      </c>
      <c r="O87" s="90">
        <f t="shared" si="88"/>
        <v>0</v>
      </c>
      <c r="P87" s="297"/>
      <c r="Q87" s="396">
        <f t="shared" si="89"/>
        <v>0</v>
      </c>
      <c r="R87" s="364"/>
    </row>
    <row r="88" spans="1:18" s="24" customFormat="1" ht="25.5" customHeight="1" x14ac:dyDescent="0.25">
      <c r="A88" s="1264" t="s">
        <v>53</v>
      </c>
      <c r="B88" s="1297"/>
      <c r="C88" s="587"/>
      <c r="D88" s="587"/>
      <c r="E88" s="408"/>
      <c r="F88" s="1195"/>
      <c r="G88" s="587"/>
      <c r="H88" s="587"/>
      <c r="I88" s="408"/>
      <c r="J88" s="587"/>
      <c r="K88" s="587"/>
      <c r="L88" s="587"/>
      <c r="M88" s="408"/>
      <c r="N88" s="95">
        <f t="shared" si="87"/>
        <v>0</v>
      </c>
      <c r="O88" s="90">
        <f t="shared" si="88"/>
        <v>0</v>
      </c>
      <c r="P88" s="297"/>
      <c r="Q88" s="396">
        <f t="shared" si="89"/>
        <v>0</v>
      </c>
      <c r="R88" s="364"/>
    </row>
    <row r="89" spans="1:18" s="24" customFormat="1" ht="17.399999999999999" customHeight="1" x14ac:dyDescent="0.25">
      <c r="A89" s="1265" t="s">
        <v>242</v>
      </c>
      <c r="B89" s="1298"/>
      <c r="C89" s="589"/>
      <c r="D89" s="589"/>
      <c r="E89" s="410"/>
      <c r="F89" s="1272"/>
      <c r="G89" s="589"/>
      <c r="H89" s="589"/>
      <c r="I89" s="410"/>
      <c r="J89" s="589"/>
      <c r="K89" s="589"/>
      <c r="L89" s="589"/>
      <c r="M89" s="410"/>
      <c r="N89" s="94">
        <f t="shared" si="87"/>
        <v>0</v>
      </c>
      <c r="O89" s="89">
        <f t="shared" si="88"/>
        <v>0</v>
      </c>
      <c r="P89" s="298"/>
      <c r="Q89" s="395">
        <f t="shared" si="89"/>
        <v>0</v>
      </c>
      <c r="R89" s="364"/>
    </row>
    <row r="90" spans="1:18" s="24" customFormat="1" ht="25.5" customHeight="1" x14ac:dyDescent="0.25">
      <c r="A90" s="1265" t="s">
        <v>357</v>
      </c>
      <c r="B90" s="1298">
        <v>12800000</v>
      </c>
      <c r="C90" s="945">
        <v>12800000</v>
      </c>
      <c r="D90" s="945">
        <v>12800000</v>
      </c>
      <c r="E90" s="395">
        <f>D90-C90</f>
        <v>0</v>
      </c>
      <c r="F90" s="1194"/>
      <c r="G90" s="589"/>
      <c r="H90" s="589"/>
      <c r="I90" s="395">
        <f>H90-G90</f>
        <v>0</v>
      </c>
      <c r="J90" s="298"/>
      <c r="K90" s="589"/>
      <c r="L90" s="589"/>
      <c r="M90" s="395">
        <f>L90-K90</f>
        <v>0</v>
      </c>
      <c r="N90" s="94">
        <f t="shared" si="87"/>
        <v>12800000</v>
      </c>
      <c r="O90" s="89">
        <f t="shared" si="88"/>
        <v>12800000</v>
      </c>
      <c r="P90" s="89">
        <f>D90+L90</f>
        <v>12800000</v>
      </c>
      <c r="Q90" s="395">
        <f t="shared" si="89"/>
        <v>0</v>
      </c>
      <c r="R90" s="364"/>
    </row>
    <row r="91" spans="1:18" s="24" customFormat="1" ht="27" customHeight="1" x14ac:dyDescent="0.25">
      <c r="A91" s="1265" t="s">
        <v>54</v>
      </c>
      <c r="B91" s="94">
        <f>B79+B76</f>
        <v>5657375438</v>
      </c>
      <c r="C91" s="89">
        <f t="shared" ref="C91" si="90">C79+C76</f>
        <v>5817703494</v>
      </c>
      <c r="D91" s="89">
        <f t="shared" ref="D91" si="91">D79+D76</f>
        <v>5843703494</v>
      </c>
      <c r="E91" s="395">
        <f>D91-C91</f>
        <v>26000000</v>
      </c>
      <c r="F91" s="1193">
        <f t="shared" ref="F91:G91" si="92">F79+F76</f>
        <v>0</v>
      </c>
      <c r="G91" s="89">
        <f t="shared" si="92"/>
        <v>23685448</v>
      </c>
      <c r="H91" s="89">
        <f t="shared" ref="H91:L91" si="93">H79+H76</f>
        <v>23685448</v>
      </c>
      <c r="I91" s="395">
        <f>H91-G91</f>
        <v>0</v>
      </c>
      <c r="J91" s="298">
        <f t="shared" ref="J91:K91" si="94">J79+J76</f>
        <v>176276</v>
      </c>
      <c r="K91" s="89">
        <f t="shared" si="94"/>
        <v>14364598</v>
      </c>
      <c r="L91" s="89">
        <f t="shared" si="93"/>
        <v>14364598</v>
      </c>
      <c r="M91" s="395">
        <f t="shared" ref="M91:M94" si="95">L91-K91</f>
        <v>0</v>
      </c>
      <c r="N91" s="94">
        <f>B91+J91+F91:F94</f>
        <v>5657551714</v>
      </c>
      <c r="O91" s="89">
        <f>C91+K91+G91:G94</f>
        <v>5855753540</v>
      </c>
      <c r="P91" s="89">
        <f>D91+L91+H91:H94</f>
        <v>5881753540</v>
      </c>
      <c r="Q91" s="395">
        <f>E91+M91+I91</f>
        <v>26000000</v>
      </c>
      <c r="R91" s="364"/>
    </row>
    <row r="92" spans="1:18" s="24" customFormat="1" ht="15" customHeight="1" x14ac:dyDescent="0.25">
      <c r="A92" s="1265" t="s">
        <v>55</v>
      </c>
      <c r="B92" s="94">
        <f t="shared" ref="B92:D92" si="96">B74+B91</f>
        <v>11641650469.333332</v>
      </c>
      <c r="C92" s="89">
        <f t="shared" ref="C92" si="97">C74+C91</f>
        <v>12244684652.333332</v>
      </c>
      <c r="D92" s="89">
        <f t="shared" si="96"/>
        <v>13469622165.333332</v>
      </c>
      <c r="E92" s="395">
        <f>D92-C92</f>
        <v>1224937513</v>
      </c>
      <c r="F92" s="1193">
        <f t="shared" ref="F92:G92" si="98">F74+F91</f>
        <v>60062625</v>
      </c>
      <c r="G92" s="89">
        <f t="shared" si="98"/>
        <v>88477529</v>
      </c>
      <c r="H92" s="89">
        <f t="shared" ref="H92:L92" si="99">H74+H91</f>
        <v>94352564</v>
      </c>
      <c r="I92" s="395">
        <f>H92-G92</f>
        <v>5875035</v>
      </c>
      <c r="J92" s="298">
        <f t="shared" ref="J92:K92" si="100">J74+J91</f>
        <v>170744501</v>
      </c>
      <c r="K92" s="89">
        <f t="shared" si="100"/>
        <v>189015323</v>
      </c>
      <c r="L92" s="89">
        <f t="shared" si="99"/>
        <v>189127747</v>
      </c>
      <c r="M92" s="395">
        <f t="shared" si="95"/>
        <v>112424</v>
      </c>
      <c r="N92" s="94">
        <f t="shared" ref="N92:P93" si="101">B92+J92+F92</f>
        <v>11872457595.333332</v>
      </c>
      <c r="O92" s="89">
        <f t="shared" si="101"/>
        <v>12522177504.333332</v>
      </c>
      <c r="P92" s="89">
        <f>D92+L92+H92</f>
        <v>13753102476.333332</v>
      </c>
      <c r="Q92" s="395">
        <f t="shared" ref="Q92" si="102">E92+M92+I92</f>
        <v>1230924972</v>
      </c>
      <c r="R92" s="360">
        <f>P91+P74</f>
        <v>13753102476.333332</v>
      </c>
    </row>
    <row r="93" spans="1:18" x14ac:dyDescent="0.25">
      <c r="A93" s="1295" t="s">
        <v>348</v>
      </c>
      <c r="B93" s="190">
        <f>'2.a tábla ÚJ '!S58+'2.a tábla ÚJ '!S60</f>
        <v>18</v>
      </c>
      <c r="C93" s="257">
        <f>'2.a tábla ÚJ '!T58+'2.a tábla ÚJ '!T60</f>
        <v>22</v>
      </c>
      <c r="D93" s="257">
        <f>'2.a tábla ÚJ '!U58+'2.a tábla ÚJ '!U60</f>
        <v>22</v>
      </c>
      <c r="E93" s="411">
        <f>D93-C93</f>
        <v>0</v>
      </c>
      <c r="F93" s="1273">
        <f>'2.a tábla ÚJ '!S57</f>
        <v>75.5</v>
      </c>
      <c r="G93" s="257">
        <f>'2.a tábla ÚJ '!T57</f>
        <v>74.5</v>
      </c>
      <c r="H93" s="257">
        <f>'2.a tábla ÚJ '!U57</f>
        <v>74.5</v>
      </c>
      <c r="I93" s="411">
        <f>H93-G93</f>
        <v>0</v>
      </c>
      <c r="J93" s="1087">
        <f>'2.a tábla ÚJ '!N57</f>
        <v>60</v>
      </c>
      <c r="K93" s="1087">
        <f>'2.a tábla ÚJ '!O57</f>
        <v>60</v>
      </c>
      <c r="L93" s="1087">
        <f>'2.a tábla ÚJ '!P57</f>
        <v>60</v>
      </c>
      <c r="M93" s="411">
        <f t="shared" si="95"/>
        <v>0</v>
      </c>
      <c r="N93" s="190">
        <f t="shared" si="101"/>
        <v>153.5</v>
      </c>
      <c r="O93" s="257">
        <f t="shared" si="101"/>
        <v>156.5</v>
      </c>
      <c r="P93" s="257">
        <f t="shared" si="101"/>
        <v>156.5</v>
      </c>
      <c r="Q93" s="411">
        <f>P93-O93:O94</f>
        <v>0</v>
      </c>
    </row>
    <row r="94" spans="1:18" ht="15.75" customHeight="1" thickBot="1" x14ac:dyDescent="0.3">
      <c r="A94" s="1296" t="s">
        <v>56</v>
      </c>
      <c r="B94" s="1299">
        <f>'2.a tábla ÚJ '!S60</f>
        <v>15</v>
      </c>
      <c r="C94" s="944">
        <f>'2.a tábla ÚJ '!T60</f>
        <v>15</v>
      </c>
      <c r="D94" s="944">
        <f>'2.a tábla ÚJ '!U60</f>
        <v>15</v>
      </c>
      <c r="E94" s="1275">
        <f>D94-C94</f>
        <v>0</v>
      </c>
      <c r="F94" s="1274">
        <f>'2.a tábla ÚJ '!S56</f>
        <v>0</v>
      </c>
      <c r="G94" s="155">
        <f>'2.a tábla ÚJ '!T56</f>
        <v>0</v>
      </c>
      <c r="H94" s="155">
        <f>'2.a tábla ÚJ '!U56</f>
        <v>0</v>
      </c>
      <c r="I94" s="1260">
        <f>H94-G94</f>
        <v>0</v>
      </c>
      <c r="J94" s="1091">
        <f>'2.a tábla ÚJ '!N56</f>
        <v>5</v>
      </c>
      <c r="K94" s="1091">
        <f>'2.a tábla ÚJ '!O56</f>
        <v>5</v>
      </c>
      <c r="L94" s="1091">
        <f>'2.a tábla ÚJ '!P56</f>
        <v>5</v>
      </c>
      <c r="M94" s="1260">
        <f t="shared" si="95"/>
        <v>0</v>
      </c>
      <c r="N94" s="156">
        <f>B94+J94</f>
        <v>20</v>
      </c>
      <c r="O94" s="155">
        <f>C94+K94</f>
        <v>20</v>
      </c>
      <c r="P94" s="155">
        <f>D94+L94</f>
        <v>20</v>
      </c>
      <c r="Q94" s="1260">
        <f>P94-O94:O95</f>
        <v>0</v>
      </c>
      <c r="R94" s="38"/>
    </row>
    <row r="95" spans="1:18" x14ac:dyDescent="0.25">
      <c r="B95" s="146"/>
      <c r="C95" s="146"/>
      <c r="D95" s="146"/>
      <c r="E95" s="38"/>
      <c r="F95" s="146"/>
      <c r="J95" s="146"/>
      <c r="K95" s="146"/>
      <c r="L95" s="146"/>
      <c r="M95" s="146"/>
      <c r="O95" s="146"/>
      <c r="P95" s="146"/>
      <c r="Q95" s="146"/>
    </row>
    <row r="96" spans="1:18" x14ac:dyDescent="0.25">
      <c r="B96" s="146"/>
      <c r="C96" s="146"/>
      <c r="D96" s="146"/>
      <c r="E96" s="38"/>
      <c r="F96" s="146"/>
      <c r="J96" s="146"/>
      <c r="K96" s="169"/>
      <c r="L96" s="169"/>
      <c r="M96" s="146"/>
      <c r="N96" s="146"/>
      <c r="O96" s="146"/>
      <c r="P96" s="146"/>
      <c r="Q96" s="146"/>
    </row>
    <row r="97" spans="2:17" x14ac:dyDescent="0.25">
      <c r="B97" s="146"/>
      <c r="C97" s="146"/>
      <c r="D97" s="146"/>
      <c r="E97" s="38"/>
      <c r="F97" s="146"/>
      <c r="J97" s="146"/>
      <c r="K97" s="169"/>
      <c r="L97" s="169"/>
      <c r="M97" s="146"/>
      <c r="N97" s="146"/>
      <c r="O97" s="146"/>
      <c r="P97" s="146"/>
      <c r="Q97" s="146"/>
    </row>
    <row r="98" spans="2:17" x14ac:dyDescent="0.25">
      <c r="B98" s="146"/>
      <c r="C98" s="146"/>
      <c r="D98" s="146"/>
      <c r="E98" s="38"/>
      <c r="F98" s="146"/>
      <c r="J98" s="146"/>
      <c r="K98" s="169"/>
      <c r="L98" s="169"/>
      <c r="M98" s="146"/>
      <c r="N98" s="146"/>
      <c r="O98" s="146"/>
      <c r="P98" s="146"/>
      <c r="Q98" s="146"/>
    </row>
    <row r="99" spans="2:17" x14ac:dyDescent="0.25">
      <c r="B99" s="146"/>
      <c r="C99" s="146"/>
      <c r="D99" s="146"/>
      <c r="E99" s="146"/>
      <c r="F99" s="146"/>
      <c r="I99" s="146"/>
      <c r="J99" s="146"/>
      <c r="K99" s="169"/>
      <c r="L99" s="169"/>
      <c r="M99" s="146"/>
      <c r="N99" s="146"/>
      <c r="O99" s="146"/>
      <c r="P99" s="146"/>
    </row>
    <row r="100" spans="2:17" x14ac:dyDescent="0.25">
      <c r="B100" s="146"/>
      <c r="C100" s="146"/>
      <c r="D100" s="146"/>
      <c r="E100" s="146"/>
      <c r="K100" s="169"/>
      <c r="L100" s="169"/>
      <c r="M100" s="146"/>
      <c r="N100" s="146"/>
      <c r="O100" s="146"/>
      <c r="P100" s="146"/>
    </row>
    <row r="101" spans="2:17" x14ac:dyDescent="0.25">
      <c r="M101" s="146"/>
      <c r="N101" s="146"/>
      <c r="O101" s="146"/>
      <c r="P101" s="146"/>
    </row>
  </sheetData>
  <sheetProtection selectLockedCells="1" selectUnlockedCells="1"/>
  <mergeCells count="13">
    <mergeCell ref="B64:E64"/>
    <mergeCell ref="F64:I64"/>
    <mergeCell ref="J64:M64"/>
    <mergeCell ref="N64:Q64"/>
    <mergeCell ref="A3:Q3"/>
    <mergeCell ref="B5:E5"/>
    <mergeCell ref="F5:I5"/>
    <mergeCell ref="J5:M5"/>
    <mergeCell ref="N5:Q5"/>
    <mergeCell ref="B28:E28"/>
    <mergeCell ref="F28:I28"/>
    <mergeCell ref="J28:M28"/>
    <mergeCell ref="N28:Q28"/>
  </mergeCells>
  <printOptions horizontalCentered="1" gridLines="1"/>
  <pageMargins left="0.43307086614173229" right="0.43307086614173229" top="0.98425196850393704" bottom="0.23622047244094491" header="0.27559055118110237" footer="0.51181102362204722"/>
  <pageSetup paperSize="9" scale="47" firstPageNumber="0" fitToHeight="0" orientation="landscape" r:id="rId1"/>
  <headerFooter alignWithMargins="0">
    <oddHeader xml:space="preserve">&amp;C2. melléklet a 31/2019. (XII.13.) önkormányzati rendelethez
 az önkormányzat 2019. évi költségvetéséről szóló 6/2019. (II.28.) önkormányzati rendelet 
2. mellékletének helyébe a következő 2. melléklet lép:  
&amp;R&amp;12
&amp;P. oldal
</oddHeader>
  </headerFooter>
  <rowBreaks count="2" manualBreakCount="2">
    <brk id="27" max="12" man="1"/>
    <brk id="6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GP61"/>
  <sheetViews>
    <sheetView view="pageLayout" topLeftCell="A3" zoomScale="84" zoomScaleNormal="84" zoomScaleSheetLayoutView="89" zoomScalePageLayoutView="84" workbookViewId="0">
      <selection activeCell="J7" sqref="J7"/>
    </sheetView>
  </sheetViews>
  <sheetFormatPr defaultColWidth="9.109375" defaultRowHeight="13.8" x14ac:dyDescent="0.25"/>
  <cols>
    <col min="1" max="1" width="41.33203125" style="16" customWidth="1"/>
    <col min="2" max="4" width="12.6640625" style="29" customWidth="1"/>
    <col min="5" max="5" width="16.88671875" style="29" customWidth="1"/>
    <col min="6" max="6" width="13" style="29" customWidth="1"/>
    <col min="7" max="8" width="14.44140625" style="29" customWidth="1"/>
    <col min="9" max="9" width="15.33203125" style="29" customWidth="1"/>
    <col min="10" max="10" width="13.6640625" style="30" customWidth="1"/>
    <col min="11" max="12" width="12.33203125" style="30" customWidth="1"/>
    <col min="13" max="13" width="16.6640625" style="30" bestFit="1" customWidth="1"/>
    <col min="14" max="14" width="14" style="29" customWidth="1"/>
    <col min="15" max="15" width="12.88671875" style="29" customWidth="1"/>
    <col min="16" max="16" width="13.88671875" style="29" customWidth="1"/>
    <col min="17" max="17" width="17.109375" style="29" customWidth="1"/>
    <col min="18" max="18" width="1.33203125" style="29" customWidth="1"/>
    <col min="19" max="19" width="12.6640625" style="29" customWidth="1"/>
    <col min="20" max="21" width="14.33203125" style="29" customWidth="1"/>
    <col min="22" max="22" width="16.109375" style="29" customWidth="1"/>
    <col min="23" max="23" width="11.33203125" style="29" bestFit="1" customWidth="1"/>
    <col min="24" max="24" width="9.33203125" style="29" bestFit="1" customWidth="1"/>
    <col min="25" max="124" width="9.109375" style="29"/>
    <col min="125" max="198" width="9.109375" style="18"/>
    <col min="199" max="16384" width="9.109375" style="9"/>
  </cols>
  <sheetData>
    <row r="1" spans="1:124" ht="12.75" hidden="1" customHeight="1" x14ac:dyDescent="0.25">
      <c r="A1" s="71"/>
      <c r="B1" s="27"/>
      <c r="C1" s="27"/>
      <c r="D1" s="27"/>
      <c r="E1" s="27"/>
      <c r="F1" s="27"/>
      <c r="G1" s="27"/>
      <c r="H1" s="27"/>
      <c r="I1" s="27"/>
      <c r="J1" s="28"/>
      <c r="K1" s="28"/>
      <c r="L1" s="28"/>
      <c r="M1" s="28"/>
      <c r="N1" s="27"/>
      <c r="O1" s="27"/>
      <c r="P1" s="27"/>
      <c r="Q1" s="27"/>
    </row>
    <row r="2" spans="1:124" ht="12.75" hidden="1" customHeight="1" x14ac:dyDescent="0.25"/>
    <row r="3" spans="1:124" ht="12.75" customHeight="1" x14ac:dyDescent="0.25"/>
    <row r="4" spans="1:124" ht="12.75" customHeight="1" x14ac:dyDescent="0.25"/>
    <row r="5" spans="1:124" ht="6" customHeight="1" x14ac:dyDescent="0.25"/>
    <row r="6" spans="1:124" ht="25.5" customHeight="1" x14ac:dyDescent="0.3">
      <c r="A6" s="1364" t="s">
        <v>601</v>
      </c>
      <c r="B6" s="1364"/>
      <c r="C6" s="1364"/>
      <c r="D6" s="1364"/>
      <c r="E6" s="1364"/>
      <c r="F6" s="1364"/>
      <c r="G6" s="1364"/>
      <c r="H6" s="1364"/>
      <c r="I6" s="1364"/>
      <c r="J6" s="1364"/>
      <c r="K6" s="1364"/>
      <c r="L6" s="1364"/>
      <c r="M6" s="1364"/>
      <c r="N6" s="1364"/>
      <c r="O6" s="1364"/>
      <c r="P6" s="1364"/>
      <c r="Q6" s="1364"/>
      <c r="R6" s="1364"/>
      <c r="S6" s="1364"/>
      <c r="T6" s="1364"/>
      <c r="U6" s="1364"/>
      <c r="V6" s="1364"/>
    </row>
    <row r="7" spans="1:124" ht="12.75" customHeight="1" x14ac:dyDescent="0.25"/>
    <row r="8" spans="1:124" ht="12.75" customHeight="1" x14ac:dyDescent="0.25"/>
    <row r="9" spans="1:124" ht="12.75" customHeight="1" thickBot="1" x14ac:dyDescent="0.3"/>
    <row r="10" spans="1:124" s="19" customFormat="1" ht="45.75" customHeight="1" thickBot="1" x14ac:dyDescent="0.3">
      <c r="A10" s="1372" t="s">
        <v>328</v>
      </c>
      <c r="B10" s="1374" t="s">
        <v>226</v>
      </c>
      <c r="C10" s="1375"/>
      <c r="D10" s="1375"/>
      <c r="E10" s="1376"/>
      <c r="F10" s="1377" t="s">
        <v>542</v>
      </c>
      <c r="G10" s="1378"/>
      <c r="H10" s="1378"/>
      <c r="I10" s="1378"/>
      <c r="J10" s="1379" t="s">
        <v>552</v>
      </c>
      <c r="K10" s="1380"/>
      <c r="L10" s="1380"/>
      <c r="M10" s="1381"/>
      <c r="N10" s="1377" t="s">
        <v>57</v>
      </c>
      <c r="O10" s="1378"/>
      <c r="P10" s="1378"/>
      <c r="Q10" s="1382"/>
      <c r="R10" s="382"/>
      <c r="S10" s="1377" t="s">
        <v>223</v>
      </c>
      <c r="T10" s="1378"/>
      <c r="U10" s="1378"/>
      <c r="V10" s="1382"/>
      <c r="W10" s="590"/>
      <c r="X10" s="590"/>
      <c r="Y10" s="590"/>
      <c r="Z10" s="590"/>
      <c r="AA10" s="590"/>
      <c r="AB10" s="590"/>
      <c r="AC10" s="590"/>
      <c r="AD10" s="590"/>
      <c r="AE10" s="590"/>
      <c r="AF10" s="590"/>
      <c r="AG10" s="590"/>
      <c r="AH10" s="590"/>
      <c r="AI10" s="590"/>
      <c r="AJ10" s="590"/>
      <c r="AK10" s="590"/>
      <c r="AL10" s="590"/>
      <c r="AM10" s="590"/>
      <c r="AN10" s="590"/>
      <c r="AO10" s="590"/>
      <c r="AP10" s="590"/>
      <c r="AQ10" s="590"/>
      <c r="AR10" s="590"/>
      <c r="AS10" s="590"/>
      <c r="AT10" s="590"/>
      <c r="AU10" s="590"/>
      <c r="AV10" s="590"/>
      <c r="AW10" s="590"/>
      <c r="AX10" s="590"/>
      <c r="AY10" s="590"/>
      <c r="AZ10" s="590"/>
      <c r="BA10" s="590"/>
      <c r="BB10" s="590"/>
      <c r="BC10" s="590"/>
      <c r="BD10" s="590"/>
      <c r="BE10" s="590"/>
      <c r="BF10" s="590"/>
      <c r="BG10" s="590"/>
      <c r="BH10" s="590"/>
      <c r="BI10" s="590"/>
      <c r="BJ10" s="590"/>
      <c r="BK10" s="590"/>
      <c r="BL10" s="590"/>
      <c r="BM10" s="590"/>
      <c r="BN10" s="590"/>
      <c r="BO10" s="590"/>
      <c r="BP10" s="590"/>
      <c r="BQ10" s="590"/>
      <c r="BR10" s="590"/>
      <c r="BS10" s="590"/>
      <c r="BT10" s="590"/>
      <c r="BU10" s="590"/>
      <c r="BV10" s="590"/>
      <c r="BW10" s="590"/>
      <c r="BX10" s="590"/>
      <c r="BY10" s="590"/>
      <c r="BZ10" s="590"/>
      <c r="CA10" s="590"/>
      <c r="CB10" s="590"/>
      <c r="CC10" s="590"/>
      <c r="CD10" s="590"/>
      <c r="CE10" s="590"/>
      <c r="CF10" s="590"/>
      <c r="CG10" s="590"/>
      <c r="CH10" s="590"/>
      <c r="CI10" s="590"/>
      <c r="CJ10" s="590"/>
      <c r="CK10" s="590"/>
      <c r="CL10" s="590"/>
      <c r="CM10" s="590"/>
      <c r="CN10" s="590"/>
      <c r="CO10" s="590"/>
      <c r="CP10" s="590"/>
      <c r="CQ10" s="590"/>
      <c r="CR10" s="590"/>
      <c r="CS10" s="590"/>
      <c r="CT10" s="590"/>
      <c r="CU10" s="590"/>
      <c r="CV10" s="590"/>
      <c r="CW10" s="590"/>
      <c r="CX10" s="590"/>
      <c r="CY10" s="590"/>
      <c r="CZ10" s="590"/>
      <c r="DA10" s="590"/>
      <c r="DB10" s="590"/>
      <c r="DC10" s="590"/>
      <c r="DD10" s="590"/>
      <c r="DE10" s="590"/>
      <c r="DF10" s="590"/>
      <c r="DG10" s="590"/>
      <c r="DH10" s="590"/>
      <c r="DI10" s="590"/>
      <c r="DJ10" s="590"/>
      <c r="DK10" s="590"/>
      <c r="DL10" s="590"/>
      <c r="DM10" s="590"/>
      <c r="DN10" s="590"/>
      <c r="DO10" s="590"/>
      <c r="DP10" s="590"/>
      <c r="DQ10" s="590"/>
      <c r="DR10" s="590"/>
      <c r="DS10" s="590"/>
      <c r="DT10" s="590"/>
    </row>
    <row r="11" spans="1:124" s="24" customFormat="1" ht="59.25" customHeight="1" thickBot="1" x14ac:dyDescent="0.3">
      <c r="A11" s="1373"/>
      <c r="B11" s="1086" t="s">
        <v>591</v>
      </c>
      <c r="C11" s="714" t="s">
        <v>978</v>
      </c>
      <c r="D11" s="550" t="s">
        <v>1044</v>
      </c>
      <c r="E11" s="936" t="s">
        <v>934</v>
      </c>
      <c r="F11" s="1086" t="s">
        <v>591</v>
      </c>
      <c r="G11" s="550" t="s">
        <v>978</v>
      </c>
      <c r="H11" s="550" t="s">
        <v>1044</v>
      </c>
      <c r="I11" s="998" t="s">
        <v>934</v>
      </c>
      <c r="J11" s="963" t="s">
        <v>591</v>
      </c>
      <c r="K11" s="550" t="s">
        <v>978</v>
      </c>
      <c r="L11" s="550" t="s">
        <v>1044</v>
      </c>
      <c r="M11" s="936" t="s">
        <v>934</v>
      </c>
      <c r="N11" s="963" t="s">
        <v>591</v>
      </c>
      <c r="O11" s="550" t="s">
        <v>978</v>
      </c>
      <c r="P11" s="550" t="s">
        <v>1044</v>
      </c>
      <c r="Q11" s="936" t="s">
        <v>934</v>
      </c>
      <c r="R11" s="345"/>
      <c r="S11" s="965" t="s">
        <v>591</v>
      </c>
      <c r="T11" s="550" t="s">
        <v>978</v>
      </c>
      <c r="U11" s="550" t="s">
        <v>1044</v>
      </c>
      <c r="V11" s="966" t="s">
        <v>934</v>
      </c>
      <c r="W11" s="591"/>
      <c r="X11" s="591"/>
      <c r="Y11" s="591"/>
      <c r="Z11" s="591"/>
      <c r="AA11" s="591"/>
      <c r="AB11" s="591"/>
      <c r="AC11" s="591"/>
      <c r="AD11" s="591"/>
      <c r="AE11" s="591"/>
      <c r="AF11" s="591"/>
      <c r="AG11" s="591"/>
      <c r="AH11" s="591"/>
      <c r="AI11" s="591"/>
      <c r="AJ11" s="591"/>
      <c r="AK11" s="591"/>
      <c r="AL11" s="591"/>
      <c r="AM11" s="591"/>
      <c r="AN11" s="591"/>
      <c r="AO11" s="591"/>
      <c r="AP11" s="591"/>
      <c r="AQ11" s="591"/>
      <c r="AR11" s="591"/>
      <c r="AS11" s="591"/>
      <c r="AT11" s="591"/>
      <c r="AU11" s="591"/>
      <c r="AV11" s="591"/>
      <c r="AW11" s="591"/>
      <c r="AX11" s="591"/>
      <c r="AY11" s="591"/>
      <c r="AZ11" s="591"/>
      <c r="BA11" s="591"/>
      <c r="BB11" s="591"/>
      <c r="BC11" s="591"/>
      <c r="BD11" s="591"/>
      <c r="BE11" s="591"/>
      <c r="BF11" s="591"/>
      <c r="BG11" s="591"/>
      <c r="BH11" s="591"/>
      <c r="BI11" s="591"/>
      <c r="BJ11" s="591"/>
      <c r="BK11" s="591"/>
      <c r="BL11" s="591"/>
      <c r="BM11" s="591"/>
      <c r="BN11" s="591"/>
      <c r="BO11" s="591"/>
      <c r="BP11" s="591"/>
      <c r="BQ11" s="591"/>
      <c r="BR11" s="591"/>
      <c r="BS11" s="591"/>
      <c r="BT11" s="591"/>
      <c r="BU11" s="591"/>
      <c r="BV11" s="591"/>
      <c r="BW11" s="591"/>
      <c r="BX11" s="591"/>
      <c r="BY11" s="591"/>
      <c r="BZ11" s="591"/>
      <c r="CA11" s="591"/>
      <c r="CB11" s="591"/>
      <c r="CC11" s="591"/>
      <c r="CD11" s="591"/>
      <c r="CE11" s="591"/>
      <c r="CF11" s="591"/>
      <c r="CG11" s="591"/>
      <c r="CH11" s="591"/>
      <c r="CI11" s="591"/>
      <c r="CJ11" s="591"/>
      <c r="CK11" s="591"/>
      <c r="CL11" s="591"/>
      <c r="CM11" s="591"/>
      <c r="CN11" s="591"/>
      <c r="CO11" s="591"/>
      <c r="CP11" s="591"/>
      <c r="CQ11" s="591"/>
      <c r="CR11" s="591"/>
      <c r="CS11" s="591"/>
      <c r="CT11" s="591"/>
      <c r="CU11" s="591"/>
      <c r="CV11" s="591"/>
      <c r="CW11" s="591"/>
      <c r="CX11" s="591"/>
      <c r="CY11" s="591"/>
      <c r="CZ11" s="591"/>
      <c r="DA11" s="591"/>
      <c r="DB11" s="591"/>
      <c r="DC11" s="591"/>
      <c r="DD11" s="591"/>
      <c r="DE11" s="591"/>
      <c r="DF11" s="591"/>
      <c r="DG11" s="591"/>
      <c r="DH11" s="591"/>
      <c r="DI11" s="591"/>
      <c r="DJ11" s="591"/>
      <c r="DK11" s="591"/>
      <c r="DL11" s="591"/>
      <c r="DM11" s="591"/>
      <c r="DN11" s="591"/>
      <c r="DO11" s="591"/>
      <c r="DP11" s="591"/>
      <c r="DQ11" s="591"/>
      <c r="DR11" s="591"/>
      <c r="DS11" s="591"/>
      <c r="DT11" s="591"/>
    </row>
    <row r="12" spans="1:124" s="20" customFormat="1" ht="26.4" x14ac:dyDescent="0.25">
      <c r="A12" s="383" t="s">
        <v>58</v>
      </c>
      <c r="B12" s="162">
        <f t="shared" ref="B12:P12" si="0">B13</f>
        <v>1073750</v>
      </c>
      <c r="C12" s="1092">
        <f t="shared" si="0"/>
        <v>1073750</v>
      </c>
      <c r="D12" s="162">
        <f t="shared" si="0"/>
        <v>1073750</v>
      </c>
      <c r="E12" s="344">
        <f>D12-C12</f>
        <v>0</v>
      </c>
      <c r="F12" s="1094">
        <f t="shared" si="0"/>
        <v>122147500</v>
      </c>
      <c r="G12" s="1092">
        <f t="shared" si="0"/>
        <v>126655000</v>
      </c>
      <c r="H12" s="162">
        <f t="shared" si="0"/>
        <v>126655000</v>
      </c>
      <c r="I12" s="1189">
        <f>H12-G12</f>
        <v>0</v>
      </c>
      <c r="J12" s="1094">
        <f t="shared" si="0"/>
        <v>1971224</v>
      </c>
      <c r="K12" s="162">
        <f t="shared" si="0"/>
        <v>1971224</v>
      </c>
      <c r="L12" s="162">
        <f t="shared" si="0"/>
        <v>1971224</v>
      </c>
      <c r="M12" s="344">
        <f>L12-K12</f>
        <v>0</v>
      </c>
      <c r="N12" s="161">
        <f t="shared" si="0"/>
        <v>125192474</v>
      </c>
      <c r="O12" s="1092">
        <f t="shared" si="0"/>
        <v>129699974</v>
      </c>
      <c r="P12" s="162">
        <f t="shared" si="0"/>
        <v>129699974</v>
      </c>
      <c r="Q12" s="344">
        <f>P12-O12</f>
        <v>0</v>
      </c>
      <c r="R12" s="175">
        <f>R13+R16</f>
        <v>0</v>
      </c>
      <c r="S12" s="161">
        <f>S13+S16</f>
        <v>26342601</v>
      </c>
      <c r="T12" s="162">
        <f>T13+T16</f>
        <v>31072057</v>
      </c>
      <c r="U12" s="162">
        <f>U13+U16</f>
        <v>36947092</v>
      </c>
      <c r="V12" s="344">
        <f>U12-T12</f>
        <v>5875035</v>
      </c>
      <c r="W12" s="592"/>
      <c r="X12" s="592"/>
      <c r="Y12" s="592"/>
      <c r="Z12" s="592"/>
      <c r="AA12" s="592"/>
      <c r="AB12" s="592"/>
      <c r="AC12" s="592"/>
      <c r="AD12" s="592"/>
      <c r="AE12" s="592"/>
      <c r="AF12" s="592"/>
      <c r="AG12" s="592"/>
      <c r="AH12" s="592"/>
      <c r="AI12" s="592"/>
      <c r="AJ12" s="592"/>
      <c r="AK12" s="592"/>
      <c r="AL12" s="592"/>
      <c r="AM12" s="592"/>
      <c r="AN12" s="592"/>
      <c r="AO12" s="592"/>
      <c r="AP12" s="592"/>
      <c r="AQ12" s="592"/>
      <c r="AR12" s="592"/>
      <c r="AS12" s="592"/>
      <c r="AT12" s="592"/>
      <c r="AU12" s="592"/>
      <c r="AV12" s="592"/>
      <c r="AW12" s="592"/>
      <c r="AX12" s="592"/>
      <c r="AY12" s="592"/>
      <c r="AZ12" s="592"/>
      <c r="BA12" s="592"/>
      <c r="BB12" s="592"/>
      <c r="BC12" s="592"/>
      <c r="BD12" s="592"/>
      <c r="BE12" s="592"/>
      <c r="BF12" s="592"/>
      <c r="BG12" s="592"/>
      <c r="BH12" s="592"/>
      <c r="BI12" s="592"/>
      <c r="BJ12" s="592"/>
      <c r="BK12" s="592"/>
      <c r="BL12" s="592"/>
      <c r="BM12" s="592"/>
      <c r="BN12" s="592"/>
      <c r="BO12" s="592"/>
      <c r="BP12" s="592"/>
      <c r="BQ12" s="592"/>
      <c r="BR12" s="592"/>
      <c r="BS12" s="592"/>
      <c r="BT12" s="592"/>
      <c r="BU12" s="592"/>
      <c r="BV12" s="592"/>
      <c r="BW12" s="592"/>
      <c r="BX12" s="592"/>
      <c r="BY12" s="592"/>
      <c r="BZ12" s="592"/>
      <c r="CA12" s="592"/>
      <c r="CB12" s="592"/>
      <c r="CC12" s="592"/>
      <c r="CD12" s="592"/>
      <c r="CE12" s="592"/>
      <c r="CF12" s="592"/>
      <c r="CG12" s="592"/>
      <c r="CH12" s="592"/>
      <c r="CI12" s="592"/>
      <c r="CJ12" s="592"/>
      <c r="CK12" s="592"/>
      <c r="CL12" s="592"/>
      <c r="CM12" s="592"/>
      <c r="CN12" s="592"/>
      <c r="CO12" s="592"/>
      <c r="CP12" s="592"/>
      <c r="CQ12" s="592"/>
      <c r="CR12" s="592"/>
      <c r="CS12" s="592"/>
      <c r="CT12" s="592"/>
      <c r="CU12" s="592"/>
      <c r="CV12" s="592"/>
      <c r="CW12" s="592"/>
      <c r="CX12" s="592"/>
      <c r="CY12" s="592"/>
      <c r="CZ12" s="592"/>
      <c r="DA12" s="592"/>
      <c r="DB12" s="592"/>
      <c r="DC12" s="592"/>
      <c r="DD12" s="592"/>
      <c r="DE12" s="592"/>
      <c r="DF12" s="592"/>
      <c r="DG12" s="592"/>
      <c r="DH12" s="592"/>
      <c r="DI12" s="592"/>
      <c r="DJ12" s="592"/>
      <c r="DK12" s="592"/>
      <c r="DL12" s="592"/>
      <c r="DM12" s="592"/>
      <c r="DN12" s="592"/>
      <c r="DO12" s="592"/>
      <c r="DP12" s="592"/>
      <c r="DQ12" s="592"/>
      <c r="DR12" s="592"/>
      <c r="DS12" s="592"/>
      <c r="DT12" s="592"/>
    </row>
    <row r="13" spans="1:124" s="19" customFormat="1" ht="26.4" x14ac:dyDescent="0.25">
      <c r="A13" s="384" t="s">
        <v>455</v>
      </c>
      <c r="B13" s="593">
        <v>1073750</v>
      </c>
      <c r="C13" s="177">
        <v>1073750</v>
      </c>
      <c r="D13" s="141">
        <v>1073750</v>
      </c>
      <c r="E13" s="143">
        <f>D13-C13</f>
        <v>0</v>
      </c>
      <c r="F13" s="1095">
        <f>120000000+2147500</f>
        <v>122147500</v>
      </c>
      <c r="G13" s="141">
        <v>126655000</v>
      </c>
      <c r="H13" s="141">
        <v>126655000</v>
      </c>
      <c r="I13" s="141">
        <f t="shared" ref="I13:I44" si="1">H13-G13</f>
        <v>0</v>
      </c>
      <c r="J13" s="177">
        <v>1971224</v>
      </c>
      <c r="K13" s="141">
        <v>1971224</v>
      </c>
      <c r="L13" s="141">
        <v>1971224</v>
      </c>
      <c r="M13" s="143">
        <f>L13-K13</f>
        <v>0</v>
      </c>
      <c r="N13" s="1095">
        <f t="shared" ref="N13:P16" si="2">B13+F13+J13</f>
        <v>125192474</v>
      </c>
      <c r="O13" s="141">
        <f t="shared" si="2"/>
        <v>129699974</v>
      </c>
      <c r="P13" s="141">
        <f t="shared" si="2"/>
        <v>129699974</v>
      </c>
      <c r="Q13" s="1110">
        <f>P13-O13</f>
        <v>0</v>
      </c>
      <c r="R13" s="176"/>
      <c r="S13" s="158">
        <v>26342601</v>
      </c>
      <c r="T13" s="277">
        <v>31072057</v>
      </c>
      <c r="U13" s="277">
        <v>36947092</v>
      </c>
      <c r="V13" s="143">
        <f>U13-T13</f>
        <v>5875035</v>
      </c>
      <c r="W13" s="590"/>
      <c r="X13" s="590"/>
      <c r="Y13" s="590"/>
      <c r="Z13" s="590"/>
      <c r="AA13" s="590"/>
      <c r="AB13" s="590"/>
      <c r="AC13" s="590"/>
      <c r="AD13" s="590"/>
      <c r="AE13" s="590"/>
      <c r="AF13" s="590"/>
      <c r="AG13" s="590"/>
      <c r="AH13" s="590"/>
      <c r="AI13" s="590"/>
      <c r="AJ13" s="590"/>
      <c r="AK13" s="590"/>
      <c r="AL13" s="590"/>
      <c r="AM13" s="590"/>
      <c r="AN13" s="590"/>
      <c r="AO13" s="590"/>
      <c r="AP13" s="590"/>
      <c r="AQ13" s="590"/>
      <c r="AR13" s="590"/>
      <c r="AS13" s="590"/>
      <c r="AT13" s="590"/>
      <c r="AU13" s="590"/>
      <c r="AV13" s="590"/>
      <c r="AW13" s="590"/>
      <c r="AX13" s="590"/>
      <c r="AY13" s="590"/>
      <c r="AZ13" s="590"/>
      <c r="BA13" s="590"/>
      <c r="BB13" s="590"/>
      <c r="BC13" s="590"/>
      <c r="BD13" s="590"/>
      <c r="BE13" s="590"/>
      <c r="BF13" s="590"/>
      <c r="BG13" s="590"/>
      <c r="BH13" s="590"/>
      <c r="BI13" s="590"/>
      <c r="BJ13" s="590"/>
      <c r="BK13" s="590"/>
      <c r="BL13" s="590"/>
      <c r="BM13" s="590"/>
      <c r="BN13" s="590"/>
      <c r="BO13" s="590"/>
      <c r="BP13" s="590"/>
      <c r="BQ13" s="590"/>
      <c r="BR13" s="590"/>
      <c r="BS13" s="590"/>
      <c r="BT13" s="590"/>
      <c r="BU13" s="590"/>
      <c r="BV13" s="590"/>
      <c r="BW13" s="590"/>
      <c r="BX13" s="590"/>
      <c r="BY13" s="590"/>
      <c r="BZ13" s="590"/>
      <c r="CA13" s="590"/>
      <c r="CB13" s="590"/>
      <c r="CC13" s="590"/>
      <c r="CD13" s="590"/>
      <c r="CE13" s="590"/>
      <c r="CF13" s="590"/>
      <c r="CG13" s="590"/>
      <c r="CH13" s="590"/>
      <c r="CI13" s="590"/>
      <c r="CJ13" s="590"/>
      <c r="CK13" s="590"/>
      <c r="CL13" s="590"/>
      <c r="CM13" s="590"/>
      <c r="CN13" s="590"/>
      <c r="CO13" s="590"/>
      <c r="CP13" s="590"/>
      <c r="CQ13" s="590"/>
      <c r="CR13" s="590"/>
      <c r="CS13" s="590"/>
      <c r="CT13" s="590"/>
      <c r="CU13" s="590"/>
      <c r="CV13" s="590"/>
      <c r="CW13" s="590"/>
      <c r="CX13" s="590"/>
      <c r="CY13" s="590"/>
      <c r="CZ13" s="590"/>
      <c r="DA13" s="590"/>
      <c r="DB13" s="590"/>
      <c r="DC13" s="590"/>
      <c r="DD13" s="590"/>
      <c r="DE13" s="590"/>
      <c r="DF13" s="590"/>
      <c r="DG13" s="590"/>
      <c r="DH13" s="590"/>
      <c r="DI13" s="590"/>
      <c r="DJ13" s="590"/>
      <c r="DK13" s="590"/>
      <c r="DL13" s="590"/>
      <c r="DM13" s="590"/>
      <c r="DN13" s="590"/>
      <c r="DO13" s="590"/>
      <c r="DP13" s="590"/>
      <c r="DQ13" s="590"/>
      <c r="DR13" s="590"/>
      <c r="DS13" s="590"/>
      <c r="DT13" s="590"/>
    </row>
    <row r="14" spans="1:124" s="19" customFormat="1" ht="22.65" customHeight="1" x14ac:dyDescent="0.25">
      <c r="A14" s="384" t="s">
        <v>456</v>
      </c>
      <c r="B14" s="593"/>
      <c r="C14" s="177"/>
      <c r="D14" s="141"/>
      <c r="E14" s="143"/>
      <c r="F14" s="1095">
        <v>120000000</v>
      </c>
      <c r="G14" s="141">
        <v>124507500</v>
      </c>
      <c r="H14" s="141">
        <v>124507500</v>
      </c>
      <c r="I14" s="141">
        <f t="shared" si="1"/>
        <v>0</v>
      </c>
      <c r="J14" s="177"/>
      <c r="K14" s="141"/>
      <c r="L14" s="141"/>
      <c r="M14" s="143">
        <f t="shared" ref="M14:M51" si="3">L14-K14</f>
        <v>0</v>
      </c>
      <c r="N14" s="1095">
        <f t="shared" si="2"/>
        <v>120000000</v>
      </c>
      <c r="O14" s="141">
        <f t="shared" si="2"/>
        <v>124507500</v>
      </c>
      <c r="P14" s="141">
        <f t="shared" si="2"/>
        <v>124507500</v>
      </c>
      <c r="Q14" s="1110">
        <f t="shared" ref="Q14:Q57" si="4">P14-O14</f>
        <v>0</v>
      </c>
      <c r="R14" s="176"/>
      <c r="S14" s="158"/>
      <c r="T14" s="277"/>
      <c r="U14" s="277"/>
      <c r="V14" s="143"/>
      <c r="W14" s="590"/>
      <c r="X14" s="590"/>
      <c r="Y14" s="590"/>
      <c r="Z14" s="590"/>
      <c r="AA14" s="590"/>
      <c r="AB14" s="590"/>
      <c r="AC14" s="590"/>
      <c r="AD14" s="590"/>
      <c r="AE14" s="590"/>
      <c r="AF14" s="590"/>
      <c r="AG14" s="590"/>
      <c r="AH14" s="590"/>
      <c r="AI14" s="590"/>
      <c r="AJ14" s="590"/>
      <c r="AK14" s="590"/>
      <c r="AL14" s="590"/>
      <c r="AM14" s="590"/>
      <c r="AN14" s="590"/>
      <c r="AO14" s="590"/>
      <c r="AP14" s="590"/>
      <c r="AQ14" s="590"/>
      <c r="AR14" s="590"/>
      <c r="AS14" s="590"/>
      <c r="AT14" s="590"/>
      <c r="AU14" s="590"/>
      <c r="AV14" s="590"/>
      <c r="AW14" s="590"/>
      <c r="AX14" s="590"/>
      <c r="AY14" s="590"/>
      <c r="AZ14" s="590"/>
      <c r="BA14" s="590"/>
      <c r="BB14" s="590"/>
      <c r="BC14" s="590"/>
      <c r="BD14" s="590"/>
      <c r="BE14" s="590"/>
      <c r="BF14" s="590"/>
      <c r="BG14" s="590"/>
      <c r="BH14" s="590"/>
      <c r="BI14" s="590"/>
      <c r="BJ14" s="590"/>
      <c r="BK14" s="590"/>
      <c r="BL14" s="590"/>
      <c r="BM14" s="590"/>
      <c r="BN14" s="590"/>
      <c r="BO14" s="590"/>
      <c r="BP14" s="590"/>
      <c r="BQ14" s="590"/>
      <c r="BR14" s="590"/>
      <c r="BS14" s="590"/>
      <c r="BT14" s="590"/>
      <c r="BU14" s="590"/>
      <c r="BV14" s="590"/>
      <c r="BW14" s="590"/>
      <c r="BX14" s="590"/>
      <c r="BY14" s="590"/>
      <c r="BZ14" s="590"/>
      <c r="CA14" s="590"/>
      <c r="CB14" s="590"/>
      <c r="CC14" s="590"/>
      <c r="CD14" s="590"/>
      <c r="CE14" s="590"/>
      <c r="CF14" s="590"/>
      <c r="CG14" s="590"/>
      <c r="CH14" s="590"/>
      <c r="CI14" s="590"/>
      <c r="CJ14" s="590"/>
      <c r="CK14" s="590"/>
      <c r="CL14" s="590"/>
      <c r="CM14" s="590"/>
      <c r="CN14" s="590"/>
      <c r="CO14" s="590"/>
      <c r="CP14" s="590"/>
      <c r="CQ14" s="590"/>
      <c r="CR14" s="590"/>
      <c r="CS14" s="590"/>
      <c r="CT14" s="590"/>
      <c r="CU14" s="590"/>
      <c r="CV14" s="590"/>
      <c r="CW14" s="590"/>
      <c r="CX14" s="590"/>
      <c r="CY14" s="590"/>
      <c r="CZ14" s="590"/>
      <c r="DA14" s="590"/>
      <c r="DB14" s="590"/>
      <c r="DC14" s="590"/>
      <c r="DD14" s="590"/>
      <c r="DE14" s="590"/>
      <c r="DF14" s="590"/>
      <c r="DG14" s="590"/>
      <c r="DH14" s="590"/>
      <c r="DI14" s="590"/>
      <c r="DJ14" s="590"/>
      <c r="DK14" s="590"/>
      <c r="DL14" s="590"/>
      <c r="DM14" s="590"/>
      <c r="DN14" s="590"/>
      <c r="DO14" s="590"/>
      <c r="DP14" s="590"/>
      <c r="DQ14" s="590"/>
      <c r="DR14" s="590"/>
      <c r="DS14" s="590"/>
      <c r="DT14" s="590"/>
    </row>
    <row r="15" spans="1:124" s="20" customFormat="1" ht="23.25" customHeight="1" x14ac:dyDescent="0.25">
      <c r="A15" s="385" t="s">
        <v>411</v>
      </c>
      <c r="B15" s="594"/>
      <c r="C15" s="171"/>
      <c r="D15" s="106"/>
      <c r="E15" s="1252">
        <f>D15-C15</f>
        <v>0</v>
      </c>
      <c r="F15" s="1096">
        <f>F16</f>
        <v>0</v>
      </c>
      <c r="G15" s="145"/>
      <c r="H15" s="106">
        <f>SUM(H16)</f>
        <v>312424</v>
      </c>
      <c r="I15" s="106">
        <f t="shared" si="1"/>
        <v>312424</v>
      </c>
      <c r="J15" s="177"/>
      <c r="K15" s="106">
        <f>K16</f>
        <v>0</v>
      </c>
      <c r="L15" s="106">
        <f>L16</f>
        <v>0</v>
      </c>
      <c r="M15" s="143">
        <f t="shared" si="3"/>
        <v>0</v>
      </c>
      <c r="N15" s="1096">
        <f t="shared" si="2"/>
        <v>0</v>
      </c>
      <c r="O15" s="106">
        <f t="shared" si="2"/>
        <v>0</v>
      </c>
      <c r="P15" s="106">
        <f t="shared" si="2"/>
        <v>312424</v>
      </c>
      <c r="Q15" s="1110">
        <f t="shared" si="4"/>
        <v>312424</v>
      </c>
      <c r="R15" s="171">
        <f>R16</f>
        <v>0</v>
      </c>
      <c r="S15" s="157"/>
      <c r="T15" s="145"/>
      <c r="U15" s="145"/>
      <c r="V15" s="143"/>
      <c r="W15" s="592"/>
      <c r="X15" s="592"/>
      <c r="Y15" s="592"/>
      <c r="Z15" s="592"/>
      <c r="AA15" s="592"/>
      <c r="AB15" s="592"/>
      <c r="AC15" s="592"/>
      <c r="AD15" s="592"/>
      <c r="AE15" s="592"/>
      <c r="AF15" s="592"/>
      <c r="AG15" s="592"/>
      <c r="AH15" s="592"/>
      <c r="AI15" s="592"/>
      <c r="AJ15" s="592"/>
      <c r="AK15" s="592"/>
      <c r="AL15" s="592"/>
      <c r="AM15" s="592"/>
      <c r="AN15" s="592"/>
      <c r="AO15" s="592"/>
      <c r="AP15" s="592"/>
      <c r="AQ15" s="592"/>
      <c r="AR15" s="592"/>
      <c r="AS15" s="592"/>
      <c r="AT15" s="592"/>
      <c r="AU15" s="592"/>
      <c r="AV15" s="592"/>
      <c r="AW15" s="592"/>
      <c r="AX15" s="592"/>
      <c r="AY15" s="592"/>
      <c r="AZ15" s="592"/>
      <c r="BA15" s="592"/>
      <c r="BB15" s="592"/>
      <c r="BC15" s="592"/>
      <c r="BD15" s="592"/>
      <c r="BE15" s="592"/>
      <c r="BF15" s="592"/>
      <c r="BG15" s="592"/>
      <c r="BH15" s="592"/>
      <c r="BI15" s="592"/>
      <c r="BJ15" s="592"/>
      <c r="BK15" s="592"/>
      <c r="BL15" s="592"/>
      <c r="BM15" s="592"/>
      <c r="BN15" s="592"/>
      <c r="BO15" s="592"/>
      <c r="BP15" s="592"/>
      <c r="BQ15" s="592"/>
      <c r="BR15" s="592"/>
      <c r="BS15" s="592"/>
      <c r="BT15" s="592"/>
      <c r="BU15" s="592"/>
      <c r="BV15" s="592"/>
      <c r="BW15" s="592"/>
      <c r="BX15" s="592"/>
      <c r="BY15" s="592"/>
      <c r="BZ15" s="592"/>
      <c r="CA15" s="592"/>
      <c r="CB15" s="592"/>
      <c r="CC15" s="592"/>
      <c r="CD15" s="592"/>
      <c r="CE15" s="592"/>
      <c r="CF15" s="592"/>
      <c r="CG15" s="592"/>
      <c r="CH15" s="592"/>
      <c r="CI15" s="592"/>
      <c r="CJ15" s="592"/>
      <c r="CK15" s="592"/>
      <c r="CL15" s="592"/>
      <c r="CM15" s="592"/>
      <c r="CN15" s="592"/>
      <c r="CO15" s="592"/>
      <c r="CP15" s="592"/>
      <c r="CQ15" s="592"/>
      <c r="CR15" s="592"/>
      <c r="CS15" s="592"/>
      <c r="CT15" s="592"/>
      <c r="CU15" s="592"/>
      <c r="CV15" s="592"/>
      <c r="CW15" s="592"/>
      <c r="CX15" s="592"/>
      <c r="CY15" s="592"/>
      <c r="CZ15" s="592"/>
      <c r="DA15" s="592"/>
      <c r="DB15" s="592"/>
      <c r="DC15" s="592"/>
      <c r="DD15" s="592"/>
      <c r="DE15" s="592"/>
      <c r="DF15" s="592"/>
      <c r="DG15" s="592"/>
      <c r="DH15" s="592"/>
      <c r="DI15" s="592"/>
      <c r="DJ15" s="592"/>
      <c r="DK15" s="592"/>
      <c r="DL15" s="592"/>
      <c r="DM15" s="592"/>
      <c r="DN15" s="592"/>
      <c r="DO15" s="592"/>
      <c r="DP15" s="592"/>
      <c r="DQ15" s="592"/>
      <c r="DR15" s="592"/>
      <c r="DS15" s="592"/>
      <c r="DT15" s="592"/>
    </row>
    <row r="16" spans="1:124" s="19" customFormat="1" ht="26.4" x14ac:dyDescent="0.25">
      <c r="A16" s="384" t="s">
        <v>461</v>
      </c>
      <c r="B16" s="593"/>
      <c r="C16" s="177"/>
      <c r="D16" s="141"/>
      <c r="E16" s="143"/>
      <c r="F16" s="1095"/>
      <c r="G16" s="277"/>
      <c r="H16" s="141">
        <v>312424</v>
      </c>
      <c r="I16" s="141">
        <f t="shared" si="1"/>
        <v>312424</v>
      </c>
      <c r="J16" s="177"/>
      <c r="K16" s="141"/>
      <c r="L16" s="141"/>
      <c r="M16" s="143"/>
      <c r="N16" s="1095">
        <f t="shared" si="2"/>
        <v>0</v>
      </c>
      <c r="O16" s="141">
        <f t="shared" si="2"/>
        <v>0</v>
      </c>
      <c r="P16" s="141">
        <f t="shared" si="2"/>
        <v>312424</v>
      </c>
      <c r="Q16" s="1110">
        <f t="shared" si="4"/>
        <v>312424</v>
      </c>
      <c r="R16" s="176"/>
      <c r="S16" s="158"/>
      <c r="T16" s="277"/>
      <c r="U16" s="277"/>
      <c r="V16" s="143"/>
      <c r="W16" s="590"/>
      <c r="X16" s="590"/>
      <c r="Y16" s="590"/>
      <c r="Z16" s="590"/>
      <c r="AA16" s="590"/>
      <c r="AB16" s="590"/>
      <c r="AC16" s="590"/>
      <c r="AD16" s="590"/>
      <c r="AE16" s="590"/>
      <c r="AF16" s="590"/>
      <c r="AG16" s="590"/>
      <c r="AH16" s="590"/>
      <c r="AI16" s="590"/>
      <c r="AJ16" s="590"/>
      <c r="AK16" s="590"/>
      <c r="AL16" s="590"/>
      <c r="AM16" s="590"/>
      <c r="AN16" s="590"/>
      <c r="AO16" s="590"/>
      <c r="AP16" s="590"/>
      <c r="AQ16" s="590"/>
      <c r="AR16" s="590"/>
      <c r="AS16" s="590"/>
      <c r="AT16" s="590"/>
      <c r="AU16" s="590"/>
      <c r="AV16" s="590"/>
      <c r="AW16" s="590"/>
      <c r="AX16" s="590"/>
      <c r="AY16" s="590"/>
      <c r="AZ16" s="590"/>
      <c r="BA16" s="590"/>
      <c r="BB16" s="590"/>
      <c r="BC16" s="590"/>
      <c r="BD16" s="590"/>
      <c r="BE16" s="590"/>
      <c r="BF16" s="590"/>
      <c r="BG16" s="590"/>
      <c r="BH16" s="590"/>
      <c r="BI16" s="590"/>
      <c r="BJ16" s="590"/>
      <c r="BK16" s="590"/>
      <c r="BL16" s="590"/>
      <c r="BM16" s="590"/>
      <c r="BN16" s="590"/>
      <c r="BO16" s="590"/>
      <c r="BP16" s="590"/>
      <c r="BQ16" s="590"/>
      <c r="BR16" s="590"/>
      <c r="BS16" s="590"/>
      <c r="BT16" s="590"/>
      <c r="BU16" s="590"/>
      <c r="BV16" s="590"/>
      <c r="BW16" s="590"/>
      <c r="BX16" s="590"/>
      <c r="BY16" s="590"/>
      <c r="BZ16" s="590"/>
      <c r="CA16" s="590"/>
      <c r="CB16" s="590"/>
      <c r="CC16" s="590"/>
      <c r="CD16" s="590"/>
      <c r="CE16" s="590"/>
      <c r="CF16" s="590"/>
      <c r="CG16" s="590"/>
      <c r="CH16" s="590"/>
      <c r="CI16" s="590"/>
      <c r="CJ16" s="590"/>
      <c r="CK16" s="590"/>
      <c r="CL16" s="590"/>
      <c r="CM16" s="590"/>
      <c r="CN16" s="590"/>
      <c r="CO16" s="590"/>
      <c r="CP16" s="590"/>
      <c r="CQ16" s="590"/>
      <c r="CR16" s="590"/>
      <c r="CS16" s="590"/>
      <c r="CT16" s="590"/>
      <c r="CU16" s="590"/>
      <c r="CV16" s="590"/>
      <c r="CW16" s="590"/>
      <c r="CX16" s="590"/>
      <c r="CY16" s="590"/>
      <c r="CZ16" s="590"/>
      <c r="DA16" s="590"/>
      <c r="DB16" s="590"/>
      <c r="DC16" s="590"/>
      <c r="DD16" s="590"/>
      <c r="DE16" s="590"/>
      <c r="DF16" s="590"/>
      <c r="DG16" s="590"/>
      <c r="DH16" s="590"/>
      <c r="DI16" s="590"/>
      <c r="DJ16" s="590"/>
      <c r="DK16" s="590"/>
      <c r="DL16" s="590"/>
      <c r="DM16" s="590"/>
      <c r="DN16" s="590"/>
      <c r="DO16" s="590"/>
      <c r="DP16" s="590"/>
      <c r="DQ16" s="590"/>
      <c r="DR16" s="590"/>
      <c r="DS16" s="590"/>
      <c r="DT16" s="590"/>
    </row>
    <row r="17" spans="1:124" s="20" customFormat="1" x14ac:dyDescent="0.25">
      <c r="A17" s="386" t="s">
        <v>59</v>
      </c>
      <c r="B17" s="594"/>
      <c r="C17" s="171"/>
      <c r="D17" s="106"/>
      <c r="E17" s="1252"/>
      <c r="F17" s="1096"/>
      <c r="G17" s="145"/>
      <c r="H17" s="145"/>
      <c r="I17" s="106"/>
      <c r="J17" s="171"/>
      <c r="K17" s="106"/>
      <c r="L17" s="106"/>
      <c r="M17" s="143"/>
      <c r="N17" s="157">
        <f>B17+F17+J17</f>
        <v>0</v>
      </c>
      <c r="O17" s="106"/>
      <c r="P17" s="106"/>
      <c r="Q17" s="1110">
        <f t="shared" si="4"/>
        <v>0</v>
      </c>
      <c r="R17" s="171" t="e">
        <f>#REF!+#REF!+#REF!+#REF!+#REF!</f>
        <v>#REF!</v>
      </c>
      <c r="S17" s="181">
        <f>SUM(S18:S20)</f>
        <v>500000</v>
      </c>
      <c r="T17" s="76">
        <f>SUM(T18:T20)</f>
        <v>500000</v>
      </c>
      <c r="U17" s="76">
        <f>SUM(U18:U20)</f>
        <v>500000</v>
      </c>
      <c r="V17" s="143">
        <f t="shared" ref="V17:V59" si="5">U17-T17</f>
        <v>0</v>
      </c>
      <c r="W17" s="592"/>
      <c r="X17" s="592"/>
      <c r="Y17" s="592"/>
      <c r="Z17" s="592"/>
      <c r="AA17" s="592"/>
      <c r="AB17" s="592"/>
      <c r="AC17" s="592"/>
      <c r="AD17" s="592"/>
      <c r="AE17" s="592"/>
      <c r="AF17" s="592"/>
      <c r="AG17" s="592"/>
      <c r="AH17" s="592"/>
      <c r="AI17" s="592"/>
      <c r="AJ17" s="592"/>
      <c r="AK17" s="592"/>
      <c r="AL17" s="592"/>
      <c r="AM17" s="592"/>
      <c r="AN17" s="592"/>
      <c r="AO17" s="592"/>
      <c r="AP17" s="592"/>
      <c r="AQ17" s="592"/>
      <c r="AR17" s="592"/>
      <c r="AS17" s="592"/>
      <c r="AT17" s="592"/>
      <c r="AU17" s="592"/>
      <c r="AV17" s="592"/>
      <c r="AW17" s="592"/>
      <c r="AX17" s="592"/>
      <c r="AY17" s="592"/>
      <c r="AZ17" s="592"/>
      <c r="BA17" s="592"/>
      <c r="BB17" s="592"/>
      <c r="BC17" s="592"/>
      <c r="BD17" s="592"/>
      <c r="BE17" s="592"/>
      <c r="BF17" s="592"/>
      <c r="BG17" s="592"/>
      <c r="BH17" s="592"/>
      <c r="BI17" s="592"/>
      <c r="BJ17" s="592"/>
      <c r="BK17" s="592"/>
      <c r="BL17" s="592"/>
      <c r="BM17" s="592"/>
      <c r="BN17" s="592"/>
      <c r="BO17" s="592"/>
      <c r="BP17" s="592"/>
      <c r="BQ17" s="592"/>
      <c r="BR17" s="592"/>
      <c r="BS17" s="592"/>
      <c r="BT17" s="592"/>
      <c r="BU17" s="592"/>
      <c r="BV17" s="592"/>
      <c r="BW17" s="592"/>
      <c r="BX17" s="592"/>
      <c r="BY17" s="592"/>
      <c r="BZ17" s="592"/>
      <c r="CA17" s="592"/>
      <c r="CB17" s="592"/>
      <c r="CC17" s="592"/>
      <c r="CD17" s="592"/>
      <c r="CE17" s="592"/>
      <c r="CF17" s="592"/>
      <c r="CG17" s="592"/>
      <c r="CH17" s="592"/>
      <c r="CI17" s="592"/>
      <c r="CJ17" s="592"/>
      <c r="CK17" s="592"/>
      <c r="CL17" s="592"/>
      <c r="CM17" s="592"/>
      <c r="CN17" s="592"/>
      <c r="CO17" s="592"/>
      <c r="CP17" s="592"/>
      <c r="CQ17" s="592"/>
      <c r="CR17" s="592"/>
      <c r="CS17" s="592"/>
      <c r="CT17" s="592"/>
      <c r="CU17" s="592"/>
      <c r="CV17" s="592"/>
      <c r="CW17" s="592"/>
      <c r="CX17" s="592"/>
      <c r="CY17" s="592"/>
      <c r="CZ17" s="592"/>
      <c r="DA17" s="592"/>
      <c r="DB17" s="592"/>
      <c r="DC17" s="592"/>
      <c r="DD17" s="592"/>
      <c r="DE17" s="592"/>
      <c r="DF17" s="592"/>
      <c r="DG17" s="592"/>
      <c r="DH17" s="592"/>
      <c r="DI17" s="592"/>
      <c r="DJ17" s="592"/>
      <c r="DK17" s="592"/>
      <c r="DL17" s="592"/>
      <c r="DM17" s="592"/>
      <c r="DN17" s="592"/>
      <c r="DO17" s="592"/>
      <c r="DP17" s="592"/>
      <c r="DQ17" s="592"/>
      <c r="DR17" s="592"/>
      <c r="DS17" s="592"/>
      <c r="DT17" s="592"/>
    </row>
    <row r="18" spans="1:124" s="19" customFormat="1" x14ac:dyDescent="0.25">
      <c r="A18" s="384" t="s">
        <v>462</v>
      </c>
      <c r="B18" s="593"/>
      <c r="C18" s="177"/>
      <c r="D18" s="141"/>
      <c r="E18" s="143"/>
      <c r="F18" s="1095"/>
      <c r="G18" s="277"/>
      <c r="H18" s="277"/>
      <c r="I18" s="106"/>
      <c r="J18" s="177"/>
      <c r="K18" s="141"/>
      <c r="L18" s="141"/>
      <c r="M18" s="143"/>
      <c r="N18" s="158">
        <f>B18+F18+J18</f>
        <v>0</v>
      </c>
      <c r="O18" s="141"/>
      <c r="P18" s="141"/>
      <c r="Q18" s="1110">
        <f t="shared" si="4"/>
        <v>0</v>
      </c>
      <c r="R18" s="177" t="e">
        <f>#REF!+#REF!+#REF!+#REF!+#REF!+#REF!+#REF!+#REF!+#REF!+#REF!+#REF!+#REF!+#REF!+#REF!+#REF!</f>
        <v>#REF!</v>
      </c>
      <c r="S18" s="158"/>
      <c r="T18" s="277"/>
      <c r="U18" s="277"/>
      <c r="V18" s="143"/>
      <c r="W18" s="590"/>
      <c r="X18" s="590"/>
      <c r="Y18" s="590"/>
      <c r="Z18" s="590"/>
      <c r="AA18" s="590"/>
      <c r="AB18" s="590"/>
      <c r="AC18" s="590"/>
      <c r="AD18" s="590"/>
      <c r="AE18" s="590"/>
      <c r="AF18" s="590"/>
      <c r="AG18" s="590"/>
      <c r="AH18" s="590"/>
      <c r="AI18" s="590"/>
      <c r="AJ18" s="590"/>
      <c r="AK18" s="590"/>
      <c r="AL18" s="590"/>
      <c r="AM18" s="590"/>
      <c r="AN18" s="590"/>
      <c r="AO18" s="590"/>
      <c r="AP18" s="590"/>
      <c r="AQ18" s="590"/>
      <c r="AR18" s="590"/>
      <c r="AS18" s="590"/>
      <c r="AT18" s="590"/>
      <c r="AU18" s="590"/>
      <c r="AV18" s="590"/>
      <c r="AW18" s="590"/>
      <c r="AX18" s="590"/>
      <c r="AY18" s="590"/>
      <c r="AZ18" s="590"/>
      <c r="BA18" s="590"/>
      <c r="BB18" s="590"/>
      <c r="BC18" s="590"/>
      <c r="BD18" s="590"/>
      <c r="BE18" s="590"/>
      <c r="BF18" s="590"/>
      <c r="BG18" s="590"/>
      <c r="BH18" s="590"/>
      <c r="BI18" s="590"/>
      <c r="BJ18" s="590"/>
      <c r="BK18" s="590"/>
      <c r="BL18" s="590"/>
      <c r="BM18" s="590"/>
      <c r="BN18" s="590"/>
      <c r="BO18" s="590"/>
      <c r="BP18" s="590"/>
      <c r="BQ18" s="590"/>
      <c r="BR18" s="590"/>
      <c r="BS18" s="590"/>
      <c r="BT18" s="590"/>
      <c r="BU18" s="590"/>
      <c r="BV18" s="590"/>
      <c r="BW18" s="590"/>
      <c r="BX18" s="590"/>
      <c r="BY18" s="590"/>
      <c r="BZ18" s="590"/>
      <c r="CA18" s="590"/>
      <c r="CB18" s="590"/>
      <c r="CC18" s="590"/>
      <c r="CD18" s="590"/>
      <c r="CE18" s="590"/>
      <c r="CF18" s="590"/>
      <c r="CG18" s="590"/>
      <c r="CH18" s="590"/>
      <c r="CI18" s="590"/>
      <c r="CJ18" s="590"/>
      <c r="CK18" s="590"/>
      <c r="CL18" s="590"/>
      <c r="CM18" s="590"/>
      <c r="CN18" s="590"/>
      <c r="CO18" s="590"/>
      <c r="CP18" s="590"/>
      <c r="CQ18" s="590"/>
      <c r="CR18" s="590"/>
      <c r="CS18" s="590"/>
      <c r="CT18" s="590"/>
      <c r="CU18" s="590"/>
      <c r="CV18" s="590"/>
      <c r="CW18" s="590"/>
      <c r="CX18" s="590"/>
      <c r="CY18" s="590"/>
      <c r="CZ18" s="590"/>
      <c r="DA18" s="590"/>
      <c r="DB18" s="590"/>
      <c r="DC18" s="590"/>
      <c r="DD18" s="590"/>
      <c r="DE18" s="590"/>
      <c r="DF18" s="590"/>
      <c r="DG18" s="590"/>
      <c r="DH18" s="590"/>
      <c r="DI18" s="590"/>
      <c r="DJ18" s="590"/>
      <c r="DK18" s="590"/>
      <c r="DL18" s="590"/>
      <c r="DM18" s="590"/>
      <c r="DN18" s="590"/>
      <c r="DO18" s="590"/>
      <c r="DP18" s="590"/>
      <c r="DQ18" s="590"/>
      <c r="DR18" s="590"/>
      <c r="DS18" s="590"/>
      <c r="DT18" s="590"/>
    </row>
    <row r="19" spans="1:124" s="19" customFormat="1" x14ac:dyDescent="0.25">
      <c r="A19" s="384" t="s">
        <v>465</v>
      </c>
      <c r="B19" s="593"/>
      <c r="C19" s="177"/>
      <c r="D19" s="141"/>
      <c r="E19" s="143"/>
      <c r="F19" s="1095"/>
      <c r="G19" s="277"/>
      <c r="H19" s="277"/>
      <c r="I19" s="106"/>
      <c r="J19" s="177"/>
      <c r="K19" s="141"/>
      <c r="L19" s="141"/>
      <c r="M19" s="143"/>
      <c r="N19" s="158">
        <f>B19+F19+J19</f>
        <v>0</v>
      </c>
      <c r="O19" s="141"/>
      <c r="P19" s="141"/>
      <c r="Q19" s="1110">
        <f t="shared" si="4"/>
        <v>0</v>
      </c>
      <c r="R19" s="176"/>
      <c r="S19" s="158"/>
      <c r="T19" s="277"/>
      <c r="U19" s="277"/>
      <c r="V19" s="143"/>
      <c r="W19" s="590"/>
      <c r="X19" s="590"/>
      <c r="Y19" s="590"/>
      <c r="Z19" s="590"/>
      <c r="AA19" s="590"/>
      <c r="AB19" s="590"/>
      <c r="AC19" s="590"/>
      <c r="AD19" s="590"/>
      <c r="AE19" s="590"/>
      <c r="AF19" s="590"/>
      <c r="AG19" s="590"/>
      <c r="AH19" s="590"/>
      <c r="AI19" s="590"/>
      <c r="AJ19" s="590"/>
      <c r="AK19" s="590"/>
      <c r="AL19" s="590"/>
      <c r="AM19" s="590"/>
      <c r="AN19" s="590"/>
      <c r="AO19" s="590"/>
      <c r="AP19" s="590"/>
      <c r="AQ19" s="590"/>
      <c r="AR19" s="590"/>
      <c r="AS19" s="590"/>
      <c r="AT19" s="590"/>
      <c r="AU19" s="590"/>
      <c r="AV19" s="590"/>
      <c r="AW19" s="590"/>
      <c r="AX19" s="590"/>
      <c r="AY19" s="590"/>
      <c r="AZ19" s="590"/>
      <c r="BA19" s="590"/>
      <c r="BB19" s="590"/>
      <c r="BC19" s="590"/>
      <c r="BD19" s="590"/>
      <c r="BE19" s="590"/>
      <c r="BF19" s="590"/>
      <c r="BG19" s="590"/>
      <c r="BH19" s="590"/>
      <c r="BI19" s="590"/>
      <c r="BJ19" s="590"/>
      <c r="BK19" s="590"/>
      <c r="BL19" s="590"/>
      <c r="BM19" s="590"/>
      <c r="BN19" s="590"/>
      <c r="BO19" s="590"/>
      <c r="BP19" s="590"/>
      <c r="BQ19" s="590"/>
      <c r="BR19" s="590"/>
      <c r="BS19" s="590"/>
      <c r="BT19" s="590"/>
      <c r="BU19" s="590"/>
      <c r="BV19" s="590"/>
      <c r="BW19" s="590"/>
      <c r="BX19" s="590"/>
      <c r="BY19" s="590"/>
      <c r="BZ19" s="590"/>
      <c r="CA19" s="590"/>
      <c r="CB19" s="590"/>
      <c r="CC19" s="590"/>
      <c r="CD19" s="590"/>
      <c r="CE19" s="590"/>
      <c r="CF19" s="590"/>
      <c r="CG19" s="590"/>
      <c r="CH19" s="590"/>
      <c r="CI19" s="590"/>
      <c r="CJ19" s="590"/>
      <c r="CK19" s="590"/>
      <c r="CL19" s="590"/>
      <c r="CM19" s="590"/>
      <c r="CN19" s="590"/>
      <c r="CO19" s="590"/>
      <c r="CP19" s="590"/>
      <c r="CQ19" s="590"/>
      <c r="CR19" s="590"/>
      <c r="CS19" s="590"/>
      <c r="CT19" s="590"/>
      <c r="CU19" s="590"/>
      <c r="CV19" s="590"/>
      <c r="CW19" s="590"/>
      <c r="CX19" s="590"/>
      <c r="CY19" s="590"/>
      <c r="CZ19" s="590"/>
      <c r="DA19" s="590"/>
      <c r="DB19" s="590"/>
      <c r="DC19" s="590"/>
      <c r="DD19" s="590"/>
      <c r="DE19" s="590"/>
      <c r="DF19" s="590"/>
      <c r="DG19" s="590"/>
      <c r="DH19" s="590"/>
      <c r="DI19" s="590"/>
      <c r="DJ19" s="590"/>
      <c r="DK19" s="590"/>
      <c r="DL19" s="590"/>
      <c r="DM19" s="590"/>
      <c r="DN19" s="590"/>
      <c r="DO19" s="590"/>
      <c r="DP19" s="590"/>
      <c r="DQ19" s="590"/>
      <c r="DR19" s="590"/>
      <c r="DS19" s="590"/>
      <c r="DT19" s="590"/>
    </row>
    <row r="20" spans="1:124" s="19" customFormat="1" ht="15" customHeight="1" x14ac:dyDescent="0.25">
      <c r="A20" s="384" t="s">
        <v>472</v>
      </c>
      <c r="B20" s="593"/>
      <c r="C20" s="177"/>
      <c r="D20" s="141"/>
      <c r="E20" s="143"/>
      <c r="F20" s="1095"/>
      <c r="G20" s="277"/>
      <c r="H20" s="277"/>
      <c r="I20" s="106"/>
      <c r="J20" s="177"/>
      <c r="K20" s="141"/>
      <c r="L20" s="141"/>
      <c r="M20" s="143"/>
      <c r="N20" s="158">
        <f>B20+F20+J20</f>
        <v>0</v>
      </c>
      <c r="O20" s="141"/>
      <c r="P20" s="141"/>
      <c r="Q20" s="1110">
        <f t="shared" si="4"/>
        <v>0</v>
      </c>
      <c r="R20" s="176"/>
      <c r="S20" s="158">
        <v>500000</v>
      </c>
      <c r="T20" s="141">
        <v>500000</v>
      </c>
      <c r="U20" s="141">
        <v>500000</v>
      </c>
      <c r="V20" s="143">
        <f t="shared" si="5"/>
        <v>0</v>
      </c>
      <c r="W20" s="590"/>
      <c r="X20" s="590"/>
      <c r="Y20" s="590"/>
      <c r="Z20" s="590"/>
      <c r="AA20" s="590"/>
      <c r="AB20" s="590"/>
      <c r="AC20" s="590"/>
      <c r="AD20" s="590"/>
      <c r="AE20" s="590"/>
      <c r="AF20" s="590"/>
      <c r="AG20" s="590"/>
      <c r="AH20" s="590"/>
      <c r="AI20" s="590"/>
      <c r="AJ20" s="590"/>
      <c r="AK20" s="590"/>
      <c r="AL20" s="590"/>
      <c r="AM20" s="590"/>
      <c r="AN20" s="590"/>
      <c r="AO20" s="590"/>
      <c r="AP20" s="590"/>
      <c r="AQ20" s="590"/>
      <c r="AR20" s="590"/>
      <c r="AS20" s="590"/>
      <c r="AT20" s="590"/>
      <c r="AU20" s="590"/>
      <c r="AV20" s="590"/>
      <c r="AW20" s="590"/>
      <c r="AX20" s="590"/>
      <c r="AY20" s="590"/>
      <c r="AZ20" s="590"/>
      <c r="BA20" s="590"/>
      <c r="BB20" s="590"/>
      <c r="BC20" s="590"/>
      <c r="BD20" s="590"/>
      <c r="BE20" s="590"/>
      <c r="BF20" s="590"/>
      <c r="BG20" s="590"/>
      <c r="BH20" s="590"/>
      <c r="BI20" s="590"/>
      <c r="BJ20" s="590"/>
      <c r="BK20" s="590"/>
      <c r="BL20" s="590"/>
      <c r="BM20" s="590"/>
      <c r="BN20" s="590"/>
      <c r="BO20" s="590"/>
      <c r="BP20" s="590"/>
      <c r="BQ20" s="590"/>
      <c r="BR20" s="590"/>
      <c r="BS20" s="590"/>
      <c r="BT20" s="590"/>
      <c r="BU20" s="590"/>
      <c r="BV20" s="590"/>
      <c r="BW20" s="590"/>
      <c r="BX20" s="590"/>
      <c r="BY20" s="590"/>
      <c r="BZ20" s="590"/>
      <c r="CA20" s="590"/>
      <c r="CB20" s="590"/>
      <c r="CC20" s="590"/>
      <c r="CD20" s="590"/>
      <c r="CE20" s="590"/>
      <c r="CF20" s="590"/>
      <c r="CG20" s="590"/>
      <c r="CH20" s="590"/>
      <c r="CI20" s="590"/>
      <c r="CJ20" s="590"/>
      <c r="CK20" s="590"/>
      <c r="CL20" s="590"/>
      <c r="CM20" s="590"/>
      <c r="CN20" s="590"/>
      <c r="CO20" s="590"/>
      <c r="CP20" s="590"/>
      <c r="CQ20" s="590"/>
      <c r="CR20" s="590"/>
      <c r="CS20" s="590"/>
      <c r="CT20" s="590"/>
      <c r="CU20" s="590"/>
      <c r="CV20" s="590"/>
      <c r="CW20" s="590"/>
      <c r="CX20" s="590"/>
      <c r="CY20" s="590"/>
      <c r="CZ20" s="590"/>
      <c r="DA20" s="590"/>
      <c r="DB20" s="590"/>
      <c r="DC20" s="590"/>
      <c r="DD20" s="590"/>
      <c r="DE20" s="590"/>
      <c r="DF20" s="590"/>
      <c r="DG20" s="590"/>
      <c r="DH20" s="590"/>
      <c r="DI20" s="590"/>
      <c r="DJ20" s="590"/>
      <c r="DK20" s="590"/>
      <c r="DL20" s="590"/>
      <c r="DM20" s="590"/>
      <c r="DN20" s="590"/>
      <c r="DO20" s="590"/>
      <c r="DP20" s="590"/>
      <c r="DQ20" s="590"/>
      <c r="DR20" s="590"/>
      <c r="DS20" s="590"/>
      <c r="DT20" s="590"/>
    </row>
    <row r="21" spans="1:124" s="24" customFormat="1" x14ac:dyDescent="0.25">
      <c r="A21" s="386" t="s">
        <v>473</v>
      </c>
      <c r="B21" s="106">
        <f t="shared" ref="B21:C21" si="6">B22+B23+B25+B26+B27+B28+B29+B30+B33</f>
        <v>2790000</v>
      </c>
      <c r="C21" s="145">
        <f t="shared" si="6"/>
        <v>2290000</v>
      </c>
      <c r="D21" s="106">
        <f t="shared" ref="D21:R21" si="7">D22+D23+D25+D26+D27+D28+D29+D30+D33</f>
        <v>2090000</v>
      </c>
      <c r="E21" s="1253">
        <f>D21-C21</f>
        <v>-200000</v>
      </c>
      <c r="F21" s="1096">
        <f t="shared" ref="F21:G21" si="8">F22+F23+F25+F26+F27+F28+F29+F30+F33</f>
        <v>40560000</v>
      </c>
      <c r="G21" s="145">
        <f t="shared" si="8"/>
        <v>40560000</v>
      </c>
      <c r="H21" s="145">
        <f t="shared" si="7"/>
        <v>40560000</v>
      </c>
      <c r="I21" s="106">
        <f t="shared" si="1"/>
        <v>0</v>
      </c>
      <c r="J21" s="171">
        <f>J22+J23+J25+J26+J27+J28+J29+J30+J33</f>
        <v>2025751</v>
      </c>
      <c r="K21" s="106">
        <f t="shared" ref="K21" si="9">K22+K23+K25+K26+K27+K28+K29+K30+K33</f>
        <v>2025751</v>
      </c>
      <c r="L21" s="106">
        <f t="shared" si="7"/>
        <v>2025751</v>
      </c>
      <c r="M21" s="1252">
        <f t="shared" si="3"/>
        <v>0</v>
      </c>
      <c r="N21" s="157">
        <f t="shared" si="7"/>
        <v>45375751</v>
      </c>
      <c r="O21" s="106">
        <f t="shared" ref="O21" si="10">O22+O23+O25+O26+O27+O28+O29+O30+O33</f>
        <v>44875751</v>
      </c>
      <c r="P21" s="106">
        <f t="shared" si="7"/>
        <v>44675751</v>
      </c>
      <c r="Q21" s="1259">
        <f t="shared" si="4"/>
        <v>-200000</v>
      </c>
      <c r="R21" s="171" t="e">
        <f t="shared" si="7"/>
        <v>#REF!</v>
      </c>
      <c r="S21" s="182">
        <f t="shared" ref="S21:U21" si="11">S22+S23+S25+S26+S27+S28+S29+S30+S33</f>
        <v>33220024</v>
      </c>
      <c r="T21" s="144">
        <f t="shared" ref="T21" si="12">T22+T23+T25+T26+T27+T28+T29+T30+T33</f>
        <v>33220024</v>
      </c>
      <c r="U21" s="144">
        <f t="shared" si="11"/>
        <v>33220024</v>
      </c>
      <c r="V21" s="1252">
        <f t="shared" si="5"/>
        <v>0</v>
      </c>
      <c r="W21" s="595"/>
      <c r="X21" s="595"/>
      <c r="Y21" s="595"/>
      <c r="Z21" s="591"/>
      <c r="AA21" s="591"/>
      <c r="AB21" s="591"/>
      <c r="AC21" s="591"/>
      <c r="AD21" s="591"/>
      <c r="AE21" s="591"/>
      <c r="AF21" s="591"/>
      <c r="AG21" s="591"/>
      <c r="AH21" s="591"/>
      <c r="AI21" s="591"/>
      <c r="AJ21" s="591"/>
      <c r="AK21" s="591"/>
      <c r="AL21" s="591"/>
      <c r="AM21" s="591"/>
      <c r="AN21" s="591"/>
      <c r="AO21" s="591"/>
      <c r="AP21" s="591"/>
      <c r="AQ21" s="591"/>
      <c r="AR21" s="591"/>
      <c r="AS21" s="591"/>
      <c r="AT21" s="591"/>
      <c r="AU21" s="591"/>
      <c r="AV21" s="591"/>
      <c r="AW21" s="591"/>
      <c r="AX21" s="591"/>
      <c r="AY21" s="591"/>
      <c r="AZ21" s="591"/>
      <c r="BA21" s="591"/>
      <c r="BB21" s="591"/>
      <c r="BC21" s="591"/>
      <c r="BD21" s="591"/>
      <c r="BE21" s="591"/>
      <c r="BF21" s="591"/>
      <c r="BG21" s="591"/>
      <c r="BH21" s="591"/>
      <c r="BI21" s="591"/>
      <c r="BJ21" s="591"/>
      <c r="BK21" s="591"/>
      <c r="BL21" s="591"/>
      <c r="BM21" s="591"/>
      <c r="BN21" s="591"/>
      <c r="BO21" s="591"/>
      <c r="BP21" s="591"/>
      <c r="BQ21" s="591"/>
      <c r="BR21" s="591"/>
      <c r="BS21" s="591"/>
      <c r="BT21" s="591"/>
      <c r="BU21" s="591"/>
      <c r="BV21" s="591"/>
      <c r="BW21" s="591"/>
      <c r="BX21" s="591"/>
      <c r="BY21" s="591"/>
      <c r="BZ21" s="591"/>
      <c r="CA21" s="591"/>
      <c r="CB21" s="591"/>
      <c r="CC21" s="591"/>
      <c r="CD21" s="591"/>
      <c r="CE21" s="591"/>
      <c r="CF21" s="591"/>
      <c r="CG21" s="591"/>
      <c r="CH21" s="591"/>
      <c r="CI21" s="591"/>
      <c r="CJ21" s="591"/>
      <c r="CK21" s="591"/>
      <c r="CL21" s="591"/>
      <c r="CM21" s="591"/>
      <c r="CN21" s="591"/>
      <c r="CO21" s="591"/>
      <c r="CP21" s="591"/>
      <c r="CQ21" s="591"/>
      <c r="CR21" s="591"/>
      <c r="CS21" s="591"/>
      <c r="CT21" s="591"/>
      <c r="CU21" s="591"/>
      <c r="CV21" s="591"/>
      <c r="CW21" s="591"/>
      <c r="CX21" s="591"/>
      <c r="CY21" s="591"/>
      <c r="CZ21" s="591"/>
      <c r="DA21" s="591"/>
      <c r="DB21" s="591"/>
      <c r="DC21" s="591"/>
      <c r="DD21" s="591"/>
      <c r="DE21" s="591"/>
      <c r="DF21" s="591"/>
      <c r="DG21" s="591"/>
      <c r="DH21" s="591"/>
      <c r="DI21" s="591"/>
      <c r="DJ21" s="591"/>
      <c r="DK21" s="591"/>
      <c r="DL21" s="591"/>
      <c r="DM21" s="591"/>
      <c r="DN21" s="591"/>
      <c r="DO21" s="591"/>
      <c r="DP21" s="591"/>
      <c r="DQ21" s="591"/>
      <c r="DR21" s="591"/>
      <c r="DS21" s="591"/>
      <c r="DT21" s="591"/>
    </row>
    <row r="22" spans="1:124" s="25" customFormat="1" ht="17.399999999999999" customHeight="1" x14ac:dyDescent="0.25">
      <c r="A22" s="387" t="s">
        <v>390</v>
      </c>
      <c r="B22" s="593"/>
      <c r="C22" s="177"/>
      <c r="D22" s="141"/>
      <c r="E22" s="143">
        <f>D22-C22</f>
        <v>0</v>
      </c>
      <c r="F22" s="1095"/>
      <c r="G22" s="277"/>
      <c r="H22" s="277"/>
      <c r="I22" s="106"/>
      <c r="J22" s="177"/>
      <c r="K22" s="141"/>
      <c r="L22" s="141"/>
      <c r="M22" s="143">
        <f t="shared" si="3"/>
        <v>0</v>
      </c>
      <c r="N22" s="158">
        <f t="shared" ref="N22:N33" si="13">B22+F22+J22</f>
        <v>0</v>
      </c>
      <c r="O22" s="141"/>
      <c r="P22" s="141"/>
      <c r="Q22" s="1110">
        <f t="shared" si="4"/>
        <v>0</v>
      </c>
      <c r="R22" s="177" t="e">
        <f>#REF!+#REF!+#REF!+#REF!+#REF!</f>
        <v>#REF!</v>
      </c>
      <c r="S22" s="158"/>
      <c r="T22" s="277"/>
      <c r="U22" s="277"/>
      <c r="V22" s="143">
        <f t="shared" si="5"/>
        <v>0</v>
      </c>
      <c r="W22" s="596"/>
      <c r="X22" s="596"/>
      <c r="Y22" s="596"/>
      <c r="Z22" s="596"/>
      <c r="AA22" s="596"/>
      <c r="AB22" s="596"/>
      <c r="AC22" s="596"/>
      <c r="AD22" s="596"/>
      <c r="AE22" s="596"/>
      <c r="AF22" s="596"/>
      <c r="AG22" s="596"/>
      <c r="AH22" s="596"/>
      <c r="AI22" s="596"/>
      <c r="AJ22" s="596"/>
      <c r="AK22" s="596"/>
      <c r="AL22" s="596"/>
      <c r="AM22" s="596"/>
      <c r="AN22" s="596"/>
      <c r="AO22" s="596"/>
      <c r="AP22" s="596"/>
      <c r="AQ22" s="596"/>
      <c r="AR22" s="596"/>
      <c r="AS22" s="596"/>
      <c r="AT22" s="596"/>
      <c r="AU22" s="596"/>
      <c r="AV22" s="596"/>
      <c r="AW22" s="596"/>
      <c r="AX22" s="596"/>
      <c r="AY22" s="596"/>
      <c r="AZ22" s="596"/>
      <c r="BA22" s="596"/>
      <c r="BB22" s="596"/>
      <c r="BC22" s="596"/>
      <c r="BD22" s="596"/>
      <c r="BE22" s="596"/>
      <c r="BF22" s="596"/>
      <c r="BG22" s="596"/>
      <c r="BH22" s="596"/>
      <c r="BI22" s="596"/>
      <c r="BJ22" s="596"/>
      <c r="BK22" s="596"/>
      <c r="BL22" s="596"/>
      <c r="BM22" s="596"/>
      <c r="BN22" s="596"/>
      <c r="BO22" s="596"/>
      <c r="BP22" s="596"/>
      <c r="BQ22" s="596"/>
      <c r="BR22" s="596"/>
      <c r="BS22" s="596"/>
      <c r="BT22" s="596"/>
      <c r="BU22" s="596"/>
      <c r="BV22" s="596"/>
      <c r="BW22" s="596"/>
      <c r="BX22" s="596"/>
      <c r="BY22" s="596"/>
      <c r="BZ22" s="596"/>
      <c r="CA22" s="596"/>
      <c r="CB22" s="596"/>
      <c r="CC22" s="596"/>
      <c r="CD22" s="596"/>
      <c r="CE22" s="596"/>
      <c r="CF22" s="596"/>
      <c r="CG22" s="596"/>
      <c r="CH22" s="596"/>
      <c r="CI22" s="596"/>
      <c r="CJ22" s="596"/>
      <c r="CK22" s="596"/>
      <c r="CL22" s="596"/>
      <c r="CM22" s="596"/>
      <c r="CN22" s="596"/>
      <c r="CO22" s="596"/>
      <c r="CP22" s="596"/>
      <c r="CQ22" s="596"/>
      <c r="CR22" s="596"/>
      <c r="CS22" s="596"/>
      <c r="CT22" s="596"/>
      <c r="CU22" s="596"/>
      <c r="CV22" s="596"/>
      <c r="CW22" s="596"/>
      <c r="CX22" s="596"/>
      <c r="CY22" s="596"/>
      <c r="CZ22" s="596"/>
      <c r="DA22" s="596"/>
      <c r="DB22" s="596"/>
      <c r="DC22" s="596"/>
      <c r="DD22" s="596"/>
      <c r="DE22" s="596"/>
      <c r="DF22" s="596"/>
      <c r="DG22" s="596"/>
      <c r="DH22" s="596"/>
      <c r="DI22" s="596"/>
      <c r="DJ22" s="596"/>
      <c r="DK22" s="596"/>
      <c r="DL22" s="596"/>
      <c r="DM22" s="596"/>
      <c r="DN22" s="596"/>
      <c r="DO22" s="596"/>
      <c r="DP22" s="596"/>
      <c r="DQ22" s="596"/>
      <c r="DR22" s="596"/>
      <c r="DS22" s="596"/>
      <c r="DT22" s="596"/>
    </row>
    <row r="23" spans="1:124" s="26" customFormat="1" ht="17.399999999999999" customHeight="1" x14ac:dyDescent="0.25">
      <c r="A23" s="387" t="s">
        <v>391</v>
      </c>
      <c r="B23" s="593">
        <v>2181000</v>
      </c>
      <c r="C23" s="177">
        <f>2181000-393700</f>
        <v>1787300</v>
      </c>
      <c r="D23" s="141">
        <v>1629820</v>
      </c>
      <c r="E23" s="143">
        <f t="shared" ref="E23:E34" si="14">D23-C23</f>
        <v>-157480</v>
      </c>
      <c r="F23" s="1095">
        <v>40560000</v>
      </c>
      <c r="G23" s="141">
        <v>40560000</v>
      </c>
      <c r="H23" s="177">
        <v>40560000</v>
      </c>
      <c r="I23" s="141">
        <f t="shared" si="1"/>
        <v>0</v>
      </c>
      <c r="J23" s="177"/>
      <c r="K23" s="141"/>
      <c r="L23" s="141"/>
      <c r="M23" s="143">
        <f t="shared" si="3"/>
        <v>0</v>
      </c>
      <c r="N23" s="158">
        <f t="shared" si="13"/>
        <v>42741000</v>
      </c>
      <c r="O23" s="141">
        <f t="shared" ref="O23:P28" si="15">C23+G23+K23</f>
        <v>42347300</v>
      </c>
      <c r="P23" s="141">
        <f t="shared" si="15"/>
        <v>42189820</v>
      </c>
      <c r="Q23" s="1110">
        <f t="shared" si="4"/>
        <v>-157480</v>
      </c>
      <c r="R23" s="177" t="e">
        <f>#REF!+#REF!+#REF!+#REF!+#REF!</f>
        <v>#REF!</v>
      </c>
      <c r="S23" s="158">
        <v>21200000</v>
      </c>
      <c r="T23" s="277">
        <v>21200000</v>
      </c>
      <c r="U23" s="277">
        <v>21200000</v>
      </c>
      <c r="V23" s="143">
        <f t="shared" si="5"/>
        <v>0</v>
      </c>
      <c r="W23" s="597"/>
      <c r="X23" s="597"/>
      <c r="Y23" s="597"/>
      <c r="Z23" s="597"/>
      <c r="AA23" s="597"/>
      <c r="AB23" s="597"/>
      <c r="AC23" s="597"/>
      <c r="AD23" s="597"/>
      <c r="AE23" s="597"/>
      <c r="AF23" s="597"/>
      <c r="AG23" s="597"/>
      <c r="AH23" s="597"/>
      <c r="AI23" s="597"/>
      <c r="AJ23" s="597"/>
      <c r="AK23" s="597"/>
      <c r="AL23" s="597"/>
      <c r="AM23" s="597"/>
      <c r="AN23" s="597"/>
      <c r="AO23" s="597"/>
      <c r="AP23" s="597"/>
      <c r="AQ23" s="597"/>
      <c r="AR23" s="597"/>
      <c r="AS23" s="597"/>
      <c r="AT23" s="597"/>
      <c r="AU23" s="597"/>
      <c r="AV23" s="597"/>
      <c r="AW23" s="597"/>
      <c r="AX23" s="597"/>
      <c r="AY23" s="597"/>
      <c r="AZ23" s="597"/>
      <c r="BA23" s="597"/>
      <c r="BB23" s="597"/>
      <c r="BC23" s="597"/>
      <c r="BD23" s="597"/>
      <c r="BE23" s="597"/>
      <c r="BF23" s="597"/>
      <c r="BG23" s="597"/>
      <c r="BH23" s="597"/>
      <c r="BI23" s="597"/>
      <c r="BJ23" s="597"/>
      <c r="BK23" s="597"/>
      <c r="BL23" s="597"/>
      <c r="BM23" s="597"/>
      <c r="BN23" s="597"/>
      <c r="BO23" s="597"/>
      <c r="BP23" s="597"/>
      <c r="BQ23" s="597"/>
      <c r="BR23" s="597"/>
      <c r="BS23" s="597"/>
      <c r="BT23" s="597"/>
      <c r="BU23" s="597"/>
      <c r="BV23" s="597"/>
      <c r="BW23" s="597"/>
      <c r="BX23" s="597"/>
      <c r="BY23" s="597"/>
      <c r="BZ23" s="597"/>
      <c r="CA23" s="597"/>
      <c r="CB23" s="597"/>
      <c r="CC23" s="597"/>
      <c r="CD23" s="597"/>
      <c r="CE23" s="597"/>
      <c r="CF23" s="597"/>
      <c r="CG23" s="597"/>
      <c r="CH23" s="597"/>
      <c r="CI23" s="597"/>
      <c r="CJ23" s="597"/>
      <c r="CK23" s="597"/>
      <c r="CL23" s="597"/>
      <c r="CM23" s="597"/>
      <c r="CN23" s="597"/>
      <c r="CO23" s="597"/>
      <c r="CP23" s="597"/>
      <c r="CQ23" s="597"/>
      <c r="CR23" s="597"/>
      <c r="CS23" s="597"/>
      <c r="CT23" s="597"/>
      <c r="CU23" s="597"/>
      <c r="CV23" s="597"/>
      <c r="CW23" s="597"/>
      <c r="CX23" s="597"/>
      <c r="CY23" s="597"/>
      <c r="CZ23" s="597"/>
      <c r="DA23" s="597"/>
      <c r="DB23" s="597"/>
      <c r="DC23" s="597"/>
      <c r="DD23" s="597"/>
      <c r="DE23" s="597"/>
      <c r="DF23" s="597"/>
      <c r="DG23" s="597"/>
      <c r="DH23" s="597"/>
      <c r="DI23" s="597"/>
      <c r="DJ23" s="597"/>
      <c r="DK23" s="597"/>
      <c r="DL23" s="597"/>
      <c r="DM23" s="597"/>
      <c r="DN23" s="597"/>
      <c r="DO23" s="597"/>
      <c r="DP23" s="597"/>
      <c r="DQ23" s="597"/>
      <c r="DR23" s="597"/>
      <c r="DS23" s="597"/>
      <c r="DT23" s="597"/>
    </row>
    <row r="24" spans="1:124" s="26" customFormat="1" ht="18.75" customHeight="1" x14ac:dyDescent="0.25">
      <c r="A24" s="388" t="s">
        <v>241</v>
      </c>
      <c r="B24" s="593"/>
      <c r="C24" s="177"/>
      <c r="D24" s="141"/>
      <c r="E24" s="143">
        <f t="shared" si="14"/>
        <v>0</v>
      </c>
      <c r="F24" s="1095"/>
      <c r="G24" s="141"/>
      <c r="H24" s="177"/>
      <c r="I24" s="141">
        <f t="shared" si="1"/>
        <v>0</v>
      </c>
      <c r="J24" s="177"/>
      <c r="K24" s="141"/>
      <c r="L24" s="141"/>
      <c r="M24" s="143">
        <f t="shared" si="3"/>
        <v>0</v>
      </c>
      <c r="N24" s="158">
        <f t="shared" si="13"/>
        <v>0</v>
      </c>
      <c r="O24" s="141">
        <f t="shared" si="15"/>
        <v>0</v>
      </c>
      <c r="P24" s="141">
        <f t="shared" si="15"/>
        <v>0</v>
      </c>
      <c r="Q24" s="1110">
        <f t="shared" si="4"/>
        <v>0</v>
      </c>
      <c r="R24" s="177" t="e">
        <f>#REF!+#REF!+#REF!+#REF!+#REF!</f>
        <v>#REF!</v>
      </c>
      <c r="S24" s="158">
        <v>7500000</v>
      </c>
      <c r="T24" s="277">
        <v>7500000</v>
      </c>
      <c r="U24" s="277">
        <v>7500000</v>
      </c>
      <c r="V24" s="143">
        <f t="shared" si="5"/>
        <v>0</v>
      </c>
      <c r="W24" s="597"/>
      <c r="X24" s="597"/>
      <c r="Y24" s="597"/>
      <c r="Z24" s="597"/>
      <c r="AA24" s="597"/>
      <c r="AB24" s="597"/>
      <c r="AC24" s="597"/>
      <c r="AD24" s="597"/>
      <c r="AE24" s="597"/>
      <c r="AF24" s="597"/>
      <c r="AG24" s="597"/>
      <c r="AH24" s="597"/>
      <c r="AI24" s="597"/>
      <c r="AJ24" s="597"/>
      <c r="AK24" s="597"/>
      <c r="AL24" s="597"/>
      <c r="AM24" s="597"/>
      <c r="AN24" s="597"/>
      <c r="AO24" s="597"/>
      <c r="AP24" s="597"/>
      <c r="AQ24" s="597"/>
      <c r="AR24" s="597"/>
      <c r="AS24" s="597"/>
      <c r="AT24" s="597"/>
      <c r="AU24" s="597"/>
      <c r="AV24" s="597"/>
      <c r="AW24" s="597"/>
      <c r="AX24" s="597"/>
      <c r="AY24" s="597"/>
      <c r="AZ24" s="597"/>
      <c r="BA24" s="597"/>
      <c r="BB24" s="597"/>
      <c r="BC24" s="597"/>
      <c r="BD24" s="597"/>
      <c r="BE24" s="597"/>
      <c r="BF24" s="597"/>
      <c r="BG24" s="597"/>
      <c r="BH24" s="597"/>
      <c r="BI24" s="597"/>
      <c r="BJ24" s="597"/>
      <c r="BK24" s="597"/>
      <c r="BL24" s="597"/>
      <c r="BM24" s="597"/>
      <c r="BN24" s="597"/>
      <c r="BO24" s="597"/>
      <c r="BP24" s="597"/>
      <c r="BQ24" s="597"/>
      <c r="BR24" s="597"/>
      <c r="BS24" s="597"/>
      <c r="BT24" s="597"/>
      <c r="BU24" s="597"/>
      <c r="BV24" s="597"/>
      <c r="BW24" s="597"/>
      <c r="BX24" s="597"/>
      <c r="BY24" s="597"/>
      <c r="BZ24" s="597"/>
      <c r="CA24" s="597"/>
      <c r="CB24" s="597"/>
      <c r="CC24" s="597"/>
      <c r="CD24" s="597"/>
      <c r="CE24" s="597"/>
      <c r="CF24" s="597"/>
      <c r="CG24" s="597"/>
      <c r="CH24" s="597"/>
      <c r="CI24" s="597"/>
      <c r="CJ24" s="597"/>
      <c r="CK24" s="597"/>
      <c r="CL24" s="597"/>
      <c r="CM24" s="597"/>
      <c r="CN24" s="597"/>
      <c r="CO24" s="597"/>
      <c r="CP24" s="597"/>
      <c r="CQ24" s="597"/>
      <c r="CR24" s="597"/>
      <c r="CS24" s="597"/>
      <c r="CT24" s="597"/>
      <c r="CU24" s="597"/>
      <c r="CV24" s="597"/>
      <c r="CW24" s="597"/>
      <c r="CX24" s="597"/>
      <c r="CY24" s="597"/>
      <c r="CZ24" s="597"/>
      <c r="DA24" s="597"/>
      <c r="DB24" s="597"/>
      <c r="DC24" s="597"/>
      <c r="DD24" s="597"/>
      <c r="DE24" s="597"/>
      <c r="DF24" s="597"/>
      <c r="DG24" s="597"/>
      <c r="DH24" s="597"/>
      <c r="DI24" s="597"/>
      <c r="DJ24" s="597"/>
      <c r="DK24" s="597"/>
      <c r="DL24" s="597"/>
      <c r="DM24" s="597"/>
      <c r="DN24" s="597"/>
      <c r="DO24" s="597"/>
      <c r="DP24" s="597"/>
      <c r="DQ24" s="597"/>
      <c r="DR24" s="597"/>
      <c r="DS24" s="597"/>
      <c r="DT24" s="597"/>
    </row>
    <row r="25" spans="1:124" s="26" customFormat="1" ht="17.399999999999999" customHeight="1" x14ac:dyDescent="0.25">
      <c r="A25" s="384" t="s">
        <v>474</v>
      </c>
      <c r="B25" s="593"/>
      <c r="C25" s="177"/>
      <c r="D25" s="141"/>
      <c r="E25" s="143">
        <f t="shared" si="14"/>
        <v>0</v>
      </c>
      <c r="F25" s="1095"/>
      <c r="G25" s="277"/>
      <c r="H25" s="277"/>
      <c r="I25" s="141">
        <f t="shared" si="1"/>
        <v>0</v>
      </c>
      <c r="J25" s="177">
        <v>228346</v>
      </c>
      <c r="K25" s="141">
        <v>228346</v>
      </c>
      <c r="L25" s="141">
        <v>228346</v>
      </c>
      <c r="M25" s="143">
        <f t="shared" si="3"/>
        <v>0</v>
      </c>
      <c r="N25" s="158">
        <f t="shared" si="13"/>
        <v>228346</v>
      </c>
      <c r="O25" s="141">
        <f t="shared" si="15"/>
        <v>228346</v>
      </c>
      <c r="P25" s="141">
        <f t="shared" si="15"/>
        <v>228346</v>
      </c>
      <c r="Q25" s="1110">
        <f t="shared" si="4"/>
        <v>0</v>
      </c>
      <c r="R25" s="177" t="e">
        <f>#REF!+#REF!+#REF!+#REF!+#REF!</f>
        <v>#REF!</v>
      </c>
      <c r="S25" s="158">
        <f>2300000+2657499</f>
        <v>4957499</v>
      </c>
      <c r="T25" s="277">
        <v>4957499</v>
      </c>
      <c r="U25" s="277">
        <v>4957499</v>
      </c>
      <c r="V25" s="143">
        <f t="shared" si="5"/>
        <v>0</v>
      </c>
      <c r="W25" s="597"/>
      <c r="X25" s="597"/>
      <c r="Y25" s="597"/>
      <c r="Z25" s="597"/>
      <c r="AA25" s="597"/>
      <c r="AB25" s="597"/>
      <c r="AC25" s="597"/>
      <c r="AD25" s="597"/>
      <c r="AE25" s="597"/>
      <c r="AF25" s="597"/>
      <c r="AG25" s="597"/>
      <c r="AH25" s="597"/>
      <c r="AI25" s="597"/>
      <c r="AJ25" s="597"/>
      <c r="AK25" s="597"/>
      <c r="AL25" s="597"/>
      <c r="AM25" s="597"/>
      <c r="AN25" s="597"/>
      <c r="AO25" s="597"/>
      <c r="AP25" s="597"/>
      <c r="AQ25" s="597"/>
      <c r="AR25" s="597"/>
      <c r="AS25" s="597"/>
      <c r="AT25" s="597"/>
      <c r="AU25" s="597"/>
      <c r="AV25" s="597"/>
      <c r="AW25" s="597"/>
      <c r="AX25" s="597"/>
      <c r="AY25" s="597"/>
      <c r="AZ25" s="597"/>
      <c r="BA25" s="597"/>
      <c r="BB25" s="597"/>
      <c r="BC25" s="597"/>
      <c r="BD25" s="597"/>
      <c r="BE25" s="597"/>
      <c r="BF25" s="597"/>
      <c r="BG25" s="597"/>
      <c r="BH25" s="597"/>
      <c r="BI25" s="597"/>
      <c r="BJ25" s="597"/>
      <c r="BK25" s="597"/>
      <c r="BL25" s="597"/>
      <c r="BM25" s="597"/>
      <c r="BN25" s="597"/>
      <c r="BO25" s="597"/>
      <c r="BP25" s="597"/>
      <c r="BQ25" s="597"/>
      <c r="BR25" s="597"/>
      <c r="BS25" s="597"/>
      <c r="BT25" s="597"/>
      <c r="BU25" s="597"/>
      <c r="BV25" s="597"/>
      <c r="BW25" s="597"/>
      <c r="BX25" s="597"/>
      <c r="BY25" s="597"/>
      <c r="BZ25" s="597"/>
      <c r="CA25" s="597"/>
      <c r="CB25" s="597"/>
      <c r="CC25" s="597"/>
      <c r="CD25" s="597"/>
      <c r="CE25" s="597"/>
      <c r="CF25" s="597"/>
      <c r="CG25" s="597"/>
      <c r="CH25" s="597"/>
      <c r="CI25" s="597"/>
      <c r="CJ25" s="597"/>
      <c r="CK25" s="597"/>
      <c r="CL25" s="597"/>
      <c r="CM25" s="597"/>
      <c r="CN25" s="597"/>
      <c r="CO25" s="597"/>
      <c r="CP25" s="597"/>
      <c r="CQ25" s="597"/>
      <c r="CR25" s="597"/>
      <c r="CS25" s="597"/>
      <c r="CT25" s="597"/>
      <c r="CU25" s="597"/>
      <c r="CV25" s="597"/>
      <c r="CW25" s="597"/>
      <c r="CX25" s="597"/>
      <c r="CY25" s="597"/>
      <c r="CZ25" s="597"/>
      <c r="DA25" s="597"/>
      <c r="DB25" s="597"/>
      <c r="DC25" s="597"/>
      <c r="DD25" s="597"/>
      <c r="DE25" s="597"/>
      <c r="DF25" s="597"/>
      <c r="DG25" s="597"/>
      <c r="DH25" s="597"/>
      <c r="DI25" s="597"/>
      <c r="DJ25" s="597"/>
      <c r="DK25" s="597"/>
      <c r="DL25" s="597"/>
      <c r="DM25" s="597"/>
      <c r="DN25" s="597"/>
      <c r="DO25" s="597"/>
      <c r="DP25" s="597"/>
      <c r="DQ25" s="597"/>
      <c r="DR25" s="597"/>
      <c r="DS25" s="597"/>
      <c r="DT25" s="597"/>
    </row>
    <row r="26" spans="1:124" s="26" customFormat="1" ht="17.399999999999999" customHeight="1" x14ac:dyDescent="0.25">
      <c r="A26" s="384" t="s">
        <v>401</v>
      </c>
      <c r="B26" s="593"/>
      <c r="C26" s="177"/>
      <c r="D26" s="141"/>
      <c r="E26" s="143">
        <f t="shared" si="14"/>
        <v>0</v>
      </c>
      <c r="F26" s="1095"/>
      <c r="G26" s="277"/>
      <c r="H26" s="277"/>
      <c r="I26" s="141">
        <f t="shared" si="1"/>
        <v>0</v>
      </c>
      <c r="J26" s="177"/>
      <c r="K26" s="141"/>
      <c r="L26" s="141"/>
      <c r="M26" s="143">
        <f t="shared" si="3"/>
        <v>0</v>
      </c>
      <c r="N26" s="158">
        <f t="shared" si="13"/>
        <v>0</v>
      </c>
      <c r="O26" s="141">
        <f t="shared" si="15"/>
        <v>0</v>
      </c>
      <c r="P26" s="141">
        <f t="shared" si="15"/>
        <v>0</v>
      </c>
      <c r="Q26" s="1110">
        <f t="shared" si="4"/>
        <v>0</v>
      </c>
      <c r="R26" s="177" t="e">
        <f>#REF!+#REF!+#REF!+#REF!+#REF!</f>
        <v>#REF!</v>
      </c>
      <c r="S26" s="158"/>
      <c r="T26" s="277"/>
      <c r="U26" s="277"/>
      <c r="V26" s="143"/>
      <c r="W26" s="597"/>
      <c r="X26" s="597"/>
      <c r="Y26" s="597"/>
      <c r="Z26" s="597"/>
      <c r="AA26" s="597"/>
      <c r="AB26" s="597"/>
      <c r="AC26" s="597"/>
      <c r="AD26" s="597"/>
      <c r="AE26" s="597"/>
      <c r="AF26" s="597"/>
      <c r="AG26" s="597"/>
      <c r="AH26" s="597"/>
      <c r="AI26" s="597"/>
      <c r="AJ26" s="597"/>
      <c r="AK26" s="597"/>
      <c r="AL26" s="597"/>
      <c r="AM26" s="597"/>
      <c r="AN26" s="597"/>
      <c r="AO26" s="597"/>
      <c r="AP26" s="597"/>
      <c r="AQ26" s="597"/>
      <c r="AR26" s="597"/>
      <c r="AS26" s="597"/>
      <c r="AT26" s="597"/>
      <c r="AU26" s="597"/>
      <c r="AV26" s="597"/>
      <c r="AW26" s="597"/>
      <c r="AX26" s="597"/>
      <c r="AY26" s="597"/>
      <c r="AZ26" s="597"/>
      <c r="BA26" s="597"/>
      <c r="BB26" s="597"/>
      <c r="BC26" s="597"/>
      <c r="BD26" s="597"/>
      <c r="BE26" s="597"/>
      <c r="BF26" s="597"/>
      <c r="BG26" s="597"/>
      <c r="BH26" s="597"/>
      <c r="BI26" s="597"/>
      <c r="BJ26" s="597"/>
      <c r="BK26" s="597"/>
      <c r="BL26" s="597"/>
      <c r="BM26" s="597"/>
      <c r="BN26" s="597"/>
      <c r="BO26" s="597"/>
      <c r="BP26" s="597"/>
      <c r="BQ26" s="597"/>
      <c r="BR26" s="597"/>
      <c r="BS26" s="597"/>
      <c r="BT26" s="597"/>
      <c r="BU26" s="597"/>
      <c r="BV26" s="597"/>
      <c r="BW26" s="597"/>
      <c r="BX26" s="597"/>
      <c r="BY26" s="597"/>
      <c r="BZ26" s="597"/>
      <c r="CA26" s="597"/>
      <c r="CB26" s="597"/>
      <c r="CC26" s="597"/>
      <c r="CD26" s="597"/>
      <c r="CE26" s="597"/>
      <c r="CF26" s="597"/>
      <c r="CG26" s="597"/>
      <c r="CH26" s="597"/>
      <c r="CI26" s="597"/>
      <c r="CJ26" s="597"/>
      <c r="CK26" s="597"/>
      <c r="CL26" s="597"/>
      <c r="CM26" s="597"/>
      <c r="CN26" s="597"/>
      <c r="CO26" s="597"/>
      <c r="CP26" s="597"/>
      <c r="CQ26" s="597"/>
      <c r="CR26" s="597"/>
      <c r="CS26" s="597"/>
      <c r="CT26" s="597"/>
      <c r="CU26" s="597"/>
      <c r="CV26" s="597"/>
      <c r="CW26" s="597"/>
      <c r="CX26" s="597"/>
      <c r="CY26" s="597"/>
      <c r="CZ26" s="597"/>
      <c r="DA26" s="597"/>
      <c r="DB26" s="597"/>
      <c r="DC26" s="597"/>
      <c r="DD26" s="597"/>
      <c r="DE26" s="597"/>
      <c r="DF26" s="597"/>
      <c r="DG26" s="597"/>
      <c r="DH26" s="597"/>
      <c r="DI26" s="597"/>
      <c r="DJ26" s="597"/>
      <c r="DK26" s="597"/>
      <c r="DL26" s="597"/>
      <c r="DM26" s="597"/>
      <c r="DN26" s="597"/>
      <c r="DO26" s="597"/>
      <c r="DP26" s="597"/>
      <c r="DQ26" s="597"/>
      <c r="DR26" s="597"/>
      <c r="DS26" s="597"/>
      <c r="DT26" s="597"/>
    </row>
    <row r="27" spans="1:124" s="26" customFormat="1" ht="13.65" customHeight="1" x14ac:dyDescent="0.25">
      <c r="A27" s="389" t="s">
        <v>477</v>
      </c>
      <c r="B27" s="593"/>
      <c r="C27" s="177"/>
      <c r="D27" s="141"/>
      <c r="E27" s="143">
        <f t="shared" si="14"/>
        <v>0</v>
      </c>
      <c r="F27" s="1095"/>
      <c r="G27" s="277"/>
      <c r="H27" s="277"/>
      <c r="I27" s="141">
        <f t="shared" si="1"/>
        <v>0</v>
      </c>
      <c r="J27" s="177">
        <v>854922</v>
      </c>
      <c r="K27" s="141">
        <v>854922</v>
      </c>
      <c r="L27" s="141">
        <v>854922</v>
      </c>
      <c r="M27" s="143">
        <f t="shared" si="3"/>
        <v>0</v>
      </c>
      <c r="N27" s="158">
        <f t="shared" si="13"/>
        <v>854922</v>
      </c>
      <c r="O27" s="141">
        <f t="shared" si="15"/>
        <v>854922</v>
      </c>
      <c r="P27" s="141">
        <f t="shared" si="15"/>
        <v>854922</v>
      </c>
      <c r="Q27" s="1110">
        <f t="shared" si="4"/>
        <v>0</v>
      </c>
      <c r="R27" s="177" t="e">
        <f>#REF!+#REF!+#REF!+#REF!+#REF!</f>
        <v>#REF!</v>
      </c>
      <c r="S27" s="158"/>
      <c r="T27" s="277"/>
      <c r="U27" s="277"/>
      <c r="V27" s="143"/>
      <c r="W27" s="597"/>
      <c r="X27" s="597"/>
      <c r="Y27" s="597"/>
      <c r="Z27" s="597"/>
      <c r="AA27" s="597"/>
      <c r="AB27" s="597"/>
      <c r="AC27" s="597"/>
      <c r="AD27" s="597"/>
      <c r="AE27" s="597"/>
      <c r="AF27" s="597"/>
      <c r="AG27" s="597"/>
      <c r="AH27" s="597"/>
      <c r="AI27" s="597"/>
      <c r="AJ27" s="597"/>
      <c r="AK27" s="597"/>
      <c r="AL27" s="597"/>
      <c r="AM27" s="597"/>
      <c r="AN27" s="597"/>
      <c r="AO27" s="597"/>
      <c r="AP27" s="597"/>
      <c r="AQ27" s="597"/>
      <c r="AR27" s="597"/>
      <c r="AS27" s="597"/>
      <c r="AT27" s="597"/>
      <c r="AU27" s="597"/>
      <c r="AV27" s="597"/>
      <c r="AW27" s="597"/>
      <c r="AX27" s="597"/>
      <c r="AY27" s="597"/>
      <c r="AZ27" s="597"/>
      <c r="BA27" s="597"/>
      <c r="BB27" s="597"/>
      <c r="BC27" s="597"/>
      <c r="BD27" s="597"/>
      <c r="BE27" s="597"/>
      <c r="BF27" s="597"/>
      <c r="BG27" s="597"/>
      <c r="BH27" s="597"/>
      <c r="BI27" s="597"/>
      <c r="BJ27" s="597"/>
      <c r="BK27" s="597"/>
      <c r="BL27" s="597"/>
      <c r="BM27" s="597"/>
      <c r="BN27" s="597"/>
      <c r="BO27" s="597"/>
      <c r="BP27" s="597"/>
      <c r="BQ27" s="597"/>
      <c r="BR27" s="597"/>
      <c r="BS27" s="597"/>
      <c r="BT27" s="597"/>
      <c r="BU27" s="597"/>
      <c r="BV27" s="597"/>
      <c r="BW27" s="597"/>
      <c r="BX27" s="597"/>
      <c r="BY27" s="597"/>
      <c r="BZ27" s="597"/>
      <c r="CA27" s="597"/>
      <c r="CB27" s="597"/>
      <c r="CC27" s="597"/>
      <c r="CD27" s="597"/>
      <c r="CE27" s="597"/>
      <c r="CF27" s="597"/>
      <c r="CG27" s="597"/>
      <c r="CH27" s="597"/>
      <c r="CI27" s="597"/>
      <c r="CJ27" s="597"/>
      <c r="CK27" s="597"/>
      <c r="CL27" s="597"/>
      <c r="CM27" s="597"/>
      <c r="CN27" s="597"/>
      <c r="CO27" s="597"/>
      <c r="CP27" s="597"/>
      <c r="CQ27" s="597"/>
      <c r="CR27" s="597"/>
      <c r="CS27" s="597"/>
      <c r="CT27" s="597"/>
      <c r="CU27" s="597"/>
      <c r="CV27" s="597"/>
      <c r="CW27" s="597"/>
      <c r="CX27" s="597"/>
      <c r="CY27" s="597"/>
      <c r="CZ27" s="597"/>
      <c r="DA27" s="597"/>
      <c r="DB27" s="597"/>
      <c r="DC27" s="597"/>
      <c r="DD27" s="597"/>
      <c r="DE27" s="597"/>
      <c r="DF27" s="597"/>
      <c r="DG27" s="597"/>
      <c r="DH27" s="597"/>
      <c r="DI27" s="597"/>
      <c r="DJ27" s="597"/>
      <c r="DK27" s="597"/>
      <c r="DL27" s="597"/>
      <c r="DM27" s="597"/>
      <c r="DN27" s="597"/>
      <c r="DO27" s="597"/>
      <c r="DP27" s="597"/>
      <c r="DQ27" s="597"/>
      <c r="DR27" s="597"/>
      <c r="DS27" s="597"/>
      <c r="DT27" s="597"/>
    </row>
    <row r="28" spans="1:124" s="26" customFormat="1" x14ac:dyDescent="0.25">
      <c r="A28" s="388" t="s">
        <v>478</v>
      </c>
      <c r="B28" s="593">
        <v>589000</v>
      </c>
      <c r="C28" s="177">
        <f>589000-106300</f>
        <v>482700</v>
      </c>
      <c r="D28" s="141">
        <v>440180</v>
      </c>
      <c r="E28" s="143">
        <f t="shared" si="14"/>
        <v>-42520</v>
      </c>
      <c r="F28" s="1095"/>
      <c r="G28" s="277"/>
      <c r="H28" s="277"/>
      <c r="I28" s="141">
        <f t="shared" si="1"/>
        <v>0</v>
      </c>
      <c r="J28" s="177">
        <f>230829+61654</f>
        <v>292483</v>
      </c>
      <c r="K28" s="141">
        <v>292483</v>
      </c>
      <c r="L28" s="141">
        <v>292483</v>
      </c>
      <c r="M28" s="143">
        <f t="shared" si="3"/>
        <v>0</v>
      </c>
      <c r="N28" s="158">
        <f t="shared" si="13"/>
        <v>881483</v>
      </c>
      <c r="O28" s="141">
        <f t="shared" si="15"/>
        <v>775183</v>
      </c>
      <c r="P28" s="141">
        <f t="shared" si="15"/>
        <v>732663</v>
      </c>
      <c r="Q28" s="1110">
        <f t="shared" si="4"/>
        <v>-42520</v>
      </c>
      <c r="R28" s="177" t="e">
        <f>#REF!+#REF!+#REF!+#REF!+#REF!</f>
        <v>#REF!</v>
      </c>
      <c r="S28" s="158">
        <v>7062525</v>
      </c>
      <c r="T28" s="277">
        <v>7062525</v>
      </c>
      <c r="U28" s="277">
        <v>7062525</v>
      </c>
      <c r="V28" s="143">
        <f t="shared" si="5"/>
        <v>0</v>
      </c>
      <c r="W28" s="597"/>
      <c r="X28" s="597"/>
      <c r="Y28" s="597"/>
      <c r="Z28" s="597"/>
      <c r="AA28" s="597"/>
      <c r="AB28" s="597"/>
      <c r="AC28" s="597"/>
      <c r="AD28" s="597"/>
      <c r="AE28" s="597"/>
      <c r="AF28" s="597"/>
      <c r="AG28" s="597"/>
      <c r="AH28" s="597"/>
      <c r="AI28" s="597"/>
      <c r="AJ28" s="597"/>
      <c r="AK28" s="597"/>
      <c r="AL28" s="597"/>
      <c r="AM28" s="597"/>
      <c r="AN28" s="597"/>
      <c r="AO28" s="597"/>
      <c r="AP28" s="597"/>
      <c r="AQ28" s="597"/>
      <c r="AR28" s="597"/>
      <c r="AS28" s="597"/>
      <c r="AT28" s="597"/>
      <c r="AU28" s="597"/>
      <c r="AV28" s="597"/>
      <c r="AW28" s="597"/>
      <c r="AX28" s="597"/>
      <c r="AY28" s="597"/>
      <c r="AZ28" s="597"/>
      <c r="BA28" s="597"/>
      <c r="BB28" s="597"/>
      <c r="BC28" s="597"/>
      <c r="BD28" s="597"/>
      <c r="BE28" s="597"/>
      <c r="BF28" s="597"/>
      <c r="BG28" s="597"/>
      <c r="BH28" s="597"/>
      <c r="BI28" s="597"/>
      <c r="BJ28" s="597"/>
      <c r="BK28" s="597"/>
      <c r="BL28" s="597"/>
      <c r="BM28" s="597"/>
      <c r="BN28" s="597"/>
      <c r="BO28" s="597"/>
      <c r="BP28" s="597"/>
      <c r="BQ28" s="597"/>
      <c r="BR28" s="597"/>
      <c r="BS28" s="597"/>
      <c r="BT28" s="597"/>
      <c r="BU28" s="597"/>
      <c r="BV28" s="597"/>
      <c r="BW28" s="597"/>
      <c r="BX28" s="597"/>
      <c r="BY28" s="597"/>
      <c r="BZ28" s="597"/>
      <c r="CA28" s="597"/>
      <c r="CB28" s="597"/>
      <c r="CC28" s="597"/>
      <c r="CD28" s="597"/>
      <c r="CE28" s="597"/>
      <c r="CF28" s="597"/>
      <c r="CG28" s="597"/>
      <c r="CH28" s="597"/>
      <c r="CI28" s="597"/>
      <c r="CJ28" s="597"/>
      <c r="CK28" s="597"/>
      <c r="CL28" s="597"/>
      <c r="CM28" s="597"/>
      <c r="CN28" s="597"/>
      <c r="CO28" s="597"/>
      <c r="CP28" s="597"/>
      <c r="CQ28" s="597"/>
      <c r="CR28" s="597"/>
      <c r="CS28" s="597"/>
      <c r="CT28" s="597"/>
      <c r="CU28" s="597"/>
      <c r="CV28" s="597"/>
      <c r="CW28" s="597"/>
      <c r="CX28" s="597"/>
      <c r="CY28" s="597"/>
      <c r="CZ28" s="597"/>
      <c r="DA28" s="597"/>
      <c r="DB28" s="597"/>
      <c r="DC28" s="597"/>
      <c r="DD28" s="597"/>
      <c r="DE28" s="597"/>
      <c r="DF28" s="597"/>
      <c r="DG28" s="597"/>
      <c r="DH28" s="597"/>
      <c r="DI28" s="597"/>
      <c r="DJ28" s="597"/>
      <c r="DK28" s="597"/>
      <c r="DL28" s="597"/>
      <c r="DM28" s="597"/>
      <c r="DN28" s="597"/>
      <c r="DO28" s="597"/>
      <c r="DP28" s="597"/>
      <c r="DQ28" s="597"/>
      <c r="DR28" s="597"/>
      <c r="DS28" s="597"/>
      <c r="DT28" s="597"/>
    </row>
    <row r="29" spans="1:124" s="26" customFormat="1" x14ac:dyDescent="0.25">
      <c r="A29" s="388" t="s">
        <v>479</v>
      </c>
      <c r="B29" s="593"/>
      <c r="C29" s="177"/>
      <c r="D29" s="141"/>
      <c r="E29" s="143">
        <f t="shared" si="14"/>
        <v>0</v>
      </c>
      <c r="F29" s="1095"/>
      <c r="G29" s="277"/>
      <c r="H29" s="277"/>
      <c r="I29" s="141">
        <f t="shared" si="1"/>
        <v>0</v>
      </c>
      <c r="J29" s="177">
        <v>650000</v>
      </c>
      <c r="K29" s="141">
        <v>650000</v>
      </c>
      <c r="L29" s="141">
        <v>650000</v>
      </c>
      <c r="M29" s="143">
        <f t="shared" si="3"/>
        <v>0</v>
      </c>
      <c r="N29" s="158">
        <f t="shared" si="13"/>
        <v>650000</v>
      </c>
      <c r="O29" s="141">
        <f t="shared" ref="O29:P32" si="16">C29+G29+K29</f>
        <v>650000</v>
      </c>
      <c r="P29" s="141">
        <f t="shared" si="16"/>
        <v>650000</v>
      </c>
      <c r="Q29" s="1110">
        <f t="shared" si="4"/>
        <v>0</v>
      </c>
      <c r="R29" s="177" t="e">
        <f>#REF!+#REF!+#REF!+#REF!+#REF!</f>
        <v>#REF!</v>
      </c>
      <c r="S29" s="158"/>
      <c r="T29" s="277"/>
      <c r="U29" s="277"/>
      <c r="V29" s="143"/>
      <c r="W29" s="597"/>
      <c r="X29" s="597"/>
      <c r="Y29" s="597"/>
      <c r="Z29" s="597"/>
      <c r="AA29" s="597"/>
      <c r="AB29" s="597"/>
      <c r="AC29" s="597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597"/>
      <c r="AU29" s="597"/>
      <c r="AV29" s="597"/>
      <c r="AW29" s="597"/>
      <c r="AX29" s="597"/>
      <c r="AY29" s="597"/>
      <c r="AZ29" s="597"/>
      <c r="BA29" s="597"/>
      <c r="BB29" s="597"/>
      <c r="BC29" s="597"/>
      <c r="BD29" s="597"/>
      <c r="BE29" s="597"/>
      <c r="BF29" s="597"/>
      <c r="BG29" s="597"/>
      <c r="BH29" s="597"/>
      <c r="BI29" s="597"/>
      <c r="BJ29" s="597"/>
      <c r="BK29" s="597"/>
      <c r="BL29" s="597"/>
      <c r="BM29" s="597"/>
      <c r="BN29" s="597"/>
      <c r="BO29" s="597"/>
      <c r="BP29" s="597"/>
      <c r="BQ29" s="597"/>
      <c r="BR29" s="597"/>
      <c r="BS29" s="597"/>
      <c r="BT29" s="597"/>
      <c r="BU29" s="597"/>
      <c r="BV29" s="597"/>
      <c r="BW29" s="597"/>
      <c r="BX29" s="597"/>
      <c r="BY29" s="597"/>
      <c r="BZ29" s="597"/>
      <c r="CA29" s="597"/>
      <c r="CB29" s="597"/>
      <c r="CC29" s="597"/>
      <c r="CD29" s="597"/>
      <c r="CE29" s="597"/>
      <c r="CF29" s="597"/>
      <c r="CG29" s="597"/>
      <c r="CH29" s="597"/>
      <c r="CI29" s="597"/>
      <c r="CJ29" s="597"/>
      <c r="CK29" s="597"/>
      <c r="CL29" s="597"/>
      <c r="CM29" s="597"/>
      <c r="CN29" s="597"/>
      <c r="CO29" s="597"/>
      <c r="CP29" s="597"/>
      <c r="CQ29" s="597"/>
      <c r="CR29" s="597"/>
      <c r="CS29" s="597"/>
      <c r="CT29" s="597"/>
      <c r="CU29" s="597"/>
      <c r="CV29" s="597"/>
      <c r="CW29" s="597"/>
      <c r="CX29" s="597"/>
      <c r="CY29" s="597"/>
      <c r="CZ29" s="597"/>
      <c r="DA29" s="597"/>
      <c r="DB29" s="597"/>
      <c r="DC29" s="597"/>
      <c r="DD29" s="597"/>
      <c r="DE29" s="597"/>
      <c r="DF29" s="597"/>
      <c r="DG29" s="597"/>
      <c r="DH29" s="597"/>
      <c r="DI29" s="597"/>
      <c r="DJ29" s="597"/>
      <c r="DK29" s="597"/>
      <c r="DL29" s="597"/>
      <c r="DM29" s="597"/>
      <c r="DN29" s="597"/>
      <c r="DO29" s="597"/>
      <c r="DP29" s="597"/>
      <c r="DQ29" s="597"/>
      <c r="DR29" s="597"/>
      <c r="DS29" s="597"/>
      <c r="DT29" s="597"/>
    </row>
    <row r="30" spans="1:124" s="26" customFormat="1" ht="15" customHeight="1" x14ac:dyDescent="0.25">
      <c r="A30" s="388" t="s">
        <v>480</v>
      </c>
      <c r="B30" s="593"/>
      <c r="C30" s="177"/>
      <c r="D30" s="141"/>
      <c r="E30" s="143">
        <f t="shared" si="14"/>
        <v>0</v>
      </c>
      <c r="F30" s="1095"/>
      <c r="G30" s="277"/>
      <c r="H30" s="277"/>
      <c r="I30" s="141">
        <f t="shared" si="1"/>
        <v>0</v>
      </c>
      <c r="J30" s="177"/>
      <c r="K30" s="141"/>
      <c r="L30" s="141"/>
      <c r="M30" s="143">
        <f t="shared" si="3"/>
        <v>0</v>
      </c>
      <c r="N30" s="158">
        <f t="shared" si="13"/>
        <v>0</v>
      </c>
      <c r="O30" s="141">
        <f t="shared" si="16"/>
        <v>0</v>
      </c>
      <c r="P30" s="141">
        <f t="shared" si="16"/>
        <v>0</v>
      </c>
      <c r="Q30" s="1110">
        <f t="shared" si="4"/>
        <v>0</v>
      </c>
      <c r="R30" s="177" t="e">
        <f>#REF!+#REF!+#REF!+#REF!+#REF!</f>
        <v>#REF!</v>
      </c>
      <c r="S30" s="158"/>
      <c r="T30" s="277"/>
      <c r="U30" s="277"/>
      <c r="V30" s="143"/>
      <c r="W30" s="597"/>
      <c r="X30" s="597"/>
      <c r="Y30" s="597"/>
      <c r="Z30" s="597"/>
      <c r="AA30" s="597"/>
      <c r="AB30" s="597"/>
      <c r="AC30" s="597"/>
      <c r="AD30" s="597"/>
      <c r="AE30" s="597"/>
      <c r="AF30" s="597"/>
      <c r="AG30" s="597"/>
      <c r="AH30" s="597"/>
      <c r="AI30" s="597"/>
      <c r="AJ30" s="597"/>
      <c r="AK30" s="597"/>
      <c r="AL30" s="597"/>
      <c r="AM30" s="597"/>
      <c r="AN30" s="597"/>
      <c r="AO30" s="597"/>
      <c r="AP30" s="597"/>
      <c r="AQ30" s="597"/>
      <c r="AR30" s="597"/>
      <c r="AS30" s="597"/>
      <c r="AT30" s="597"/>
      <c r="AU30" s="597"/>
      <c r="AV30" s="597"/>
      <c r="AW30" s="597"/>
      <c r="AX30" s="597"/>
      <c r="AY30" s="597"/>
      <c r="AZ30" s="597"/>
      <c r="BA30" s="597"/>
      <c r="BB30" s="597"/>
      <c r="BC30" s="597"/>
      <c r="BD30" s="597"/>
      <c r="BE30" s="597"/>
      <c r="BF30" s="597"/>
      <c r="BG30" s="597"/>
      <c r="BH30" s="597"/>
      <c r="BI30" s="597"/>
      <c r="BJ30" s="597"/>
      <c r="BK30" s="597"/>
      <c r="BL30" s="597"/>
      <c r="BM30" s="597"/>
      <c r="BN30" s="597"/>
      <c r="BO30" s="597"/>
      <c r="BP30" s="597"/>
      <c r="BQ30" s="597"/>
      <c r="BR30" s="597"/>
      <c r="BS30" s="597"/>
      <c r="BT30" s="597"/>
      <c r="BU30" s="597"/>
      <c r="BV30" s="597"/>
      <c r="BW30" s="597"/>
      <c r="BX30" s="597"/>
      <c r="BY30" s="597"/>
      <c r="BZ30" s="597"/>
      <c r="CA30" s="597"/>
      <c r="CB30" s="597"/>
      <c r="CC30" s="597"/>
      <c r="CD30" s="597"/>
      <c r="CE30" s="597"/>
      <c r="CF30" s="597"/>
      <c r="CG30" s="597"/>
      <c r="CH30" s="597"/>
      <c r="CI30" s="597"/>
      <c r="CJ30" s="597"/>
      <c r="CK30" s="597"/>
      <c r="CL30" s="597"/>
      <c r="CM30" s="597"/>
      <c r="CN30" s="597"/>
      <c r="CO30" s="597"/>
      <c r="CP30" s="597"/>
      <c r="CQ30" s="597"/>
      <c r="CR30" s="597"/>
      <c r="CS30" s="597"/>
      <c r="CT30" s="597"/>
      <c r="CU30" s="597"/>
      <c r="CV30" s="597"/>
      <c r="CW30" s="597"/>
      <c r="CX30" s="597"/>
      <c r="CY30" s="597"/>
      <c r="CZ30" s="597"/>
      <c r="DA30" s="597"/>
      <c r="DB30" s="597"/>
      <c r="DC30" s="597"/>
      <c r="DD30" s="597"/>
      <c r="DE30" s="597"/>
      <c r="DF30" s="597"/>
      <c r="DG30" s="597"/>
      <c r="DH30" s="597"/>
      <c r="DI30" s="597"/>
      <c r="DJ30" s="597"/>
      <c r="DK30" s="597"/>
      <c r="DL30" s="597"/>
      <c r="DM30" s="597"/>
      <c r="DN30" s="597"/>
      <c r="DO30" s="597"/>
      <c r="DP30" s="597"/>
      <c r="DQ30" s="597"/>
      <c r="DR30" s="597"/>
      <c r="DS30" s="597"/>
      <c r="DT30" s="597"/>
    </row>
    <row r="31" spans="1:124" s="26" customFormat="1" ht="15" customHeight="1" x14ac:dyDescent="0.25">
      <c r="A31" s="387" t="s">
        <v>394</v>
      </c>
      <c r="B31" s="593"/>
      <c r="C31" s="177"/>
      <c r="D31" s="141"/>
      <c r="E31" s="143">
        <f t="shared" si="14"/>
        <v>0</v>
      </c>
      <c r="F31" s="1095"/>
      <c r="G31" s="277"/>
      <c r="H31" s="277"/>
      <c r="I31" s="141">
        <f t="shared" si="1"/>
        <v>0</v>
      </c>
      <c r="J31" s="177"/>
      <c r="K31" s="141"/>
      <c r="L31" s="277"/>
      <c r="M31" s="143">
        <f t="shared" si="3"/>
        <v>0</v>
      </c>
      <c r="N31" s="158">
        <f t="shared" si="13"/>
        <v>0</v>
      </c>
      <c r="O31" s="141">
        <f t="shared" si="16"/>
        <v>0</v>
      </c>
      <c r="P31" s="141">
        <f t="shared" si="16"/>
        <v>0</v>
      </c>
      <c r="Q31" s="1110">
        <f t="shared" si="4"/>
        <v>0</v>
      </c>
      <c r="R31" s="177"/>
      <c r="S31" s="158"/>
      <c r="T31" s="277"/>
      <c r="U31" s="277"/>
      <c r="V31" s="143"/>
      <c r="W31" s="597"/>
      <c r="X31" s="597"/>
      <c r="Y31" s="597"/>
      <c r="Z31" s="597"/>
      <c r="AA31" s="597"/>
      <c r="AB31" s="597"/>
      <c r="AC31" s="597"/>
      <c r="AD31" s="597"/>
      <c r="AE31" s="597"/>
      <c r="AF31" s="597"/>
      <c r="AG31" s="597"/>
      <c r="AH31" s="597"/>
      <c r="AI31" s="597"/>
      <c r="AJ31" s="597"/>
      <c r="AK31" s="597"/>
      <c r="AL31" s="597"/>
      <c r="AM31" s="597"/>
      <c r="AN31" s="597"/>
      <c r="AO31" s="597"/>
      <c r="AP31" s="597"/>
      <c r="AQ31" s="597"/>
      <c r="AR31" s="597"/>
      <c r="AS31" s="597"/>
      <c r="AT31" s="597"/>
      <c r="AU31" s="597"/>
      <c r="AV31" s="597"/>
      <c r="AW31" s="597"/>
      <c r="AX31" s="597"/>
      <c r="AY31" s="597"/>
      <c r="AZ31" s="597"/>
      <c r="BA31" s="597"/>
      <c r="BB31" s="597"/>
      <c r="BC31" s="597"/>
      <c r="BD31" s="597"/>
      <c r="BE31" s="597"/>
      <c r="BF31" s="597"/>
      <c r="BG31" s="597"/>
      <c r="BH31" s="597"/>
      <c r="BI31" s="597"/>
      <c r="BJ31" s="597"/>
      <c r="BK31" s="597"/>
      <c r="BL31" s="597"/>
      <c r="BM31" s="597"/>
      <c r="BN31" s="597"/>
      <c r="BO31" s="597"/>
      <c r="BP31" s="597"/>
      <c r="BQ31" s="597"/>
      <c r="BR31" s="597"/>
      <c r="BS31" s="597"/>
      <c r="BT31" s="597"/>
      <c r="BU31" s="597"/>
      <c r="BV31" s="597"/>
      <c r="BW31" s="597"/>
      <c r="BX31" s="597"/>
      <c r="BY31" s="597"/>
      <c r="BZ31" s="597"/>
      <c r="CA31" s="597"/>
      <c r="CB31" s="597"/>
      <c r="CC31" s="597"/>
      <c r="CD31" s="597"/>
      <c r="CE31" s="597"/>
      <c r="CF31" s="597"/>
      <c r="CG31" s="597"/>
      <c r="CH31" s="597"/>
      <c r="CI31" s="597"/>
      <c r="CJ31" s="597"/>
      <c r="CK31" s="597"/>
      <c r="CL31" s="597"/>
      <c r="CM31" s="597"/>
      <c r="CN31" s="597"/>
      <c r="CO31" s="597"/>
      <c r="CP31" s="597"/>
      <c r="CQ31" s="597"/>
      <c r="CR31" s="597"/>
      <c r="CS31" s="597"/>
      <c r="CT31" s="597"/>
      <c r="CU31" s="597"/>
      <c r="CV31" s="597"/>
      <c r="CW31" s="597"/>
      <c r="CX31" s="597"/>
      <c r="CY31" s="597"/>
      <c r="CZ31" s="597"/>
      <c r="DA31" s="597"/>
      <c r="DB31" s="597"/>
      <c r="DC31" s="597"/>
      <c r="DD31" s="597"/>
      <c r="DE31" s="597"/>
      <c r="DF31" s="597"/>
      <c r="DG31" s="597"/>
      <c r="DH31" s="597"/>
      <c r="DI31" s="597"/>
      <c r="DJ31" s="597"/>
      <c r="DK31" s="597"/>
      <c r="DL31" s="597"/>
      <c r="DM31" s="597"/>
      <c r="DN31" s="597"/>
      <c r="DO31" s="597"/>
      <c r="DP31" s="597"/>
      <c r="DQ31" s="597"/>
      <c r="DR31" s="597"/>
      <c r="DS31" s="597"/>
      <c r="DT31" s="597"/>
    </row>
    <row r="32" spans="1:124" s="26" customFormat="1" ht="15" customHeight="1" x14ac:dyDescent="0.25">
      <c r="A32" s="387" t="s">
        <v>392</v>
      </c>
      <c r="B32" s="593"/>
      <c r="C32" s="177"/>
      <c r="D32" s="141"/>
      <c r="E32" s="143">
        <f t="shared" si="14"/>
        <v>0</v>
      </c>
      <c r="F32" s="1095"/>
      <c r="G32" s="277"/>
      <c r="H32" s="277"/>
      <c r="I32" s="141">
        <f t="shared" si="1"/>
        <v>0</v>
      </c>
      <c r="J32" s="177"/>
      <c r="K32" s="141"/>
      <c r="L32" s="141"/>
      <c r="M32" s="143">
        <f t="shared" si="3"/>
        <v>0</v>
      </c>
      <c r="N32" s="158">
        <f t="shared" si="13"/>
        <v>0</v>
      </c>
      <c r="O32" s="141">
        <f t="shared" si="16"/>
        <v>0</v>
      </c>
      <c r="P32" s="141">
        <f t="shared" si="16"/>
        <v>0</v>
      </c>
      <c r="Q32" s="1110">
        <f t="shared" si="4"/>
        <v>0</v>
      </c>
      <c r="R32" s="177"/>
      <c r="S32" s="158"/>
      <c r="T32" s="277"/>
      <c r="U32" s="277"/>
      <c r="V32" s="143"/>
      <c r="W32" s="597"/>
      <c r="X32" s="597"/>
      <c r="Y32" s="597"/>
      <c r="Z32" s="597"/>
      <c r="AA32" s="597"/>
      <c r="AB32" s="597"/>
      <c r="AC32" s="597"/>
      <c r="AD32" s="597"/>
      <c r="AE32" s="597"/>
      <c r="AF32" s="597"/>
      <c r="AG32" s="597"/>
      <c r="AH32" s="597"/>
      <c r="AI32" s="597"/>
      <c r="AJ32" s="597"/>
      <c r="AK32" s="597"/>
      <c r="AL32" s="597"/>
      <c r="AM32" s="597"/>
      <c r="AN32" s="597"/>
      <c r="AO32" s="597"/>
      <c r="AP32" s="597"/>
      <c r="AQ32" s="597"/>
      <c r="AR32" s="597"/>
      <c r="AS32" s="597"/>
      <c r="AT32" s="597"/>
      <c r="AU32" s="597"/>
      <c r="AV32" s="597"/>
      <c r="AW32" s="597"/>
      <c r="AX32" s="597"/>
      <c r="AY32" s="597"/>
      <c r="AZ32" s="597"/>
      <c r="BA32" s="597"/>
      <c r="BB32" s="597"/>
      <c r="BC32" s="597"/>
      <c r="BD32" s="597"/>
      <c r="BE32" s="597"/>
      <c r="BF32" s="597"/>
      <c r="BG32" s="597"/>
      <c r="BH32" s="597"/>
      <c r="BI32" s="597"/>
      <c r="BJ32" s="597"/>
      <c r="BK32" s="597"/>
      <c r="BL32" s="597"/>
      <c r="BM32" s="597"/>
      <c r="BN32" s="597"/>
      <c r="BO32" s="597"/>
      <c r="BP32" s="597"/>
      <c r="BQ32" s="597"/>
      <c r="BR32" s="597"/>
      <c r="BS32" s="597"/>
      <c r="BT32" s="597"/>
      <c r="BU32" s="597"/>
      <c r="BV32" s="597"/>
      <c r="BW32" s="597"/>
      <c r="BX32" s="597"/>
      <c r="BY32" s="597"/>
      <c r="BZ32" s="597"/>
      <c r="CA32" s="597"/>
      <c r="CB32" s="597"/>
      <c r="CC32" s="597"/>
      <c r="CD32" s="597"/>
      <c r="CE32" s="597"/>
      <c r="CF32" s="597"/>
      <c r="CG32" s="597"/>
      <c r="CH32" s="597"/>
      <c r="CI32" s="597"/>
      <c r="CJ32" s="597"/>
      <c r="CK32" s="597"/>
      <c r="CL32" s="597"/>
      <c r="CM32" s="597"/>
      <c r="CN32" s="597"/>
      <c r="CO32" s="597"/>
      <c r="CP32" s="597"/>
      <c r="CQ32" s="597"/>
      <c r="CR32" s="597"/>
      <c r="CS32" s="597"/>
      <c r="CT32" s="597"/>
      <c r="CU32" s="597"/>
      <c r="CV32" s="597"/>
      <c r="CW32" s="597"/>
      <c r="CX32" s="597"/>
      <c r="CY32" s="597"/>
      <c r="CZ32" s="597"/>
      <c r="DA32" s="597"/>
      <c r="DB32" s="597"/>
      <c r="DC32" s="597"/>
      <c r="DD32" s="597"/>
      <c r="DE32" s="597"/>
      <c r="DF32" s="597"/>
      <c r="DG32" s="597"/>
      <c r="DH32" s="597"/>
      <c r="DI32" s="597"/>
      <c r="DJ32" s="597"/>
      <c r="DK32" s="597"/>
      <c r="DL32" s="597"/>
      <c r="DM32" s="597"/>
      <c r="DN32" s="597"/>
      <c r="DO32" s="597"/>
      <c r="DP32" s="597"/>
      <c r="DQ32" s="597"/>
      <c r="DR32" s="597"/>
      <c r="DS32" s="597"/>
      <c r="DT32" s="597"/>
    </row>
    <row r="33" spans="1:124" s="26" customFormat="1" ht="17.399999999999999" customHeight="1" x14ac:dyDescent="0.25">
      <c r="A33" s="390" t="s">
        <v>393</v>
      </c>
      <c r="B33" s="593">
        <v>20000</v>
      </c>
      <c r="C33" s="177">
        <v>20000</v>
      </c>
      <c r="D33" s="141">
        <v>20000</v>
      </c>
      <c r="E33" s="143">
        <f t="shared" si="14"/>
        <v>0</v>
      </c>
      <c r="F33" s="1095"/>
      <c r="G33" s="277"/>
      <c r="H33" s="277"/>
      <c r="I33" s="141">
        <f t="shared" si="1"/>
        <v>0</v>
      </c>
      <c r="J33" s="177"/>
      <c r="K33" s="141"/>
      <c r="L33" s="141"/>
      <c r="M33" s="143">
        <f t="shared" si="3"/>
        <v>0</v>
      </c>
      <c r="N33" s="158">
        <f t="shared" si="13"/>
        <v>20000</v>
      </c>
      <c r="O33" s="141">
        <f>C33+G33+K33</f>
        <v>20000</v>
      </c>
      <c r="P33" s="141">
        <f>D33+H33+L33</f>
        <v>20000</v>
      </c>
      <c r="Q33" s="1110">
        <f t="shared" si="4"/>
        <v>0</v>
      </c>
      <c r="R33" s="177" t="e">
        <f>#REF!+#REF!+#REF!+#REF!+#REF!</f>
        <v>#REF!</v>
      </c>
      <c r="S33" s="158"/>
      <c r="T33" s="277"/>
      <c r="U33" s="277"/>
      <c r="V33" s="143"/>
      <c r="W33" s="597"/>
      <c r="X33" s="597"/>
      <c r="Y33" s="597"/>
      <c r="Z33" s="597"/>
      <c r="AA33" s="597"/>
      <c r="AB33" s="597"/>
      <c r="AC33" s="597"/>
      <c r="AD33" s="597"/>
      <c r="AE33" s="597"/>
      <c r="AF33" s="597"/>
      <c r="AG33" s="597"/>
      <c r="AH33" s="597"/>
      <c r="AI33" s="597"/>
      <c r="AJ33" s="597"/>
      <c r="AK33" s="597"/>
      <c r="AL33" s="597"/>
      <c r="AM33" s="597"/>
      <c r="AN33" s="597"/>
      <c r="AO33" s="597"/>
      <c r="AP33" s="597"/>
      <c r="AQ33" s="597"/>
      <c r="AR33" s="597"/>
      <c r="AS33" s="597"/>
      <c r="AT33" s="597"/>
      <c r="AU33" s="597"/>
      <c r="AV33" s="597"/>
      <c r="AW33" s="597"/>
      <c r="AX33" s="597"/>
      <c r="AY33" s="597"/>
      <c r="AZ33" s="597"/>
      <c r="BA33" s="597"/>
      <c r="BB33" s="597"/>
      <c r="BC33" s="597"/>
      <c r="BD33" s="597"/>
      <c r="BE33" s="597"/>
      <c r="BF33" s="597"/>
      <c r="BG33" s="597"/>
      <c r="BH33" s="597"/>
      <c r="BI33" s="597"/>
      <c r="BJ33" s="597"/>
      <c r="BK33" s="597"/>
      <c r="BL33" s="597"/>
      <c r="BM33" s="597"/>
      <c r="BN33" s="597"/>
      <c r="BO33" s="597"/>
      <c r="BP33" s="597"/>
      <c r="BQ33" s="597"/>
      <c r="BR33" s="597"/>
      <c r="BS33" s="597"/>
      <c r="BT33" s="597"/>
      <c r="BU33" s="597"/>
      <c r="BV33" s="597"/>
      <c r="BW33" s="597"/>
      <c r="BX33" s="597"/>
      <c r="BY33" s="597"/>
      <c r="BZ33" s="597"/>
      <c r="CA33" s="597"/>
      <c r="CB33" s="597"/>
      <c r="CC33" s="597"/>
      <c r="CD33" s="597"/>
      <c r="CE33" s="597"/>
      <c r="CF33" s="597"/>
      <c r="CG33" s="597"/>
      <c r="CH33" s="597"/>
      <c r="CI33" s="597"/>
      <c r="CJ33" s="597"/>
      <c r="CK33" s="597"/>
      <c r="CL33" s="597"/>
      <c r="CM33" s="597"/>
      <c r="CN33" s="597"/>
      <c r="CO33" s="597"/>
      <c r="CP33" s="597"/>
      <c r="CQ33" s="597"/>
      <c r="CR33" s="597"/>
      <c r="CS33" s="597"/>
      <c r="CT33" s="597"/>
      <c r="CU33" s="597"/>
      <c r="CV33" s="597"/>
      <c r="CW33" s="597"/>
      <c r="CX33" s="597"/>
      <c r="CY33" s="597"/>
      <c r="CZ33" s="597"/>
      <c r="DA33" s="597"/>
      <c r="DB33" s="597"/>
      <c r="DC33" s="597"/>
      <c r="DD33" s="597"/>
      <c r="DE33" s="597"/>
      <c r="DF33" s="597"/>
      <c r="DG33" s="597"/>
      <c r="DH33" s="597"/>
      <c r="DI33" s="597"/>
      <c r="DJ33" s="597"/>
      <c r="DK33" s="597"/>
      <c r="DL33" s="597"/>
      <c r="DM33" s="597"/>
      <c r="DN33" s="597"/>
      <c r="DO33" s="597"/>
      <c r="DP33" s="597"/>
      <c r="DQ33" s="597"/>
      <c r="DR33" s="597"/>
      <c r="DS33" s="597"/>
      <c r="DT33" s="597"/>
    </row>
    <row r="34" spans="1:124" s="24" customFormat="1" ht="14.25" customHeight="1" x14ac:dyDescent="0.25">
      <c r="A34" s="386" t="s">
        <v>414</v>
      </c>
      <c r="B34" s="594"/>
      <c r="C34" s="145">
        <f>SUM(C35:C39)</f>
        <v>0</v>
      </c>
      <c r="D34" s="106">
        <f>SUM(D35:D39)</f>
        <v>0</v>
      </c>
      <c r="E34" s="1252">
        <f t="shared" si="14"/>
        <v>0</v>
      </c>
      <c r="F34" s="1096">
        <f t="shared" ref="F34:G34" si="17">SUM(F35:F39)</f>
        <v>0</v>
      </c>
      <c r="G34" s="145">
        <f t="shared" si="17"/>
        <v>0</v>
      </c>
      <c r="H34" s="145">
        <f t="shared" ref="H34:P34" si="18">SUM(H35:H39)</f>
        <v>0</v>
      </c>
      <c r="I34" s="106">
        <f t="shared" si="1"/>
        <v>0</v>
      </c>
      <c r="J34" s="171">
        <f t="shared" ref="J34:K34" si="19">SUM(J35:J39)</f>
        <v>0</v>
      </c>
      <c r="K34" s="106">
        <f t="shared" si="19"/>
        <v>0</v>
      </c>
      <c r="L34" s="106">
        <f t="shared" si="18"/>
        <v>0</v>
      </c>
      <c r="M34" s="1252">
        <f t="shared" si="3"/>
        <v>0</v>
      </c>
      <c r="N34" s="157">
        <f t="shared" si="18"/>
        <v>0</v>
      </c>
      <c r="O34" s="106">
        <f t="shared" ref="O34" si="20">SUM(O35:O39)</f>
        <v>0</v>
      </c>
      <c r="P34" s="106">
        <f t="shared" si="18"/>
        <v>0</v>
      </c>
      <c r="Q34" s="1259">
        <f t="shared" si="4"/>
        <v>0</v>
      </c>
      <c r="R34" s="171" t="e">
        <f>#REF!+#REF!+#REF!+#REF!+#REF!</f>
        <v>#REF!</v>
      </c>
      <c r="S34" s="157">
        <f>SUM(S35:S39)</f>
        <v>0</v>
      </c>
      <c r="T34" s="106">
        <f>SUM(T35:T39)</f>
        <v>0</v>
      </c>
      <c r="U34" s="106">
        <f>SUM(U35:U39)</f>
        <v>0</v>
      </c>
      <c r="V34" s="1252">
        <f t="shared" si="5"/>
        <v>0</v>
      </c>
      <c r="W34" s="591"/>
      <c r="X34" s="591"/>
      <c r="Y34" s="591"/>
      <c r="Z34" s="591"/>
      <c r="AA34" s="591"/>
      <c r="AB34" s="591"/>
      <c r="AC34" s="591"/>
      <c r="AD34" s="591"/>
      <c r="AE34" s="591"/>
      <c r="AF34" s="591"/>
      <c r="AG34" s="591"/>
      <c r="AH34" s="591"/>
      <c r="AI34" s="591"/>
      <c r="AJ34" s="591"/>
      <c r="AK34" s="591"/>
      <c r="AL34" s="591"/>
      <c r="AM34" s="591"/>
      <c r="AN34" s="591"/>
      <c r="AO34" s="591"/>
      <c r="AP34" s="591"/>
      <c r="AQ34" s="591"/>
      <c r="AR34" s="591"/>
      <c r="AS34" s="591"/>
      <c r="AT34" s="591"/>
      <c r="AU34" s="591"/>
      <c r="AV34" s="591"/>
      <c r="AW34" s="591"/>
      <c r="AX34" s="591"/>
      <c r="AY34" s="591"/>
      <c r="AZ34" s="591"/>
      <c r="BA34" s="591"/>
      <c r="BB34" s="591"/>
      <c r="BC34" s="591"/>
      <c r="BD34" s="591"/>
      <c r="BE34" s="591"/>
      <c r="BF34" s="591"/>
      <c r="BG34" s="591"/>
      <c r="BH34" s="591"/>
      <c r="BI34" s="591"/>
      <c r="BJ34" s="591"/>
      <c r="BK34" s="591"/>
      <c r="BL34" s="591"/>
      <c r="BM34" s="591"/>
      <c r="BN34" s="591"/>
      <c r="BO34" s="591"/>
      <c r="BP34" s="591"/>
      <c r="BQ34" s="591"/>
      <c r="BR34" s="591"/>
      <c r="BS34" s="591"/>
      <c r="BT34" s="591"/>
      <c r="BU34" s="591"/>
      <c r="BV34" s="591"/>
      <c r="BW34" s="591"/>
      <c r="BX34" s="591"/>
      <c r="BY34" s="591"/>
      <c r="BZ34" s="591"/>
      <c r="CA34" s="591"/>
      <c r="CB34" s="591"/>
      <c r="CC34" s="591"/>
      <c r="CD34" s="591"/>
      <c r="CE34" s="591"/>
      <c r="CF34" s="591"/>
      <c r="CG34" s="591"/>
      <c r="CH34" s="591"/>
      <c r="CI34" s="591"/>
      <c r="CJ34" s="591"/>
      <c r="CK34" s="591"/>
      <c r="CL34" s="591"/>
      <c r="CM34" s="591"/>
      <c r="CN34" s="591"/>
      <c r="CO34" s="591"/>
      <c r="CP34" s="591"/>
      <c r="CQ34" s="591"/>
      <c r="CR34" s="591"/>
      <c r="CS34" s="591"/>
      <c r="CT34" s="591"/>
      <c r="CU34" s="591"/>
      <c r="CV34" s="591"/>
      <c r="CW34" s="591"/>
      <c r="CX34" s="591"/>
      <c r="CY34" s="591"/>
      <c r="CZ34" s="591"/>
      <c r="DA34" s="591"/>
      <c r="DB34" s="591"/>
      <c r="DC34" s="591"/>
      <c r="DD34" s="591"/>
      <c r="DE34" s="591"/>
      <c r="DF34" s="591"/>
      <c r="DG34" s="591"/>
      <c r="DH34" s="591"/>
      <c r="DI34" s="591"/>
      <c r="DJ34" s="591"/>
      <c r="DK34" s="591"/>
      <c r="DL34" s="591"/>
      <c r="DM34" s="591"/>
      <c r="DN34" s="591"/>
      <c r="DO34" s="591"/>
      <c r="DP34" s="591"/>
      <c r="DQ34" s="591"/>
      <c r="DR34" s="591"/>
      <c r="DS34" s="591"/>
      <c r="DT34" s="591"/>
    </row>
    <row r="35" spans="1:124" s="26" customFormat="1" ht="15" customHeight="1" x14ac:dyDescent="0.25">
      <c r="A35" s="384" t="s">
        <v>481</v>
      </c>
      <c r="B35" s="593"/>
      <c r="C35" s="177"/>
      <c r="D35" s="141"/>
      <c r="E35" s="143"/>
      <c r="F35" s="1095"/>
      <c r="G35" s="277"/>
      <c r="H35" s="277"/>
      <c r="I35" s="141">
        <f t="shared" si="1"/>
        <v>0</v>
      </c>
      <c r="J35" s="177"/>
      <c r="K35" s="141"/>
      <c r="L35" s="141"/>
      <c r="M35" s="143">
        <f t="shared" si="3"/>
        <v>0</v>
      </c>
      <c r="N35" s="158">
        <f>B35+F35+J35</f>
        <v>0</v>
      </c>
      <c r="O35" s="141"/>
      <c r="P35" s="141"/>
      <c r="Q35" s="1110">
        <f t="shared" si="4"/>
        <v>0</v>
      </c>
      <c r="R35" s="178"/>
      <c r="S35" s="158"/>
      <c r="T35" s="277"/>
      <c r="U35" s="277"/>
      <c r="V35" s="143">
        <f t="shared" si="5"/>
        <v>0</v>
      </c>
      <c r="W35" s="597"/>
      <c r="X35" s="597"/>
      <c r="Y35" s="597"/>
      <c r="Z35" s="597"/>
      <c r="AA35" s="597"/>
      <c r="AB35" s="597"/>
      <c r="AC35" s="597"/>
      <c r="AD35" s="597"/>
      <c r="AE35" s="597"/>
      <c r="AF35" s="597"/>
      <c r="AG35" s="597"/>
      <c r="AH35" s="597"/>
      <c r="AI35" s="597"/>
      <c r="AJ35" s="597"/>
      <c r="AK35" s="597"/>
      <c r="AL35" s="597"/>
      <c r="AM35" s="597"/>
      <c r="AN35" s="597"/>
      <c r="AO35" s="597"/>
      <c r="AP35" s="597"/>
      <c r="AQ35" s="597"/>
      <c r="AR35" s="597"/>
      <c r="AS35" s="597"/>
      <c r="AT35" s="597"/>
      <c r="AU35" s="597"/>
      <c r="AV35" s="597"/>
      <c r="AW35" s="597"/>
      <c r="AX35" s="597"/>
      <c r="AY35" s="597"/>
      <c r="AZ35" s="597"/>
      <c r="BA35" s="597"/>
      <c r="BB35" s="597"/>
      <c r="BC35" s="597"/>
      <c r="BD35" s="597"/>
      <c r="BE35" s="597"/>
      <c r="BF35" s="597"/>
      <c r="BG35" s="597"/>
      <c r="BH35" s="597"/>
      <c r="BI35" s="597"/>
      <c r="BJ35" s="597"/>
      <c r="BK35" s="597"/>
      <c r="BL35" s="597"/>
      <c r="BM35" s="597"/>
      <c r="BN35" s="597"/>
      <c r="BO35" s="597"/>
      <c r="BP35" s="597"/>
      <c r="BQ35" s="597"/>
      <c r="BR35" s="597"/>
      <c r="BS35" s="597"/>
      <c r="BT35" s="597"/>
      <c r="BU35" s="597"/>
      <c r="BV35" s="597"/>
      <c r="BW35" s="597"/>
      <c r="BX35" s="597"/>
      <c r="BY35" s="597"/>
      <c r="BZ35" s="597"/>
      <c r="CA35" s="597"/>
      <c r="CB35" s="597"/>
      <c r="CC35" s="597"/>
      <c r="CD35" s="597"/>
      <c r="CE35" s="597"/>
      <c r="CF35" s="597"/>
      <c r="CG35" s="597"/>
      <c r="CH35" s="597"/>
      <c r="CI35" s="597"/>
      <c r="CJ35" s="597"/>
      <c r="CK35" s="597"/>
      <c r="CL35" s="597"/>
      <c r="CM35" s="597"/>
      <c r="CN35" s="597"/>
      <c r="CO35" s="597"/>
      <c r="CP35" s="597"/>
      <c r="CQ35" s="597"/>
      <c r="CR35" s="597"/>
      <c r="CS35" s="597"/>
      <c r="CT35" s="597"/>
      <c r="CU35" s="597"/>
      <c r="CV35" s="597"/>
      <c r="CW35" s="597"/>
      <c r="CX35" s="597"/>
      <c r="CY35" s="597"/>
      <c r="CZ35" s="597"/>
      <c r="DA35" s="597"/>
      <c r="DB35" s="597"/>
      <c r="DC35" s="597"/>
      <c r="DD35" s="597"/>
      <c r="DE35" s="597"/>
      <c r="DF35" s="597"/>
      <c r="DG35" s="597"/>
      <c r="DH35" s="597"/>
      <c r="DI35" s="597"/>
      <c r="DJ35" s="597"/>
      <c r="DK35" s="597"/>
      <c r="DL35" s="597"/>
      <c r="DM35" s="597"/>
      <c r="DN35" s="597"/>
      <c r="DO35" s="597"/>
      <c r="DP35" s="597"/>
      <c r="DQ35" s="597"/>
      <c r="DR35" s="597"/>
      <c r="DS35" s="597"/>
      <c r="DT35" s="597"/>
    </row>
    <row r="36" spans="1:124" s="26" customFormat="1" ht="15" customHeight="1" x14ac:dyDescent="0.25">
      <c r="A36" s="384" t="s">
        <v>482</v>
      </c>
      <c r="B36" s="593"/>
      <c r="C36" s="177"/>
      <c r="D36" s="141"/>
      <c r="E36" s="143"/>
      <c r="F36" s="1095"/>
      <c r="G36" s="277"/>
      <c r="H36" s="277"/>
      <c r="I36" s="141">
        <f t="shared" si="1"/>
        <v>0</v>
      </c>
      <c r="J36" s="177"/>
      <c r="K36" s="141"/>
      <c r="L36" s="141"/>
      <c r="M36" s="143">
        <f t="shared" si="3"/>
        <v>0</v>
      </c>
      <c r="N36" s="158">
        <f>B36+F36+J36</f>
        <v>0</v>
      </c>
      <c r="O36" s="141"/>
      <c r="P36" s="141"/>
      <c r="Q36" s="1110">
        <f t="shared" si="4"/>
        <v>0</v>
      </c>
      <c r="R36" s="178"/>
      <c r="S36" s="158"/>
      <c r="T36" s="277"/>
      <c r="U36" s="277"/>
      <c r="V36" s="143">
        <f t="shared" si="5"/>
        <v>0</v>
      </c>
      <c r="W36" s="597"/>
      <c r="X36" s="597"/>
      <c r="Y36" s="597"/>
      <c r="Z36" s="597"/>
      <c r="AA36" s="597"/>
      <c r="AB36" s="597"/>
      <c r="AC36" s="597"/>
      <c r="AD36" s="597"/>
      <c r="AE36" s="597"/>
      <c r="AF36" s="597"/>
      <c r="AG36" s="597"/>
      <c r="AH36" s="597"/>
      <c r="AI36" s="597"/>
      <c r="AJ36" s="597"/>
      <c r="AK36" s="597"/>
      <c r="AL36" s="597"/>
      <c r="AM36" s="597"/>
      <c r="AN36" s="597"/>
      <c r="AO36" s="597"/>
      <c r="AP36" s="597"/>
      <c r="AQ36" s="597"/>
      <c r="AR36" s="597"/>
      <c r="AS36" s="597"/>
      <c r="AT36" s="597"/>
      <c r="AU36" s="597"/>
      <c r="AV36" s="597"/>
      <c r="AW36" s="597"/>
      <c r="AX36" s="597"/>
      <c r="AY36" s="597"/>
      <c r="AZ36" s="597"/>
      <c r="BA36" s="597"/>
      <c r="BB36" s="597"/>
      <c r="BC36" s="597"/>
      <c r="BD36" s="597"/>
      <c r="BE36" s="597"/>
      <c r="BF36" s="597"/>
      <c r="BG36" s="597"/>
      <c r="BH36" s="597"/>
      <c r="BI36" s="597"/>
      <c r="BJ36" s="597"/>
      <c r="BK36" s="597"/>
      <c r="BL36" s="597"/>
      <c r="BM36" s="597"/>
      <c r="BN36" s="597"/>
      <c r="BO36" s="597"/>
      <c r="BP36" s="597"/>
      <c r="BQ36" s="597"/>
      <c r="BR36" s="597"/>
      <c r="BS36" s="597"/>
      <c r="BT36" s="597"/>
      <c r="BU36" s="597"/>
      <c r="BV36" s="597"/>
      <c r="BW36" s="597"/>
      <c r="BX36" s="597"/>
      <c r="BY36" s="597"/>
      <c r="BZ36" s="597"/>
      <c r="CA36" s="597"/>
      <c r="CB36" s="597"/>
      <c r="CC36" s="597"/>
      <c r="CD36" s="597"/>
      <c r="CE36" s="597"/>
      <c r="CF36" s="597"/>
      <c r="CG36" s="597"/>
      <c r="CH36" s="597"/>
      <c r="CI36" s="597"/>
      <c r="CJ36" s="597"/>
      <c r="CK36" s="597"/>
      <c r="CL36" s="597"/>
      <c r="CM36" s="597"/>
      <c r="CN36" s="597"/>
      <c r="CO36" s="597"/>
      <c r="CP36" s="597"/>
      <c r="CQ36" s="597"/>
      <c r="CR36" s="597"/>
      <c r="CS36" s="597"/>
      <c r="CT36" s="597"/>
      <c r="CU36" s="597"/>
      <c r="CV36" s="597"/>
      <c r="CW36" s="597"/>
      <c r="CX36" s="597"/>
      <c r="CY36" s="597"/>
      <c r="CZ36" s="597"/>
      <c r="DA36" s="597"/>
      <c r="DB36" s="597"/>
      <c r="DC36" s="597"/>
      <c r="DD36" s="597"/>
      <c r="DE36" s="597"/>
      <c r="DF36" s="597"/>
      <c r="DG36" s="597"/>
      <c r="DH36" s="597"/>
      <c r="DI36" s="597"/>
      <c r="DJ36" s="597"/>
      <c r="DK36" s="597"/>
      <c r="DL36" s="597"/>
      <c r="DM36" s="597"/>
      <c r="DN36" s="597"/>
      <c r="DO36" s="597"/>
      <c r="DP36" s="597"/>
      <c r="DQ36" s="597"/>
      <c r="DR36" s="597"/>
      <c r="DS36" s="597"/>
      <c r="DT36" s="597"/>
    </row>
    <row r="37" spans="1:124" s="26" customFormat="1" ht="15" customHeight="1" x14ac:dyDescent="0.25">
      <c r="A37" s="391" t="s">
        <v>483</v>
      </c>
      <c r="B37" s="593"/>
      <c r="C37" s="177"/>
      <c r="D37" s="141"/>
      <c r="E37" s="143"/>
      <c r="F37" s="1095"/>
      <c r="G37" s="277"/>
      <c r="H37" s="277"/>
      <c r="I37" s="141">
        <f t="shared" si="1"/>
        <v>0</v>
      </c>
      <c r="J37" s="177"/>
      <c r="K37" s="141"/>
      <c r="L37" s="141"/>
      <c r="M37" s="143">
        <f t="shared" si="3"/>
        <v>0</v>
      </c>
      <c r="N37" s="158">
        <f>B37+F37+J37</f>
        <v>0</v>
      </c>
      <c r="O37" s="141">
        <f>C37+G37+K37</f>
        <v>0</v>
      </c>
      <c r="P37" s="141">
        <f>D37+H37+L37</f>
        <v>0</v>
      </c>
      <c r="Q37" s="1110">
        <f t="shared" si="4"/>
        <v>0</v>
      </c>
      <c r="R37" s="178"/>
      <c r="S37" s="158"/>
      <c r="T37" s="277"/>
      <c r="U37" s="277"/>
      <c r="V37" s="143">
        <f t="shared" si="5"/>
        <v>0</v>
      </c>
      <c r="W37" s="597"/>
      <c r="X37" s="597"/>
      <c r="Y37" s="597"/>
      <c r="Z37" s="597"/>
      <c r="AA37" s="597"/>
      <c r="AB37" s="597"/>
      <c r="AC37" s="597"/>
      <c r="AD37" s="597"/>
      <c r="AE37" s="597"/>
      <c r="AF37" s="597"/>
      <c r="AG37" s="597"/>
      <c r="AH37" s="597"/>
      <c r="AI37" s="597"/>
      <c r="AJ37" s="597"/>
      <c r="AK37" s="597"/>
      <c r="AL37" s="597"/>
      <c r="AM37" s="597"/>
      <c r="AN37" s="597"/>
      <c r="AO37" s="597"/>
      <c r="AP37" s="597"/>
      <c r="AQ37" s="597"/>
      <c r="AR37" s="597"/>
      <c r="AS37" s="597"/>
      <c r="AT37" s="597"/>
      <c r="AU37" s="597"/>
      <c r="AV37" s="597"/>
      <c r="AW37" s="597"/>
      <c r="AX37" s="597"/>
      <c r="AY37" s="597"/>
      <c r="AZ37" s="597"/>
      <c r="BA37" s="597"/>
      <c r="BB37" s="597"/>
      <c r="BC37" s="597"/>
      <c r="BD37" s="597"/>
      <c r="BE37" s="597"/>
      <c r="BF37" s="597"/>
      <c r="BG37" s="597"/>
      <c r="BH37" s="597"/>
      <c r="BI37" s="597"/>
      <c r="BJ37" s="597"/>
      <c r="BK37" s="597"/>
      <c r="BL37" s="597"/>
      <c r="BM37" s="597"/>
      <c r="BN37" s="597"/>
      <c r="BO37" s="597"/>
      <c r="BP37" s="597"/>
      <c r="BQ37" s="597"/>
      <c r="BR37" s="597"/>
      <c r="BS37" s="597"/>
      <c r="BT37" s="597"/>
      <c r="BU37" s="597"/>
      <c r="BV37" s="597"/>
      <c r="BW37" s="597"/>
      <c r="BX37" s="597"/>
      <c r="BY37" s="597"/>
      <c r="BZ37" s="597"/>
      <c r="CA37" s="597"/>
      <c r="CB37" s="597"/>
      <c r="CC37" s="597"/>
      <c r="CD37" s="597"/>
      <c r="CE37" s="597"/>
      <c r="CF37" s="597"/>
      <c r="CG37" s="597"/>
      <c r="CH37" s="597"/>
      <c r="CI37" s="597"/>
      <c r="CJ37" s="597"/>
      <c r="CK37" s="597"/>
      <c r="CL37" s="597"/>
      <c r="CM37" s="597"/>
      <c r="CN37" s="597"/>
      <c r="CO37" s="597"/>
      <c r="CP37" s="597"/>
      <c r="CQ37" s="597"/>
      <c r="CR37" s="597"/>
      <c r="CS37" s="597"/>
      <c r="CT37" s="597"/>
      <c r="CU37" s="597"/>
      <c r="CV37" s="597"/>
      <c r="CW37" s="597"/>
      <c r="CX37" s="597"/>
      <c r="CY37" s="597"/>
      <c r="CZ37" s="597"/>
      <c r="DA37" s="597"/>
      <c r="DB37" s="597"/>
      <c r="DC37" s="597"/>
      <c r="DD37" s="597"/>
      <c r="DE37" s="597"/>
      <c r="DF37" s="597"/>
      <c r="DG37" s="597"/>
      <c r="DH37" s="597"/>
      <c r="DI37" s="597"/>
      <c r="DJ37" s="597"/>
      <c r="DK37" s="597"/>
      <c r="DL37" s="597"/>
      <c r="DM37" s="597"/>
      <c r="DN37" s="597"/>
      <c r="DO37" s="597"/>
      <c r="DP37" s="597"/>
      <c r="DQ37" s="597"/>
      <c r="DR37" s="597"/>
      <c r="DS37" s="597"/>
      <c r="DT37" s="597"/>
    </row>
    <row r="38" spans="1:124" s="26" customFormat="1" ht="15" customHeight="1" x14ac:dyDescent="0.25">
      <c r="A38" s="384" t="s">
        <v>484</v>
      </c>
      <c r="B38" s="593"/>
      <c r="C38" s="177"/>
      <c r="D38" s="141"/>
      <c r="E38" s="143"/>
      <c r="F38" s="1095"/>
      <c r="G38" s="277"/>
      <c r="H38" s="277"/>
      <c r="I38" s="141">
        <f t="shared" si="1"/>
        <v>0</v>
      </c>
      <c r="J38" s="177"/>
      <c r="K38" s="141"/>
      <c r="L38" s="141"/>
      <c r="M38" s="143">
        <f t="shared" si="3"/>
        <v>0</v>
      </c>
      <c r="N38" s="158">
        <f>B38+F38+J38</f>
        <v>0</v>
      </c>
      <c r="O38" s="141"/>
      <c r="P38" s="141"/>
      <c r="Q38" s="1110">
        <f t="shared" si="4"/>
        <v>0</v>
      </c>
      <c r="R38" s="178"/>
      <c r="S38" s="158"/>
      <c r="T38" s="277"/>
      <c r="U38" s="277"/>
      <c r="V38" s="143">
        <f t="shared" si="5"/>
        <v>0</v>
      </c>
      <c r="W38" s="597"/>
      <c r="X38" s="597"/>
      <c r="Y38" s="597"/>
      <c r="Z38" s="597"/>
      <c r="AA38" s="597"/>
      <c r="AB38" s="597"/>
      <c r="AC38" s="597"/>
      <c r="AD38" s="597"/>
      <c r="AE38" s="597"/>
      <c r="AF38" s="597"/>
      <c r="AG38" s="597"/>
      <c r="AH38" s="597"/>
      <c r="AI38" s="597"/>
      <c r="AJ38" s="597"/>
      <c r="AK38" s="597"/>
      <c r="AL38" s="597"/>
      <c r="AM38" s="597"/>
      <c r="AN38" s="597"/>
      <c r="AO38" s="597"/>
      <c r="AP38" s="597"/>
      <c r="AQ38" s="597"/>
      <c r="AR38" s="597"/>
      <c r="AS38" s="597"/>
      <c r="AT38" s="597"/>
      <c r="AU38" s="597"/>
      <c r="AV38" s="597"/>
      <c r="AW38" s="597"/>
      <c r="AX38" s="597"/>
      <c r="AY38" s="597"/>
      <c r="AZ38" s="597"/>
      <c r="BA38" s="597"/>
      <c r="BB38" s="597"/>
      <c r="BC38" s="597"/>
      <c r="BD38" s="597"/>
      <c r="BE38" s="597"/>
      <c r="BF38" s="597"/>
      <c r="BG38" s="597"/>
      <c r="BH38" s="597"/>
      <c r="BI38" s="597"/>
      <c r="BJ38" s="597"/>
      <c r="BK38" s="597"/>
      <c r="BL38" s="597"/>
      <c r="BM38" s="597"/>
      <c r="BN38" s="597"/>
      <c r="BO38" s="597"/>
      <c r="BP38" s="597"/>
      <c r="BQ38" s="597"/>
      <c r="BR38" s="597"/>
      <c r="BS38" s="597"/>
      <c r="BT38" s="597"/>
      <c r="BU38" s="597"/>
      <c r="BV38" s="597"/>
      <c r="BW38" s="597"/>
      <c r="BX38" s="597"/>
      <c r="BY38" s="597"/>
      <c r="BZ38" s="597"/>
      <c r="CA38" s="597"/>
      <c r="CB38" s="597"/>
      <c r="CC38" s="597"/>
      <c r="CD38" s="597"/>
      <c r="CE38" s="597"/>
      <c r="CF38" s="597"/>
      <c r="CG38" s="597"/>
      <c r="CH38" s="597"/>
      <c r="CI38" s="597"/>
      <c r="CJ38" s="597"/>
      <c r="CK38" s="597"/>
      <c r="CL38" s="597"/>
      <c r="CM38" s="597"/>
      <c r="CN38" s="597"/>
      <c r="CO38" s="597"/>
      <c r="CP38" s="597"/>
      <c r="CQ38" s="597"/>
      <c r="CR38" s="597"/>
      <c r="CS38" s="597"/>
      <c r="CT38" s="597"/>
      <c r="CU38" s="597"/>
      <c r="CV38" s="597"/>
      <c r="CW38" s="597"/>
      <c r="CX38" s="597"/>
      <c r="CY38" s="597"/>
      <c r="CZ38" s="597"/>
      <c r="DA38" s="597"/>
      <c r="DB38" s="597"/>
      <c r="DC38" s="597"/>
      <c r="DD38" s="597"/>
      <c r="DE38" s="597"/>
      <c r="DF38" s="597"/>
      <c r="DG38" s="597"/>
      <c r="DH38" s="597"/>
      <c r="DI38" s="597"/>
      <c r="DJ38" s="597"/>
      <c r="DK38" s="597"/>
      <c r="DL38" s="597"/>
      <c r="DM38" s="597"/>
      <c r="DN38" s="597"/>
      <c r="DO38" s="597"/>
      <c r="DP38" s="597"/>
      <c r="DQ38" s="597"/>
      <c r="DR38" s="597"/>
      <c r="DS38" s="597"/>
      <c r="DT38" s="597"/>
    </row>
    <row r="39" spans="1:124" s="26" customFormat="1" ht="24" customHeight="1" x14ac:dyDescent="0.25">
      <c r="A39" s="384" t="s">
        <v>485</v>
      </c>
      <c r="B39" s="593"/>
      <c r="C39" s="177"/>
      <c r="D39" s="141"/>
      <c r="E39" s="143"/>
      <c r="F39" s="1095"/>
      <c r="G39" s="277"/>
      <c r="H39" s="277"/>
      <c r="I39" s="141">
        <f t="shared" si="1"/>
        <v>0</v>
      </c>
      <c r="J39" s="177"/>
      <c r="K39" s="141"/>
      <c r="L39" s="141"/>
      <c r="M39" s="143">
        <f t="shared" si="3"/>
        <v>0</v>
      </c>
      <c r="N39" s="158">
        <f>B39+F39+J39</f>
        <v>0</v>
      </c>
      <c r="O39" s="141"/>
      <c r="P39" s="141"/>
      <c r="Q39" s="1110">
        <f t="shared" si="4"/>
        <v>0</v>
      </c>
      <c r="R39" s="178"/>
      <c r="S39" s="158"/>
      <c r="T39" s="277"/>
      <c r="U39" s="277"/>
      <c r="V39" s="143">
        <f t="shared" si="5"/>
        <v>0</v>
      </c>
      <c r="W39" s="597"/>
      <c r="X39" s="597"/>
      <c r="Y39" s="597"/>
      <c r="Z39" s="597"/>
      <c r="AA39" s="597"/>
      <c r="AB39" s="597"/>
      <c r="AC39" s="597"/>
      <c r="AD39" s="597"/>
      <c r="AE39" s="597"/>
      <c r="AF39" s="597"/>
      <c r="AG39" s="597"/>
      <c r="AH39" s="597"/>
      <c r="AI39" s="597"/>
      <c r="AJ39" s="597"/>
      <c r="AK39" s="597"/>
      <c r="AL39" s="597"/>
      <c r="AM39" s="597"/>
      <c r="AN39" s="597"/>
      <c r="AO39" s="597"/>
      <c r="AP39" s="597"/>
      <c r="AQ39" s="597"/>
      <c r="AR39" s="597"/>
      <c r="AS39" s="597"/>
      <c r="AT39" s="597"/>
      <c r="AU39" s="597"/>
      <c r="AV39" s="597"/>
      <c r="AW39" s="597"/>
      <c r="AX39" s="597"/>
      <c r="AY39" s="597"/>
      <c r="AZ39" s="597"/>
      <c r="BA39" s="597"/>
      <c r="BB39" s="597"/>
      <c r="BC39" s="597"/>
      <c r="BD39" s="597"/>
      <c r="BE39" s="597"/>
      <c r="BF39" s="597"/>
      <c r="BG39" s="597"/>
      <c r="BH39" s="597"/>
      <c r="BI39" s="597"/>
      <c r="BJ39" s="597"/>
      <c r="BK39" s="597"/>
      <c r="BL39" s="597"/>
      <c r="BM39" s="597"/>
      <c r="BN39" s="597"/>
      <c r="BO39" s="597"/>
      <c r="BP39" s="597"/>
      <c r="BQ39" s="597"/>
      <c r="BR39" s="597"/>
      <c r="BS39" s="597"/>
      <c r="BT39" s="597"/>
      <c r="BU39" s="597"/>
      <c r="BV39" s="597"/>
      <c r="BW39" s="597"/>
      <c r="BX39" s="597"/>
      <c r="BY39" s="597"/>
      <c r="BZ39" s="597"/>
      <c r="CA39" s="597"/>
      <c r="CB39" s="597"/>
      <c r="CC39" s="597"/>
      <c r="CD39" s="597"/>
      <c r="CE39" s="597"/>
      <c r="CF39" s="597"/>
      <c r="CG39" s="597"/>
      <c r="CH39" s="597"/>
      <c r="CI39" s="597"/>
      <c r="CJ39" s="597"/>
      <c r="CK39" s="597"/>
      <c r="CL39" s="597"/>
      <c r="CM39" s="597"/>
      <c r="CN39" s="597"/>
      <c r="CO39" s="597"/>
      <c r="CP39" s="597"/>
      <c r="CQ39" s="597"/>
      <c r="CR39" s="597"/>
      <c r="CS39" s="597"/>
      <c r="CT39" s="597"/>
      <c r="CU39" s="597"/>
      <c r="CV39" s="597"/>
      <c r="CW39" s="597"/>
      <c r="CX39" s="597"/>
      <c r="CY39" s="597"/>
      <c r="CZ39" s="597"/>
      <c r="DA39" s="597"/>
      <c r="DB39" s="597"/>
      <c r="DC39" s="597"/>
      <c r="DD39" s="597"/>
      <c r="DE39" s="597"/>
      <c r="DF39" s="597"/>
      <c r="DG39" s="597"/>
      <c r="DH39" s="597"/>
      <c r="DI39" s="597"/>
      <c r="DJ39" s="597"/>
      <c r="DK39" s="597"/>
      <c r="DL39" s="597"/>
      <c r="DM39" s="597"/>
      <c r="DN39" s="597"/>
      <c r="DO39" s="597"/>
      <c r="DP39" s="597"/>
      <c r="DQ39" s="597"/>
      <c r="DR39" s="597"/>
      <c r="DS39" s="597"/>
      <c r="DT39" s="597"/>
    </row>
    <row r="40" spans="1:124" s="24" customFormat="1" ht="24.75" customHeight="1" x14ac:dyDescent="0.25">
      <c r="A40" s="386" t="s">
        <v>415</v>
      </c>
      <c r="B40" s="594"/>
      <c r="C40" s="171"/>
      <c r="D40" s="106"/>
      <c r="E40" s="1252"/>
      <c r="F40" s="1096">
        <f>F41</f>
        <v>0</v>
      </c>
      <c r="G40" s="145">
        <f>G41</f>
        <v>75000</v>
      </c>
      <c r="H40" s="145">
        <f>H41</f>
        <v>75000</v>
      </c>
      <c r="I40" s="106">
        <f t="shared" si="1"/>
        <v>0</v>
      </c>
      <c r="J40" s="171"/>
      <c r="K40" s="106">
        <f>K41</f>
        <v>0</v>
      </c>
      <c r="L40" s="106">
        <f>L41</f>
        <v>0</v>
      </c>
      <c r="M40" s="1252">
        <f t="shared" si="3"/>
        <v>0</v>
      </c>
      <c r="N40" s="157">
        <f>SUM(N41)</f>
        <v>0</v>
      </c>
      <c r="O40" s="106">
        <f>SUM(O41)</f>
        <v>75000</v>
      </c>
      <c r="P40" s="106">
        <f>SUM(P41)</f>
        <v>75000</v>
      </c>
      <c r="Q40" s="1259">
        <f t="shared" si="4"/>
        <v>0</v>
      </c>
      <c r="R40" s="171" t="e">
        <f>#REF!+#REF!+#REF!+#REF!+#REF!</f>
        <v>#REF!</v>
      </c>
      <c r="S40" s="157"/>
      <c r="T40" s="145"/>
      <c r="U40" s="145"/>
      <c r="V40" s="1252">
        <f t="shared" si="5"/>
        <v>0</v>
      </c>
      <c r="W40" s="591"/>
      <c r="X40" s="591"/>
      <c r="Y40" s="591"/>
      <c r="Z40" s="591"/>
      <c r="AA40" s="591"/>
      <c r="AB40" s="591"/>
      <c r="AC40" s="591"/>
      <c r="AD40" s="591"/>
      <c r="AE40" s="591"/>
      <c r="AF40" s="591"/>
      <c r="AG40" s="591"/>
      <c r="AH40" s="591"/>
      <c r="AI40" s="591"/>
      <c r="AJ40" s="591"/>
      <c r="AK40" s="591"/>
      <c r="AL40" s="591"/>
      <c r="AM40" s="591"/>
      <c r="AN40" s="591"/>
      <c r="AO40" s="591"/>
      <c r="AP40" s="591"/>
      <c r="AQ40" s="591"/>
      <c r="AR40" s="591"/>
      <c r="AS40" s="591"/>
      <c r="AT40" s="591"/>
      <c r="AU40" s="591"/>
      <c r="AV40" s="591"/>
      <c r="AW40" s="591"/>
      <c r="AX40" s="591"/>
      <c r="AY40" s="591"/>
      <c r="AZ40" s="591"/>
      <c r="BA40" s="591"/>
      <c r="BB40" s="591"/>
      <c r="BC40" s="591"/>
      <c r="BD40" s="591"/>
      <c r="BE40" s="591"/>
      <c r="BF40" s="591"/>
      <c r="BG40" s="591"/>
      <c r="BH40" s="591"/>
      <c r="BI40" s="591"/>
      <c r="BJ40" s="591"/>
      <c r="BK40" s="591"/>
      <c r="BL40" s="591"/>
      <c r="BM40" s="591"/>
      <c r="BN40" s="591"/>
      <c r="BO40" s="591"/>
      <c r="BP40" s="591"/>
      <c r="BQ40" s="591"/>
      <c r="BR40" s="591"/>
      <c r="BS40" s="591"/>
      <c r="BT40" s="591"/>
      <c r="BU40" s="591"/>
      <c r="BV40" s="591"/>
      <c r="BW40" s="591"/>
      <c r="BX40" s="591"/>
      <c r="BY40" s="591"/>
      <c r="BZ40" s="591"/>
      <c r="CA40" s="591"/>
      <c r="CB40" s="591"/>
      <c r="CC40" s="591"/>
      <c r="CD40" s="591"/>
      <c r="CE40" s="591"/>
      <c r="CF40" s="591"/>
      <c r="CG40" s="591"/>
      <c r="CH40" s="591"/>
      <c r="CI40" s="591"/>
      <c r="CJ40" s="591"/>
      <c r="CK40" s="591"/>
      <c r="CL40" s="591"/>
      <c r="CM40" s="591"/>
      <c r="CN40" s="591"/>
      <c r="CO40" s="591"/>
      <c r="CP40" s="591"/>
      <c r="CQ40" s="591"/>
      <c r="CR40" s="591"/>
      <c r="CS40" s="591"/>
      <c r="CT40" s="591"/>
      <c r="CU40" s="591"/>
      <c r="CV40" s="591"/>
      <c r="CW40" s="591"/>
      <c r="CX40" s="591"/>
      <c r="CY40" s="591"/>
      <c r="CZ40" s="591"/>
      <c r="DA40" s="591"/>
      <c r="DB40" s="591"/>
      <c r="DC40" s="591"/>
      <c r="DD40" s="591"/>
      <c r="DE40" s="591"/>
      <c r="DF40" s="591"/>
      <c r="DG40" s="591"/>
      <c r="DH40" s="591"/>
      <c r="DI40" s="591"/>
      <c r="DJ40" s="591"/>
      <c r="DK40" s="591"/>
      <c r="DL40" s="591"/>
      <c r="DM40" s="591"/>
      <c r="DN40" s="591"/>
      <c r="DO40" s="591"/>
      <c r="DP40" s="591"/>
      <c r="DQ40" s="591"/>
      <c r="DR40" s="591"/>
      <c r="DS40" s="591"/>
      <c r="DT40" s="591"/>
    </row>
    <row r="41" spans="1:124" s="26" customFormat="1" x14ac:dyDescent="0.25">
      <c r="A41" s="384" t="s">
        <v>39</v>
      </c>
      <c r="B41" s="593"/>
      <c r="C41" s="177"/>
      <c r="D41" s="141"/>
      <c r="E41" s="143"/>
      <c r="F41" s="1096"/>
      <c r="G41" s="277">
        <v>75000</v>
      </c>
      <c r="H41" s="277">
        <v>75000</v>
      </c>
      <c r="I41" s="106">
        <f t="shared" si="1"/>
        <v>0</v>
      </c>
      <c r="J41" s="177"/>
      <c r="K41" s="141"/>
      <c r="L41" s="141"/>
      <c r="M41" s="143">
        <f t="shared" si="3"/>
        <v>0</v>
      </c>
      <c r="N41" s="158">
        <f t="shared" ref="N41:P45" si="21">B41+F41+J41</f>
        <v>0</v>
      </c>
      <c r="O41" s="141">
        <f t="shared" si="21"/>
        <v>75000</v>
      </c>
      <c r="P41" s="141">
        <f t="shared" si="21"/>
        <v>75000</v>
      </c>
      <c r="Q41" s="1110">
        <f t="shared" si="4"/>
        <v>0</v>
      </c>
      <c r="R41" s="178"/>
      <c r="S41" s="158"/>
      <c r="T41" s="277"/>
      <c r="U41" s="277"/>
      <c r="V41" s="143">
        <f t="shared" si="5"/>
        <v>0</v>
      </c>
      <c r="W41" s="597"/>
      <c r="X41" s="597"/>
      <c r="Y41" s="597"/>
      <c r="Z41" s="597"/>
      <c r="AA41" s="597"/>
      <c r="AB41" s="597"/>
      <c r="AC41" s="597"/>
      <c r="AD41" s="597"/>
      <c r="AE41" s="597"/>
      <c r="AF41" s="597"/>
      <c r="AG41" s="597"/>
      <c r="AH41" s="597"/>
      <c r="AI41" s="597"/>
      <c r="AJ41" s="597"/>
      <c r="AK41" s="597"/>
      <c r="AL41" s="597"/>
      <c r="AM41" s="597"/>
      <c r="AN41" s="597"/>
      <c r="AO41" s="597"/>
      <c r="AP41" s="597"/>
      <c r="AQ41" s="597"/>
      <c r="AR41" s="597"/>
      <c r="AS41" s="597"/>
      <c r="AT41" s="597"/>
      <c r="AU41" s="597"/>
      <c r="AV41" s="597"/>
      <c r="AW41" s="597"/>
      <c r="AX41" s="597"/>
      <c r="AY41" s="597"/>
      <c r="AZ41" s="597"/>
      <c r="BA41" s="597"/>
      <c r="BB41" s="597"/>
      <c r="BC41" s="597"/>
      <c r="BD41" s="597"/>
      <c r="BE41" s="597"/>
      <c r="BF41" s="597"/>
      <c r="BG41" s="597"/>
      <c r="BH41" s="597"/>
      <c r="BI41" s="597"/>
      <c r="BJ41" s="597"/>
      <c r="BK41" s="597"/>
      <c r="BL41" s="597"/>
      <c r="BM41" s="597"/>
      <c r="BN41" s="597"/>
      <c r="BO41" s="597"/>
      <c r="BP41" s="597"/>
      <c r="BQ41" s="597"/>
      <c r="BR41" s="597"/>
      <c r="BS41" s="597"/>
      <c r="BT41" s="597"/>
      <c r="BU41" s="597"/>
      <c r="BV41" s="597"/>
      <c r="BW41" s="597"/>
      <c r="BX41" s="597"/>
      <c r="BY41" s="597"/>
      <c r="BZ41" s="597"/>
      <c r="CA41" s="597"/>
      <c r="CB41" s="597"/>
      <c r="CC41" s="597"/>
      <c r="CD41" s="597"/>
      <c r="CE41" s="597"/>
      <c r="CF41" s="597"/>
      <c r="CG41" s="597"/>
      <c r="CH41" s="597"/>
      <c r="CI41" s="597"/>
      <c r="CJ41" s="597"/>
      <c r="CK41" s="597"/>
      <c r="CL41" s="597"/>
      <c r="CM41" s="597"/>
      <c r="CN41" s="597"/>
      <c r="CO41" s="597"/>
      <c r="CP41" s="597"/>
      <c r="CQ41" s="597"/>
      <c r="CR41" s="597"/>
      <c r="CS41" s="597"/>
      <c r="CT41" s="597"/>
      <c r="CU41" s="597"/>
      <c r="CV41" s="597"/>
      <c r="CW41" s="597"/>
      <c r="CX41" s="597"/>
      <c r="CY41" s="597"/>
      <c r="CZ41" s="597"/>
      <c r="DA41" s="597"/>
      <c r="DB41" s="597"/>
      <c r="DC41" s="597"/>
      <c r="DD41" s="597"/>
      <c r="DE41" s="597"/>
      <c r="DF41" s="597"/>
      <c r="DG41" s="597"/>
      <c r="DH41" s="597"/>
      <c r="DI41" s="597"/>
      <c r="DJ41" s="597"/>
      <c r="DK41" s="597"/>
      <c r="DL41" s="597"/>
      <c r="DM41" s="597"/>
      <c r="DN41" s="597"/>
      <c r="DO41" s="597"/>
      <c r="DP41" s="597"/>
      <c r="DQ41" s="597"/>
      <c r="DR41" s="597"/>
      <c r="DS41" s="597"/>
      <c r="DT41" s="597"/>
    </row>
    <row r="42" spans="1:124" s="24" customFormat="1" ht="27" customHeight="1" x14ac:dyDescent="0.25">
      <c r="A42" s="385" t="s">
        <v>416</v>
      </c>
      <c r="B42" s="594"/>
      <c r="C42" s="171"/>
      <c r="D42" s="106"/>
      <c r="E42" s="1252"/>
      <c r="F42" s="1096"/>
      <c r="G42" s="145"/>
      <c r="H42" s="145"/>
      <c r="I42" s="1190"/>
      <c r="J42" s="1096"/>
      <c r="K42" s="106"/>
      <c r="L42" s="106"/>
      <c r="M42" s="1252">
        <f t="shared" si="3"/>
        <v>0</v>
      </c>
      <c r="N42" s="157">
        <f t="shared" si="21"/>
        <v>0</v>
      </c>
      <c r="O42" s="106">
        <f t="shared" si="21"/>
        <v>0</v>
      </c>
      <c r="P42" s="106">
        <f t="shared" si="21"/>
        <v>0</v>
      </c>
      <c r="Q42" s="1259">
        <f t="shared" si="4"/>
        <v>0</v>
      </c>
      <c r="R42" s="171" t="e">
        <f>#REF!+#REF!+#REF!+#REF!+#REF!</f>
        <v>#REF!</v>
      </c>
      <c r="S42" s="157"/>
      <c r="T42" s="145"/>
      <c r="U42" s="145"/>
      <c r="V42" s="1252">
        <f t="shared" si="5"/>
        <v>0</v>
      </c>
      <c r="W42" s="591"/>
      <c r="X42" s="591"/>
      <c r="Y42" s="591"/>
      <c r="Z42" s="591"/>
      <c r="AA42" s="591"/>
      <c r="AB42" s="591"/>
      <c r="AC42" s="591"/>
      <c r="AD42" s="591"/>
      <c r="AE42" s="591"/>
      <c r="AF42" s="591"/>
      <c r="AG42" s="591"/>
      <c r="AH42" s="591"/>
      <c r="AI42" s="591"/>
      <c r="AJ42" s="591"/>
      <c r="AK42" s="591"/>
      <c r="AL42" s="591"/>
      <c r="AM42" s="591"/>
      <c r="AN42" s="591"/>
      <c r="AO42" s="591"/>
      <c r="AP42" s="591"/>
      <c r="AQ42" s="591"/>
      <c r="AR42" s="591"/>
      <c r="AS42" s="591"/>
      <c r="AT42" s="591"/>
      <c r="AU42" s="591"/>
      <c r="AV42" s="591"/>
      <c r="AW42" s="591"/>
      <c r="AX42" s="591"/>
      <c r="AY42" s="591"/>
      <c r="AZ42" s="591"/>
      <c r="BA42" s="591"/>
      <c r="BB42" s="591"/>
      <c r="BC42" s="591"/>
      <c r="BD42" s="591"/>
      <c r="BE42" s="591"/>
      <c r="BF42" s="591"/>
      <c r="BG42" s="591"/>
      <c r="BH42" s="591"/>
      <c r="BI42" s="591"/>
      <c r="BJ42" s="591"/>
      <c r="BK42" s="591"/>
      <c r="BL42" s="591"/>
      <c r="BM42" s="591"/>
      <c r="BN42" s="591"/>
      <c r="BO42" s="591"/>
      <c r="BP42" s="591"/>
      <c r="BQ42" s="591"/>
      <c r="BR42" s="591"/>
      <c r="BS42" s="591"/>
      <c r="BT42" s="591"/>
      <c r="BU42" s="591"/>
      <c r="BV42" s="591"/>
      <c r="BW42" s="591"/>
      <c r="BX42" s="591"/>
      <c r="BY42" s="591"/>
      <c r="BZ42" s="591"/>
      <c r="CA42" s="591"/>
      <c r="CB42" s="591"/>
      <c r="CC42" s="591"/>
      <c r="CD42" s="591"/>
      <c r="CE42" s="591"/>
      <c r="CF42" s="591"/>
      <c r="CG42" s="591"/>
      <c r="CH42" s="591"/>
      <c r="CI42" s="591"/>
      <c r="CJ42" s="591"/>
      <c r="CK42" s="591"/>
      <c r="CL42" s="591"/>
      <c r="CM42" s="591"/>
      <c r="CN42" s="591"/>
      <c r="CO42" s="591"/>
      <c r="CP42" s="591"/>
      <c r="CQ42" s="591"/>
      <c r="CR42" s="591"/>
      <c r="CS42" s="591"/>
      <c r="CT42" s="591"/>
      <c r="CU42" s="591"/>
      <c r="CV42" s="591"/>
      <c r="CW42" s="591"/>
      <c r="CX42" s="591"/>
      <c r="CY42" s="591"/>
      <c r="CZ42" s="591"/>
      <c r="DA42" s="591"/>
      <c r="DB42" s="591"/>
      <c r="DC42" s="591"/>
      <c r="DD42" s="591"/>
      <c r="DE42" s="591"/>
      <c r="DF42" s="591"/>
      <c r="DG42" s="591"/>
      <c r="DH42" s="591"/>
      <c r="DI42" s="591"/>
      <c r="DJ42" s="591"/>
      <c r="DK42" s="591"/>
      <c r="DL42" s="591"/>
      <c r="DM42" s="591"/>
      <c r="DN42" s="591"/>
      <c r="DO42" s="591"/>
      <c r="DP42" s="591"/>
      <c r="DQ42" s="591"/>
      <c r="DR42" s="591"/>
      <c r="DS42" s="591"/>
      <c r="DT42" s="591"/>
    </row>
    <row r="43" spans="1:124" s="26" customFormat="1" ht="22.65" customHeight="1" x14ac:dyDescent="0.25">
      <c r="A43" s="384" t="s">
        <v>42</v>
      </c>
      <c r="B43" s="593"/>
      <c r="C43" s="177"/>
      <c r="D43" s="141"/>
      <c r="E43" s="143"/>
      <c r="F43" s="1095"/>
      <c r="G43" s="277"/>
      <c r="H43" s="277"/>
      <c r="I43" s="106"/>
      <c r="J43" s="177"/>
      <c r="K43" s="141"/>
      <c r="L43" s="141"/>
      <c r="M43" s="143">
        <f t="shared" si="3"/>
        <v>0</v>
      </c>
      <c r="N43" s="158">
        <f t="shared" si="21"/>
        <v>0</v>
      </c>
      <c r="O43" s="141">
        <f t="shared" si="21"/>
        <v>0</v>
      </c>
      <c r="P43" s="141">
        <f t="shared" si="21"/>
        <v>0</v>
      </c>
      <c r="Q43" s="1110">
        <f t="shared" si="4"/>
        <v>0</v>
      </c>
      <c r="R43" s="178"/>
      <c r="S43" s="158"/>
      <c r="T43" s="277"/>
      <c r="U43" s="277"/>
      <c r="V43" s="143">
        <f t="shared" si="5"/>
        <v>0</v>
      </c>
      <c r="W43" s="597"/>
      <c r="X43" s="597"/>
      <c r="Y43" s="597"/>
      <c r="Z43" s="597"/>
      <c r="AA43" s="597"/>
      <c r="AB43" s="597"/>
      <c r="AC43" s="597"/>
      <c r="AD43" s="597"/>
      <c r="AE43" s="597"/>
      <c r="AF43" s="597"/>
      <c r="AG43" s="597"/>
      <c r="AH43" s="597"/>
      <c r="AI43" s="597"/>
      <c r="AJ43" s="597"/>
      <c r="AK43" s="597"/>
      <c r="AL43" s="597"/>
      <c r="AM43" s="597"/>
      <c r="AN43" s="597"/>
      <c r="AO43" s="597"/>
      <c r="AP43" s="597"/>
      <c r="AQ43" s="597"/>
      <c r="AR43" s="597"/>
      <c r="AS43" s="597"/>
      <c r="AT43" s="597"/>
      <c r="AU43" s="597"/>
      <c r="AV43" s="597"/>
      <c r="AW43" s="597"/>
      <c r="AX43" s="597"/>
      <c r="AY43" s="597"/>
      <c r="AZ43" s="597"/>
      <c r="BA43" s="597"/>
      <c r="BB43" s="597"/>
      <c r="BC43" s="597"/>
      <c r="BD43" s="597"/>
      <c r="BE43" s="597"/>
      <c r="BF43" s="597"/>
      <c r="BG43" s="597"/>
      <c r="BH43" s="597"/>
      <c r="BI43" s="597"/>
      <c r="BJ43" s="597"/>
      <c r="BK43" s="597"/>
      <c r="BL43" s="597"/>
      <c r="BM43" s="597"/>
      <c r="BN43" s="597"/>
      <c r="BO43" s="597"/>
      <c r="BP43" s="597"/>
      <c r="BQ43" s="597"/>
      <c r="BR43" s="597"/>
      <c r="BS43" s="597"/>
      <c r="BT43" s="597"/>
      <c r="BU43" s="597"/>
      <c r="BV43" s="597"/>
      <c r="BW43" s="597"/>
      <c r="BX43" s="597"/>
      <c r="BY43" s="597"/>
      <c r="BZ43" s="597"/>
      <c r="CA43" s="597"/>
      <c r="CB43" s="597"/>
      <c r="CC43" s="597"/>
      <c r="CD43" s="597"/>
      <c r="CE43" s="597"/>
      <c r="CF43" s="597"/>
      <c r="CG43" s="597"/>
      <c r="CH43" s="597"/>
      <c r="CI43" s="597"/>
      <c r="CJ43" s="597"/>
      <c r="CK43" s="597"/>
      <c r="CL43" s="597"/>
      <c r="CM43" s="597"/>
      <c r="CN43" s="597"/>
      <c r="CO43" s="597"/>
      <c r="CP43" s="597"/>
      <c r="CQ43" s="597"/>
      <c r="CR43" s="597"/>
      <c r="CS43" s="597"/>
      <c r="CT43" s="597"/>
      <c r="CU43" s="597"/>
      <c r="CV43" s="597"/>
      <c r="CW43" s="597"/>
      <c r="CX43" s="597"/>
      <c r="CY43" s="597"/>
      <c r="CZ43" s="597"/>
      <c r="DA43" s="597"/>
      <c r="DB43" s="597"/>
      <c r="DC43" s="597"/>
      <c r="DD43" s="597"/>
      <c r="DE43" s="597"/>
      <c r="DF43" s="597"/>
      <c r="DG43" s="597"/>
      <c r="DH43" s="597"/>
      <c r="DI43" s="597"/>
      <c r="DJ43" s="597"/>
      <c r="DK43" s="597"/>
      <c r="DL43" s="597"/>
      <c r="DM43" s="597"/>
      <c r="DN43" s="597"/>
      <c r="DO43" s="597"/>
      <c r="DP43" s="597"/>
      <c r="DQ43" s="597"/>
      <c r="DR43" s="597"/>
      <c r="DS43" s="597"/>
      <c r="DT43" s="597"/>
    </row>
    <row r="44" spans="1:124" s="24" customFormat="1" ht="18" customHeight="1" x14ac:dyDescent="0.25">
      <c r="A44" s="386" t="s">
        <v>417</v>
      </c>
      <c r="B44" s="106">
        <f t="shared" ref="B44:C44" si="22">B42+B40+B34+B21+B17+B15+B12</f>
        <v>3863750</v>
      </c>
      <c r="C44" s="145">
        <f t="shared" si="22"/>
        <v>3363750</v>
      </c>
      <c r="D44" s="106">
        <f t="shared" ref="D44:L44" si="23">D42+D40+D34+D21+D17+D15+D12</f>
        <v>3163750</v>
      </c>
      <c r="E44" s="1253">
        <f>D44-C44</f>
        <v>-200000</v>
      </c>
      <c r="F44" s="1096">
        <f t="shared" ref="F44:G44" si="24">F42+F40+F34+F21+F17+F15+F12</f>
        <v>162707500</v>
      </c>
      <c r="G44" s="145">
        <f t="shared" si="24"/>
        <v>167290000</v>
      </c>
      <c r="H44" s="145">
        <f t="shared" si="23"/>
        <v>167602424</v>
      </c>
      <c r="I44" s="1108">
        <f t="shared" si="1"/>
        <v>312424</v>
      </c>
      <c r="J44" s="1096">
        <f t="shared" ref="J44:K44" si="25">J42+J40+J34+J21+J17+J15+J12</f>
        <v>3996975</v>
      </c>
      <c r="K44" s="106">
        <f t="shared" si="25"/>
        <v>3996975</v>
      </c>
      <c r="L44" s="106">
        <f t="shared" si="23"/>
        <v>3996975</v>
      </c>
      <c r="M44" s="1252">
        <f t="shared" si="3"/>
        <v>0</v>
      </c>
      <c r="N44" s="157">
        <f t="shared" si="21"/>
        <v>170568225</v>
      </c>
      <c r="O44" s="106">
        <f t="shared" si="21"/>
        <v>174650725</v>
      </c>
      <c r="P44" s="106">
        <f t="shared" si="21"/>
        <v>174763149</v>
      </c>
      <c r="Q44" s="1259">
        <f t="shared" si="4"/>
        <v>112424</v>
      </c>
      <c r="R44" s="171" t="e">
        <f>R42+R40+R34+R21+R17+R15+R12</f>
        <v>#REF!</v>
      </c>
      <c r="S44" s="157">
        <f>S42+S40+S34+S21+S17+S15+S12</f>
        <v>60062625</v>
      </c>
      <c r="T44" s="106">
        <f>T42+T40+T34+T21+T17+T15+T12</f>
        <v>64792081</v>
      </c>
      <c r="U44" s="106">
        <f>U42+U40+U34+U21+U17+U15+U12</f>
        <v>70667116</v>
      </c>
      <c r="V44" s="1252">
        <f t="shared" si="5"/>
        <v>5875035</v>
      </c>
      <c r="W44" s="595"/>
      <c r="X44" s="595"/>
      <c r="Y44" s="595"/>
      <c r="Z44" s="591"/>
      <c r="AA44" s="591"/>
      <c r="AB44" s="591"/>
      <c r="AC44" s="591"/>
      <c r="AD44" s="591"/>
      <c r="AE44" s="591"/>
      <c r="AF44" s="591"/>
      <c r="AG44" s="591"/>
      <c r="AH44" s="591"/>
      <c r="AI44" s="591"/>
      <c r="AJ44" s="591"/>
      <c r="AK44" s="591"/>
      <c r="AL44" s="591"/>
      <c r="AM44" s="591"/>
      <c r="AN44" s="591"/>
      <c r="AO44" s="591"/>
      <c r="AP44" s="591"/>
      <c r="AQ44" s="591"/>
      <c r="AR44" s="591"/>
      <c r="AS44" s="591"/>
      <c r="AT44" s="591"/>
      <c r="AU44" s="591"/>
      <c r="AV44" s="591"/>
      <c r="AW44" s="591"/>
      <c r="AX44" s="591"/>
      <c r="AY44" s="591"/>
      <c r="AZ44" s="591"/>
      <c r="BA44" s="591"/>
      <c r="BB44" s="591"/>
      <c r="BC44" s="591"/>
      <c r="BD44" s="591"/>
      <c r="BE44" s="591"/>
      <c r="BF44" s="591"/>
      <c r="BG44" s="591"/>
      <c r="BH44" s="591"/>
      <c r="BI44" s="591"/>
      <c r="BJ44" s="591"/>
      <c r="BK44" s="591"/>
      <c r="BL44" s="591"/>
      <c r="BM44" s="591"/>
      <c r="BN44" s="591"/>
      <c r="BO44" s="591"/>
      <c r="BP44" s="591"/>
      <c r="BQ44" s="591"/>
      <c r="BR44" s="591"/>
      <c r="BS44" s="591"/>
      <c r="BT44" s="591"/>
      <c r="BU44" s="591"/>
      <c r="BV44" s="591"/>
      <c r="BW44" s="591"/>
      <c r="BX44" s="591"/>
      <c r="BY44" s="591"/>
      <c r="BZ44" s="591"/>
      <c r="CA44" s="591"/>
      <c r="CB44" s="591"/>
      <c r="CC44" s="591"/>
      <c r="CD44" s="591"/>
      <c r="CE44" s="591"/>
      <c r="CF44" s="591"/>
      <c r="CG44" s="591"/>
      <c r="CH44" s="591"/>
      <c r="CI44" s="591"/>
      <c r="CJ44" s="591"/>
      <c r="CK44" s="591"/>
      <c r="CL44" s="591"/>
      <c r="CM44" s="591"/>
      <c r="CN44" s="591"/>
      <c r="CO44" s="591"/>
      <c r="CP44" s="591"/>
      <c r="CQ44" s="591"/>
      <c r="CR44" s="591"/>
      <c r="CS44" s="591"/>
      <c r="CT44" s="591"/>
      <c r="CU44" s="591"/>
      <c r="CV44" s="591"/>
      <c r="CW44" s="591"/>
      <c r="CX44" s="591"/>
      <c r="CY44" s="591"/>
      <c r="CZ44" s="591"/>
      <c r="DA44" s="591"/>
      <c r="DB44" s="591"/>
      <c r="DC44" s="591"/>
      <c r="DD44" s="591"/>
      <c r="DE44" s="591"/>
      <c r="DF44" s="591"/>
      <c r="DG44" s="591"/>
      <c r="DH44" s="591"/>
      <c r="DI44" s="591"/>
      <c r="DJ44" s="591"/>
      <c r="DK44" s="591"/>
      <c r="DL44" s="591"/>
      <c r="DM44" s="591"/>
      <c r="DN44" s="591"/>
      <c r="DO44" s="591"/>
      <c r="DP44" s="591"/>
      <c r="DQ44" s="591"/>
      <c r="DR44" s="591"/>
      <c r="DS44" s="591"/>
      <c r="DT44" s="591"/>
    </row>
    <row r="45" spans="1:124" s="24" customFormat="1" ht="18" customHeight="1" x14ac:dyDescent="0.25">
      <c r="A45" s="385" t="s">
        <v>418</v>
      </c>
      <c r="B45" s="106">
        <f t="shared" ref="B45:C45" si="26">B46+B49+B50</f>
        <v>52428449</v>
      </c>
      <c r="C45" s="145">
        <f t="shared" si="26"/>
        <v>58314715</v>
      </c>
      <c r="D45" s="106">
        <f t="shared" ref="D45:L45" si="27">D46+D49+D50</f>
        <v>57895258</v>
      </c>
      <c r="E45" s="1253">
        <f>D45-C45</f>
        <v>-419457</v>
      </c>
      <c r="F45" s="1096">
        <f t="shared" ref="F45" si="28">F46+F49+F50</f>
        <v>62794500</v>
      </c>
      <c r="G45" s="145">
        <f>G46+G49+G50</f>
        <v>69412976</v>
      </c>
      <c r="H45" s="145">
        <f>H46+H49+H50</f>
        <v>69827210</v>
      </c>
      <c r="I45" s="1108">
        <f>H45-G45</f>
        <v>414234</v>
      </c>
      <c r="J45" s="1096">
        <f t="shared" ref="J45:K45" si="29">J46+J49+J50</f>
        <v>66330084</v>
      </c>
      <c r="K45" s="106">
        <f t="shared" si="29"/>
        <v>68962221</v>
      </c>
      <c r="L45" s="106">
        <f t="shared" si="27"/>
        <v>68902653</v>
      </c>
      <c r="M45" s="1252">
        <f t="shared" si="3"/>
        <v>-59568</v>
      </c>
      <c r="N45" s="157">
        <f t="shared" si="21"/>
        <v>181553033</v>
      </c>
      <c r="O45" s="106">
        <f t="shared" si="21"/>
        <v>196689912</v>
      </c>
      <c r="P45" s="106">
        <f t="shared" si="21"/>
        <v>196625121</v>
      </c>
      <c r="Q45" s="1259">
        <f t="shared" si="4"/>
        <v>-64791</v>
      </c>
      <c r="R45" s="171" t="e">
        <f>R46+R49+R50</f>
        <v>#REF!</v>
      </c>
      <c r="S45" s="157">
        <f>S46+S49+S50</f>
        <v>413289652</v>
      </c>
      <c r="T45" s="106">
        <f>T46+T49+T50</f>
        <v>434396172</v>
      </c>
      <c r="U45" s="106">
        <f>U46+U49+U50</f>
        <v>435584640</v>
      </c>
      <c r="V45" s="1252">
        <f t="shared" si="5"/>
        <v>1188468</v>
      </c>
      <c r="W45" s="595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1"/>
      <c r="AK45" s="591"/>
      <c r="AL45" s="591"/>
      <c r="AM45" s="591"/>
      <c r="AN45" s="591"/>
      <c r="AO45" s="591"/>
      <c r="AP45" s="591"/>
      <c r="AQ45" s="591"/>
      <c r="AR45" s="591"/>
      <c r="AS45" s="591"/>
      <c r="AT45" s="591"/>
      <c r="AU45" s="591"/>
      <c r="AV45" s="591"/>
      <c r="AW45" s="591"/>
      <c r="AX45" s="591"/>
      <c r="AY45" s="591"/>
      <c r="AZ45" s="591"/>
      <c r="BA45" s="591"/>
      <c r="BB45" s="591"/>
      <c r="BC45" s="591"/>
      <c r="BD45" s="591"/>
      <c r="BE45" s="591"/>
      <c r="BF45" s="591"/>
      <c r="BG45" s="591"/>
      <c r="BH45" s="591"/>
      <c r="BI45" s="591"/>
      <c r="BJ45" s="591"/>
      <c r="BK45" s="591"/>
      <c r="BL45" s="591"/>
      <c r="BM45" s="591"/>
      <c r="BN45" s="591"/>
      <c r="BO45" s="591"/>
      <c r="BP45" s="591"/>
      <c r="BQ45" s="591"/>
      <c r="BR45" s="591"/>
      <c r="BS45" s="591"/>
      <c r="BT45" s="591"/>
      <c r="BU45" s="591"/>
      <c r="BV45" s="591"/>
      <c r="BW45" s="591"/>
      <c r="BX45" s="591"/>
      <c r="BY45" s="591"/>
      <c r="BZ45" s="591"/>
      <c r="CA45" s="591"/>
      <c r="CB45" s="591"/>
      <c r="CC45" s="591"/>
      <c r="CD45" s="591"/>
      <c r="CE45" s="591"/>
      <c r="CF45" s="591"/>
      <c r="CG45" s="591"/>
      <c r="CH45" s="591"/>
      <c r="CI45" s="591"/>
      <c r="CJ45" s="591"/>
      <c r="CK45" s="591"/>
      <c r="CL45" s="591"/>
      <c r="CM45" s="591"/>
      <c r="CN45" s="591"/>
      <c r="CO45" s="591"/>
      <c r="CP45" s="591"/>
      <c r="CQ45" s="591"/>
      <c r="CR45" s="591"/>
      <c r="CS45" s="591"/>
      <c r="CT45" s="591"/>
      <c r="CU45" s="591"/>
      <c r="CV45" s="591"/>
      <c r="CW45" s="591"/>
      <c r="CX45" s="591"/>
      <c r="CY45" s="591"/>
      <c r="CZ45" s="591"/>
      <c r="DA45" s="591"/>
      <c r="DB45" s="591"/>
      <c r="DC45" s="591"/>
      <c r="DD45" s="591"/>
      <c r="DE45" s="591"/>
      <c r="DF45" s="591"/>
      <c r="DG45" s="591"/>
      <c r="DH45" s="591"/>
      <c r="DI45" s="591"/>
      <c r="DJ45" s="591"/>
      <c r="DK45" s="591"/>
      <c r="DL45" s="591"/>
      <c r="DM45" s="591"/>
      <c r="DN45" s="591"/>
      <c r="DO45" s="591"/>
      <c r="DP45" s="591"/>
      <c r="DQ45" s="591"/>
      <c r="DR45" s="591"/>
      <c r="DS45" s="591"/>
      <c r="DT45" s="591"/>
    </row>
    <row r="46" spans="1:124" s="24" customFormat="1" ht="28.5" customHeight="1" x14ac:dyDescent="0.25">
      <c r="A46" s="385" t="s">
        <v>43</v>
      </c>
      <c r="B46" s="106">
        <f t="shared" ref="B46" si="30">SUM(B47:B48)</f>
        <v>0</v>
      </c>
      <c r="C46" s="145">
        <f t="shared" ref="C46" si="31">SUM(C47:C48)</f>
        <v>3317009</v>
      </c>
      <c r="D46" s="106">
        <f t="shared" ref="D46:P46" si="32">SUM(D47:D48)</f>
        <v>3317009</v>
      </c>
      <c r="E46" s="1253">
        <f t="shared" ref="E46:E48" si="33">D46-C46</f>
        <v>0</v>
      </c>
      <c r="F46" s="1096">
        <f t="shared" ref="F46:G46" si="34">SUM(F47:F48)</f>
        <v>0</v>
      </c>
      <c r="G46" s="145">
        <f t="shared" si="34"/>
        <v>7051405</v>
      </c>
      <c r="H46" s="145">
        <f t="shared" si="32"/>
        <v>7051405</v>
      </c>
      <c r="I46" s="1108">
        <f t="shared" ref="I46:I48" si="35">H46-G46</f>
        <v>0</v>
      </c>
      <c r="J46" s="1096">
        <f t="shared" ref="J46:K46" si="36">SUM(J47:J48)</f>
        <v>176276</v>
      </c>
      <c r="K46" s="106">
        <f t="shared" si="36"/>
        <v>3996184</v>
      </c>
      <c r="L46" s="106">
        <f t="shared" si="32"/>
        <v>3996184</v>
      </c>
      <c r="M46" s="1252">
        <f t="shared" si="3"/>
        <v>0</v>
      </c>
      <c r="N46" s="157">
        <f t="shared" si="32"/>
        <v>176276</v>
      </c>
      <c r="O46" s="106">
        <f t="shared" ref="O46" si="37">SUM(O47:O48)</f>
        <v>14364598</v>
      </c>
      <c r="P46" s="106">
        <f t="shared" si="32"/>
        <v>14364598</v>
      </c>
      <c r="Q46" s="1259">
        <f t="shared" si="4"/>
        <v>0</v>
      </c>
      <c r="R46" s="179"/>
      <c r="S46" s="961">
        <f>SUM(S47:S48)</f>
        <v>0</v>
      </c>
      <c r="T46" s="598">
        <f>SUM(T47:T48)</f>
        <v>23685448</v>
      </c>
      <c r="U46" s="598">
        <f>SUM(U47:U48)</f>
        <v>23685448</v>
      </c>
      <c r="V46" s="1252">
        <f t="shared" si="5"/>
        <v>0</v>
      </c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1"/>
      <c r="AK46" s="591"/>
      <c r="AL46" s="591"/>
      <c r="AM46" s="591"/>
      <c r="AN46" s="591"/>
      <c r="AO46" s="591"/>
      <c r="AP46" s="591"/>
      <c r="AQ46" s="591"/>
      <c r="AR46" s="591"/>
      <c r="AS46" s="591"/>
      <c r="AT46" s="591"/>
      <c r="AU46" s="591"/>
      <c r="AV46" s="591"/>
      <c r="AW46" s="591"/>
      <c r="AX46" s="591"/>
      <c r="AY46" s="591"/>
      <c r="AZ46" s="591"/>
      <c r="BA46" s="591"/>
      <c r="BB46" s="591"/>
      <c r="BC46" s="591"/>
      <c r="BD46" s="591"/>
      <c r="BE46" s="591"/>
      <c r="BF46" s="591"/>
      <c r="BG46" s="591"/>
      <c r="BH46" s="591"/>
      <c r="BI46" s="591"/>
      <c r="BJ46" s="591"/>
      <c r="BK46" s="591"/>
      <c r="BL46" s="591"/>
      <c r="BM46" s="591"/>
      <c r="BN46" s="591"/>
      <c r="BO46" s="591"/>
      <c r="BP46" s="591"/>
      <c r="BQ46" s="591"/>
      <c r="BR46" s="591"/>
      <c r="BS46" s="591"/>
      <c r="BT46" s="591"/>
      <c r="BU46" s="591"/>
      <c r="BV46" s="591"/>
      <c r="BW46" s="591"/>
      <c r="BX46" s="591"/>
      <c r="BY46" s="591"/>
      <c r="BZ46" s="591"/>
      <c r="CA46" s="591"/>
      <c r="CB46" s="591"/>
      <c r="CC46" s="591"/>
      <c r="CD46" s="591"/>
      <c r="CE46" s="591"/>
      <c r="CF46" s="591"/>
      <c r="CG46" s="591"/>
      <c r="CH46" s="591"/>
      <c r="CI46" s="591"/>
      <c r="CJ46" s="591"/>
      <c r="CK46" s="591"/>
      <c r="CL46" s="591"/>
      <c r="CM46" s="591"/>
      <c r="CN46" s="591"/>
      <c r="CO46" s="591"/>
      <c r="CP46" s="591"/>
      <c r="CQ46" s="591"/>
      <c r="CR46" s="591"/>
      <c r="CS46" s="591"/>
      <c r="CT46" s="591"/>
      <c r="CU46" s="591"/>
      <c r="CV46" s="591"/>
      <c r="CW46" s="591"/>
      <c r="CX46" s="591"/>
      <c r="CY46" s="591"/>
      <c r="CZ46" s="591"/>
      <c r="DA46" s="591"/>
      <c r="DB46" s="591"/>
      <c r="DC46" s="591"/>
      <c r="DD46" s="591"/>
      <c r="DE46" s="591"/>
      <c r="DF46" s="591"/>
      <c r="DG46" s="591"/>
      <c r="DH46" s="591"/>
      <c r="DI46" s="591"/>
      <c r="DJ46" s="591"/>
      <c r="DK46" s="591"/>
      <c r="DL46" s="591"/>
      <c r="DM46" s="591"/>
      <c r="DN46" s="591"/>
      <c r="DO46" s="591"/>
      <c r="DP46" s="591"/>
      <c r="DQ46" s="591"/>
      <c r="DR46" s="591"/>
      <c r="DS46" s="591"/>
      <c r="DT46" s="591"/>
    </row>
    <row r="47" spans="1:124" s="26" customFormat="1" ht="24" customHeight="1" x14ac:dyDescent="0.25">
      <c r="A47" s="384" t="s">
        <v>399</v>
      </c>
      <c r="B47" s="593"/>
      <c r="C47" s="177">
        <f>3317009-C48</f>
        <v>2821381</v>
      </c>
      <c r="D47" s="141">
        <f>3317009-D48</f>
        <v>2821381</v>
      </c>
      <c r="E47" s="1253">
        <f t="shared" si="33"/>
        <v>0</v>
      </c>
      <c r="F47" s="1095"/>
      <c r="G47" s="277">
        <f>7051405-G48</f>
        <v>6515945</v>
      </c>
      <c r="H47" s="277">
        <f>7051405-H48</f>
        <v>6515945</v>
      </c>
      <c r="I47" s="1108">
        <f t="shared" si="35"/>
        <v>0</v>
      </c>
      <c r="J47" s="1095">
        <v>176276</v>
      </c>
      <c r="K47" s="141">
        <f>3996184-K48</f>
        <v>3745715</v>
      </c>
      <c r="L47" s="141">
        <f>3996184-L48</f>
        <v>3745715</v>
      </c>
      <c r="M47" s="143">
        <f t="shared" si="3"/>
        <v>0</v>
      </c>
      <c r="N47" s="1095">
        <f t="shared" ref="N47:P48" si="38">B47+F47+J47</f>
        <v>176276</v>
      </c>
      <c r="O47" s="141">
        <f t="shared" si="38"/>
        <v>13083041</v>
      </c>
      <c r="P47" s="141">
        <f t="shared" si="38"/>
        <v>13083041</v>
      </c>
      <c r="Q47" s="1110">
        <f t="shared" si="4"/>
        <v>0</v>
      </c>
      <c r="R47" s="178"/>
      <c r="S47" s="158"/>
      <c r="T47" s="141">
        <v>14511377</v>
      </c>
      <c r="U47" s="141">
        <v>14511377</v>
      </c>
      <c r="V47" s="143">
        <f t="shared" si="5"/>
        <v>0</v>
      </c>
      <c r="W47" s="597"/>
      <c r="X47" s="597"/>
      <c r="Y47" s="597"/>
      <c r="Z47" s="597"/>
      <c r="AA47" s="597"/>
      <c r="AB47" s="597"/>
      <c r="AC47" s="597"/>
      <c r="AD47" s="597"/>
      <c r="AE47" s="597"/>
      <c r="AF47" s="597"/>
      <c r="AG47" s="597"/>
      <c r="AH47" s="597"/>
      <c r="AI47" s="597"/>
      <c r="AJ47" s="597"/>
      <c r="AK47" s="597"/>
      <c r="AL47" s="597"/>
      <c r="AM47" s="597"/>
      <c r="AN47" s="597"/>
      <c r="AO47" s="597"/>
      <c r="AP47" s="597"/>
      <c r="AQ47" s="597"/>
      <c r="AR47" s="597"/>
      <c r="AS47" s="597"/>
      <c r="AT47" s="597"/>
      <c r="AU47" s="597"/>
      <c r="AV47" s="597"/>
      <c r="AW47" s="597"/>
      <c r="AX47" s="597"/>
      <c r="AY47" s="597"/>
      <c r="AZ47" s="597"/>
      <c r="BA47" s="597"/>
      <c r="BB47" s="597"/>
      <c r="BC47" s="597"/>
      <c r="BD47" s="597"/>
      <c r="BE47" s="597"/>
      <c r="BF47" s="597"/>
      <c r="BG47" s="597"/>
      <c r="BH47" s="597"/>
      <c r="BI47" s="597"/>
      <c r="BJ47" s="597"/>
      <c r="BK47" s="597"/>
      <c r="BL47" s="597"/>
      <c r="BM47" s="597"/>
      <c r="BN47" s="597"/>
      <c r="BO47" s="597"/>
      <c r="BP47" s="597"/>
      <c r="BQ47" s="597"/>
      <c r="BR47" s="597"/>
      <c r="BS47" s="597"/>
      <c r="BT47" s="597"/>
      <c r="BU47" s="597"/>
      <c r="BV47" s="597"/>
      <c r="BW47" s="597"/>
      <c r="BX47" s="597"/>
      <c r="BY47" s="597"/>
      <c r="BZ47" s="597"/>
      <c r="CA47" s="597"/>
      <c r="CB47" s="597"/>
      <c r="CC47" s="597"/>
      <c r="CD47" s="597"/>
      <c r="CE47" s="597"/>
      <c r="CF47" s="597"/>
      <c r="CG47" s="597"/>
      <c r="CH47" s="597"/>
      <c r="CI47" s="597"/>
      <c r="CJ47" s="597"/>
      <c r="CK47" s="597"/>
      <c r="CL47" s="597"/>
      <c r="CM47" s="597"/>
      <c r="CN47" s="597"/>
      <c r="CO47" s="597"/>
      <c r="CP47" s="597"/>
      <c r="CQ47" s="597"/>
      <c r="CR47" s="597"/>
      <c r="CS47" s="597"/>
      <c r="CT47" s="597"/>
      <c r="CU47" s="597"/>
      <c r="CV47" s="597"/>
      <c r="CW47" s="597"/>
      <c r="CX47" s="597"/>
      <c r="CY47" s="597"/>
      <c r="CZ47" s="597"/>
      <c r="DA47" s="597"/>
      <c r="DB47" s="597"/>
      <c r="DC47" s="597"/>
      <c r="DD47" s="597"/>
      <c r="DE47" s="597"/>
      <c r="DF47" s="597"/>
      <c r="DG47" s="597"/>
      <c r="DH47" s="597"/>
      <c r="DI47" s="597"/>
      <c r="DJ47" s="597"/>
      <c r="DK47" s="597"/>
      <c r="DL47" s="597"/>
      <c r="DM47" s="597"/>
      <c r="DN47" s="597"/>
      <c r="DO47" s="597"/>
      <c r="DP47" s="597"/>
      <c r="DQ47" s="597"/>
      <c r="DR47" s="597"/>
      <c r="DS47" s="597"/>
      <c r="DT47" s="597"/>
    </row>
    <row r="48" spans="1:124" s="26" customFormat="1" ht="24.75" customHeight="1" x14ac:dyDescent="0.25">
      <c r="A48" s="384" t="s">
        <v>44</v>
      </c>
      <c r="B48" s="593"/>
      <c r="C48" s="177">
        <v>495628</v>
      </c>
      <c r="D48" s="141">
        <v>495628</v>
      </c>
      <c r="E48" s="1253">
        <f t="shared" si="33"/>
        <v>0</v>
      </c>
      <c r="F48" s="1095"/>
      <c r="G48" s="1142">
        <v>535460</v>
      </c>
      <c r="H48" s="1142">
        <v>535460</v>
      </c>
      <c r="I48" s="1108">
        <f t="shared" si="35"/>
        <v>0</v>
      </c>
      <c r="J48" s="1095"/>
      <c r="K48" s="1143">
        <v>250469</v>
      </c>
      <c r="L48" s="1143">
        <v>250469</v>
      </c>
      <c r="M48" s="143">
        <f t="shared" si="3"/>
        <v>0</v>
      </c>
      <c r="N48" s="1095">
        <f t="shared" si="38"/>
        <v>0</v>
      </c>
      <c r="O48" s="277">
        <f t="shared" si="38"/>
        <v>1281557</v>
      </c>
      <c r="P48" s="141">
        <f t="shared" si="38"/>
        <v>1281557</v>
      </c>
      <c r="Q48" s="143">
        <f t="shared" si="4"/>
        <v>0</v>
      </c>
      <c r="R48" s="178"/>
      <c r="S48" s="158"/>
      <c r="T48" s="141">
        <v>9174071</v>
      </c>
      <c r="U48" s="141">
        <v>9174071</v>
      </c>
      <c r="V48" s="143">
        <f t="shared" si="5"/>
        <v>0</v>
      </c>
      <c r="W48" s="597"/>
      <c r="X48" s="597"/>
      <c r="Y48" s="597"/>
      <c r="Z48" s="597"/>
      <c r="AA48" s="597"/>
      <c r="AB48" s="597"/>
      <c r="AC48" s="597"/>
      <c r="AD48" s="597"/>
      <c r="AE48" s="597"/>
      <c r="AF48" s="597"/>
      <c r="AG48" s="597"/>
      <c r="AH48" s="597"/>
      <c r="AI48" s="597"/>
      <c r="AJ48" s="597"/>
      <c r="AK48" s="597"/>
      <c r="AL48" s="597"/>
      <c r="AM48" s="597"/>
      <c r="AN48" s="597"/>
      <c r="AO48" s="597"/>
      <c r="AP48" s="597"/>
      <c r="AQ48" s="597"/>
      <c r="AR48" s="597"/>
      <c r="AS48" s="597"/>
      <c r="AT48" s="597"/>
      <c r="AU48" s="597"/>
      <c r="AV48" s="597"/>
      <c r="AW48" s="597"/>
      <c r="AX48" s="597"/>
      <c r="AY48" s="597"/>
      <c r="AZ48" s="597"/>
      <c r="BA48" s="597"/>
      <c r="BB48" s="597"/>
      <c r="BC48" s="597"/>
      <c r="BD48" s="597"/>
      <c r="BE48" s="597"/>
      <c r="BF48" s="597"/>
      <c r="BG48" s="597"/>
      <c r="BH48" s="597"/>
      <c r="BI48" s="597"/>
      <c r="BJ48" s="597"/>
      <c r="BK48" s="597"/>
      <c r="BL48" s="597"/>
      <c r="BM48" s="597"/>
      <c r="BN48" s="597"/>
      <c r="BO48" s="597"/>
      <c r="BP48" s="597"/>
      <c r="BQ48" s="597"/>
      <c r="BR48" s="597"/>
      <c r="BS48" s="597"/>
      <c r="BT48" s="597"/>
      <c r="BU48" s="597"/>
      <c r="BV48" s="597"/>
      <c r="BW48" s="597"/>
      <c r="BX48" s="597"/>
      <c r="BY48" s="597"/>
      <c r="BZ48" s="597"/>
      <c r="CA48" s="597"/>
      <c r="CB48" s="597"/>
      <c r="CC48" s="597"/>
      <c r="CD48" s="597"/>
      <c r="CE48" s="597"/>
      <c r="CF48" s="597"/>
      <c r="CG48" s="597"/>
      <c r="CH48" s="597"/>
      <c r="CI48" s="597"/>
      <c r="CJ48" s="597"/>
      <c r="CK48" s="597"/>
      <c r="CL48" s="597"/>
      <c r="CM48" s="597"/>
      <c r="CN48" s="597"/>
      <c r="CO48" s="597"/>
      <c r="CP48" s="597"/>
      <c r="CQ48" s="597"/>
      <c r="CR48" s="597"/>
      <c r="CS48" s="597"/>
      <c r="CT48" s="597"/>
      <c r="CU48" s="597"/>
      <c r="CV48" s="597"/>
      <c r="CW48" s="597"/>
      <c r="CX48" s="597"/>
      <c r="CY48" s="597"/>
      <c r="CZ48" s="597"/>
      <c r="DA48" s="597"/>
      <c r="DB48" s="597"/>
      <c r="DC48" s="597"/>
      <c r="DD48" s="597"/>
      <c r="DE48" s="597"/>
      <c r="DF48" s="597"/>
      <c r="DG48" s="597"/>
      <c r="DH48" s="597"/>
      <c r="DI48" s="597"/>
      <c r="DJ48" s="597"/>
      <c r="DK48" s="597"/>
      <c r="DL48" s="597"/>
      <c r="DM48" s="597"/>
      <c r="DN48" s="597"/>
      <c r="DO48" s="597"/>
      <c r="DP48" s="597"/>
      <c r="DQ48" s="597"/>
      <c r="DR48" s="597"/>
      <c r="DS48" s="597"/>
      <c r="DT48" s="597"/>
    </row>
    <row r="49" spans="1:198" s="24" customFormat="1" ht="24" customHeight="1" x14ac:dyDescent="0.25">
      <c r="A49" s="385" t="s">
        <v>45</v>
      </c>
      <c r="B49" s="594"/>
      <c r="C49" s="171"/>
      <c r="D49" s="106"/>
      <c r="E49" s="1252"/>
      <c r="F49" s="1096"/>
      <c r="G49" s="145"/>
      <c r="H49" s="145"/>
      <c r="I49" s="145"/>
      <c r="J49" s="1096"/>
      <c r="K49" s="106"/>
      <c r="L49" s="106"/>
      <c r="M49" s="1252">
        <f t="shared" si="3"/>
        <v>0</v>
      </c>
      <c r="N49" s="157">
        <f>B49+F49+J49</f>
        <v>0</v>
      </c>
      <c r="O49" s="171"/>
      <c r="P49" s="106"/>
      <c r="Q49" s="1252">
        <f t="shared" si="4"/>
        <v>0</v>
      </c>
      <c r="R49" s="179"/>
      <c r="S49" s="157"/>
      <c r="T49" s="145"/>
      <c r="U49" s="145"/>
      <c r="V49" s="1252">
        <f t="shared" si="5"/>
        <v>0</v>
      </c>
      <c r="W49" s="591"/>
      <c r="X49" s="591"/>
      <c r="Y49" s="591"/>
      <c r="Z49" s="591"/>
      <c r="AA49" s="591"/>
      <c r="AB49" s="591"/>
      <c r="AC49" s="591"/>
      <c r="AD49" s="591"/>
      <c r="AE49" s="591"/>
      <c r="AF49" s="591"/>
      <c r="AG49" s="591"/>
      <c r="AH49" s="591"/>
      <c r="AI49" s="591"/>
      <c r="AJ49" s="591"/>
      <c r="AK49" s="591"/>
      <c r="AL49" s="591"/>
      <c r="AM49" s="591"/>
      <c r="AN49" s="591"/>
      <c r="AO49" s="591"/>
      <c r="AP49" s="591"/>
      <c r="AQ49" s="591"/>
      <c r="AR49" s="591"/>
      <c r="AS49" s="591"/>
      <c r="AT49" s="591"/>
      <c r="AU49" s="591"/>
      <c r="AV49" s="591"/>
      <c r="AW49" s="591"/>
      <c r="AX49" s="591"/>
      <c r="AY49" s="591"/>
      <c r="AZ49" s="591"/>
      <c r="BA49" s="591"/>
      <c r="BB49" s="591"/>
      <c r="BC49" s="591"/>
      <c r="BD49" s="591"/>
      <c r="BE49" s="591"/>
      <c r="BF49" s="591"/>
      <c r="BG49" s="591"/>
      <c r="BH49" s="591"/>
      <c r="BI49" s="591"/>
      <c r="BJ49" s="591"/>
      <c r="BK49" s="591"/>
      <c r="BL49" s="591"/>
      <c r="BM49" s="591"/>
      <c r="BN49" s="591"/>
      <c r="BO49" s="591"/>
      <c r="BP49" s="591"/>
      <c r="BQ49" s="591"/>
      <c r="BR49" s="591"/>
      <c r="BS49" s="591"/>
      <c r="BT49" s="591"/>
      <c r="BU49" s="591"/>
      <c r="BV49" s="591"/>
      <c r="BW49" s="591"/>
      <c r="BX49" s="591"/>
      <c r="BY49" s="591"/>
      <c r="BZ49" s="591"/>
      <c r="CA49" s="591"/>
      <c r="CB49" s="591"/>
      <c r="CC49" s="591"/>
      <c r="CD49" s="591"/>
      <c r="CE49" s="591"/>
      <c r="CF49" s="591"/>
      <c r="CG49" s="591"/>
      <c r="CH49" s="591"/>
      <c r="CI49" s="591"/>
      <c r="CJ49" s="591"/>
      <c r="CK49" s="591"/>
      <c r="CL49" s="591"/>
      <c r="CM49" s="591"/>
      <c r="CN49" s="591"/>
      <c r="CO49" s="591"/>
      <c r="CP49" s="591"/>
      <c r="CQ49" s="591"/>
      <c r="CR49" s="591"/>
      <c r="CS49" s="591"/>
      <c r="CT49" s="591"/>
      <c r="CU49" s="591"/>
      <c r="CV49" s="591"/>
      <c r="CW49" s="591"/>
      <c r="CX49" s="591"/>
      <c r="CY49" s="591"/>
      <c r="CZ49" s="591"/>
      <c r="DA49" s="591"/>
      <c r="DB49" s="591"/>
      <c r="DC49" s="591"/>
      <c r="DD49" s="591"/>
      <c r="DE49" s="591"/>
      <c r="DF49" s="591"/>
      <c r="DG49" s="591"/>
      <c r="DH49" s="591"/>
      <c r="DI49" s="591"/>
      <c r="DJ49" s="591"/>
      <c r="DK49" s="591"/>
      <c r="DL49" s="591"/>
      <c r="DM49" s="591"/>
      <c r="DN49" s="591"/>
      <c r="DO49" s="591"/>
      <c r="DP49" s="591"/>
      <c r="DQ49" s="591"/>
      <c r="DR49" s="591"/>
      <c r="DS49" s="591"/>
      <c r="DT49" s="591"/>
    </row>
    <row r="50" spans="1:198" s="20" customFormat="1" x14ac:dyDescent="0.25">
      <c r="A50" s="386" t="s">
        <v>60</v>
      </c>
      <c r="B50" s="594">
        <f>'4.sz.tábla '!AS6-'2.a tábla ÚJ '!B44-'2.a tábla ÚJ '!B46</f>
        <v>52428449</v>
      </c>
      <c r="C50" s="171">
        <f>'4.sz.tábla '!AT6-'2.a tábla ÚJ '!C44-'2.a tábla ÚJ '!C46</f>
        <v>54997706</v>
      </c>
      <c r="D50" s="106">
        <f>'4.sz.tábla '!AU6-'2.a tábla ÚJ '!D44-'2.a tábla ÚJ '!D46</f>
        <v>54578249</v>
      </c>
      <c r="E50" s="1253">
        <f>D50-C50</f>
        <v>-419457</v>
      </c>
      <c r="F50" s="1096">
        <f>'4.sz.tábla '!AS7-'2.a tábla ÚJ '!F44-'2.a tábla ÚJ '!F46</f>
        <v>62794500</v>
      </c>
      <c r="G50" s="106">
        <f>'4.sz.tábla '!AT7-'2.a tábla ÚJ '!G44-'2.a tábla ÚJ '!G46</f>
        <v>62361571</v>
      </c>
      <c r="H50" s="106">
        <f>'4.sz.tábla '!AU7-'2.a tábla ÚJ '!H44-'2.a tábla ÚJ '!H46</f>
        <v>62775805</v>
      </c>
      <c r="I50" s="1108">
        <f>H50-G50</f>
        <v>414234</v>
      </c>
      <c r="J50" s="1096">
        <f>'4.sz.tábla '!AS8-'2.a tábla ÚJ '!J44-'2.a tábla ÚJ '!J46</f>
        <v>66153808</v>
      </c>
      <c r="K50" s="106">
        <f>'4.sz.tábla '!AT8-'2.a tábla ÚJ '!K44-'2.a tábla ÚJ '!K46</f>
        <v>64966037</v>
      </c>
      <c r="L50" s="106">
        <f>'4.sz.tábla '!AU8-'2.a tábla ÚJ '!L44-'2.a tábla ÚJ '!L46</f>
        <v>64906469</v>
      </c>
      <c r="M50" s="1252">
        <f t="shared" si="3"/>
        <v>-59568</v>
      </c>
      <c r="N50" s="157">
        <f>B50+F50+J50</f>
        <v>181376757</v>
      </c>
      <c r="O50" s="145">
        <f>C50+G50+K50</f>
        <v>182325314</v>
      </c>
      <c r="P50" s="106">
        <f>D50+H50+L50</f>
        <v>182260523</v>
      </c>
      <c r="Q50" s="1252">
        <f t="shared" si="4"/>
        <v>-64791</v>
      </c>
      <c r="R50" s="171" t="e">
        <f>SUM(#REF!)</f>
        <v>#REF!</v>
      </c>
      <c r="S50" s="157">
        <f>'5.tábla (2)'!B33-'2.a tábla ÚJ '!S44-'2.a tábla ÚJ '!S46</f>
        <v>413289652</v>
      </c>
      <c r="T50" s="106">
        <f>'5.tábla (2)'!C33-'2.a tábla ÚJ '!T44-'2.a tábla ÚJ '!T46</f>
        <v>410710724</v>
      </c>
      <c r="U50" s="106">
        <f>'5.tábla (2)'!D33-'2.a tábla ÚJ '!U44-'2.a tábla ÚJ '!U46</f>
        <v>411899192</v>
      </c>
      <c r="V50" s="1252">
        <f t="shared" si="5"/>
        <v>1188468</v>
      </c>
      <c r="W50" s="599"/>
      <c r="X50" s="599"/>
      <c r="Y50" s="592"/>
      <c r="Z50" s="592"/>
      <c r="AA50" s="592"/>
      <c r="AB50" s="592"/>
      <c r="AC50" s="592"/>
      <c r="AD50" s="592"/>
      <c r="AE50" s="592"/>
      <c r="AF50" s="592"/>
      <c r="AG50" s="592"/>
      <c r="AH50" s="592"/>
      <c r="AI50" s="592"/>
      <c r="AJ50" s="592"/>
      <c r="AK50" s="592"/>
      <c r="AL50" s="592"/>
      <c r="AM50" s="592"/>
      <c r="AN50" s="592"/>
      <c r="AO50" s="592"/>
      <c r="AP50" s="592"/>
      <c r="AQ50" s="592"/>
      <c r="AR50" s="592"/>
      <c r="AS50" s="592"/>
      <c r="AT50" s="592"/>
      <c r="AU50" s="592"/>
      <c r="AV50" s="592"/>
      <c r="AW50" s="592"/>
      <c r="AX50" s="592"/>
      <c r="AY50" s="592"/>
      <c r="AZ50" s="592"/>
      <c r="BA50" s="592"/>
      <c r="BB50" s="592"/>
      <c r="BC50" s="592"/>
      <c r="BD50" s="592"/>
      <c r="BE50" s="592"/>
      <c r="BF50" s="592"/>
      <c r="BG50" s="592"/>
      <c r="BH50" s="592"/>
      <c r="BI50" s="592"/>
      <c r="BJ50" s="592"/>
      <c r="BK50" s="592"/>
      <c r="BL50" s="592"/>
      <c r="BM50" s="592"/>
      <c r="BN50" s="592"/>
      <c r="BO50" s="592"/>
      <c r="BP50" s="592"/>
      <c r="BQ50" s="592"/>
      <c r="BR50" s="592"/>
      <c r="BS50" s="592"/>
      <c r="BT50" s="592"/>
      <c r="BU50" s="592"/>
      <c r="BV50" s="592"/>
      <c r="BW50" s="592"/>
      <c r="BX50" s="592"/>
      <c r="BY50" s="592"/>
      <c r="BZ50" s="592"/>
      <c r="CA50" s="592"/>
      <c r="CB50" s="592"/>
      <c r="CC50" s="592"/>
      <c r="CD50" s="592"/>
      <c r="CE50" s="592"/>
      <c r="CF50" s="592"/>
      <c r="CG50" s="592"/>
      <c r="CH50" s="592"/>
      <c r="CI50" s="592"/>
      <c r="CJ50" s="592"/>
      <c r="CK50" s="592"/>
      <c r="CL50" s="592"/>
      <c r="CM50" s="592"/>
      <c r="CN50" s="592"/>
      <c r="CO50" s="592"/>
      <c r="CP50" s="592"/>
      <c r="CQ50" s="592"/>
      <c r="CR50" s="592"/>
      <c r="CS50" s="592"/>
      <c r="CT50" s="592"/>
      <c r="CU50" s="592"/>
      <c r="CV50" s="592"/>
      <c r="CW50" s="592"/>
      <c r="CX50" s="592"/>
      <c r="CY50" s="592"/>
      <c r="CZ50" s="592"/>
      <c r="DA50" s="592"/>
      <c r="DB50" s="592"/>
      <c r="DC50" s="592"/>
      <c r="DD50" s="592"/>
      <c r="DE50" s="592"/>
      <c r="DF50" s="592"/>
      <c r="DG50" s="592"/>
      <c r="DH50" s="592"/>
      <c r="DI50" s="592"/>
      <c r="DJ50" s="592"/>
      <c r="DK50" s="592"/>
      <c r="DL50" s="592"/>
      <c r="DM50" s="592"/>
      <c r="DN50" s="592"/>
      <c r="DO50" s="592"/>
      <c r="DP50" s="592"/>
      <c r="DQ50" s="592"/>
      <c r="DR50" s="592"/>
      <c r="DS50" s="592"/>
      <c r="DT50" s="592"/>
    </row>
    <row r="51" spans="1:198" s="24" customFormat="1" ht="15" customHeight="1" x14ac:dyDescent="0.25">
      <c r="A51" s="386" t="s">
        <v>55</v>
      </c>
      <c r="B51" s="106">
        <f t="shared" ref="B51:C51" si="39">B45+B44</f>
        <v>56292199</v>
      </c>
      <c r="C51" s="145">
        <f t="shared" si="39"/>
        <v>61678465</v>
      </c>
      <c r="D51" s="106">
        <f t="shared" ref="D51:R51" si="40">D45+D44</f>
        <v>61059008</v>
      </c>
      <c r="E51" s="1253">
        <f>D51-C51</f>
        <v>-619457</v>
      </c>
      <c r="F51" s="1096">
        <f t="shared" ref="F51:G51" si="41">F45+F44</f>
        <v>225502000</v>
      </c>
      <c r="G51" s="145">
        <f t="shared" si="41"/>
        <v>236702976</v>
      </c>
      <c r="H51" s="145">
        <f t="shared" si="40"/>
        <v>237429634</v>
      </c>
      <c r="I51" s="1108">
        <f>H51-G51</f>
        <v>726658</v>
      </c>
      <c r="J51" s="1096">
        <f t="shared" ref="J51:K51" si="42">J45+J44</f>
        <v>70327059</v>
      </c>
      <c r="K51" s="106">
        <f t="shared" si="42"/>
        <v>72959196</v>
      </c>
      <c r="L51" s="106">
        <f t="shared" si="40"/>
        <v>72899628</v>
      </c>
      <c r="M51" s="1252">
        <f t="shared" si="3"/>
        <v>-59568</v>
      </c>
      <c r="N51" s="157">
        <f t="shared" si="40"/>
        <v>352121258</v>
      </c>
      <c r="O51" s="145">
        <f t="shared" ref="O51" si="43">O45+O44</f>
        <v>371340637</v>
      </c>
      <c r="P51" s="106">
        <f t="shared" si="40"/>
        <v>371388270</v>
      </c>
      <c r="Q51" s="1252">
        <f t="shared" si="4"/>
        <v>47633</v>
      </c>
      <c r="R51" s="171" t="e">
        <f t="shared" si="40"/>
        <v>#REF!</v>
      </c>
      <c r="S51" s="157">
        <f t="shared" ref="S51:U51" si="44">S45+S44</f>
        <v>473352277</v>
      </c>
      <c r="T51" s="106">
        <f t="shared" ref="T51" si="45">T45+T44</f>
        <v>499188253</v>
      </c>
      <c r="U51" s="106">
        <f t="shared" si="44"/>
        <v>506251756</v>
      </c>
      <c r="V51" s="1252">
        <f t="shared" si="5"/>
        <v>7063503</v>
      </c>
      <c r="W51" s="595"/>
      <c r="X51" s="595"/>
      <c r="Y51" s="595"/>
      <c r="Z51" s="591"/>
      <c r="AA51" s="591"/>
      <c r="AB51" s="591"/>
      <c r="AC51" s="591"/>
      <c r="AD51" s="591"/>
      <c r="AE51" s="591"/>
      <c r="AF51" s="591"/>
      <c r="AG51" s="591"/>
      <c r="AH51" s="591"/>
      <c r="AI51" s="591"/>
      <c r="AJ51" s="591"/>
      <c r="AK51" s="591"/>
      <c r="AL51" s="591"/>
      <c r="AM51" s="591"/>
      <c r="AN51" s="591"/>
      <c r="AO51" s="591"/>
      <c r="AP51" s="591"/>
      <c r="AQ51" s="591"/>
      <c r="AR51" s="591"/>
      <c r="AS51" s="591"/>
      <c r="AT51" s="591"/>
      <c r="AU51" s="591"/>
      <c r="AV51" s="591"/>
      <c r="AW51" s="591"/>
      <c r="AX51" s="591"/>
      <c r="AY51" s="591"/>
      <c r="AZ51" s="591"/>
      <c r="BA51" s="591"/>
      <c r="BB51" s="591"/>
      <c r="BC51" s="591"/>
      <c r="BD51" s="591"/>
      <c r="BE51" s="591"/>
      <c r="BF51" s="591"/>
      <c r="BG51" s="591"/>
      <c r="BH51" s="591"/>
      <c r="BI51" s="591"/>
      <c r="BJ51" s="591"/>
      <c r="BK51" s="591"/>
      <c r="BL51" s="591"/>
      <c r="BM51" s="591"/>
      <c r="BN51" s="591"/>
      <c r="BO51" s="591"/>
      <c r="BP51" s="591"/>
      <c r="BQ51" s="591"/>
      <c r="BR51" s="591"/>
      <c r="BS51" s="591"/>
      <c r="BT51" s="591"/>
      <c r="BU51" s="591"/>
      <c r="BV51" s="591"/>
      <c r="BW51" s="591"/>
      <c r="BX51" s="591"/>
      <c r="BY51" s="591"/>
      <c r="BZ51" s="591"/>
      <c r="CA51" s="591"/>
      <c r="CB51" s="591"/>
      <c r="CC51" s="591"/>
      <c r="CD51" s="591"/>
      <c r="CE51" s="591"/>
      <c r="CF51" s="591"/>
      <c r="CG51" s="591"/>
      <c r="CH51" s="591"/>
      <c r="CI51" s="591"/>
      <c r="CJ51" s="591"/>
      <c r="CK51" s="591"/>
      <c r="CL51" s="591"/>
      <c r="CM51" s="591"/>
      <c r="CN51" s="591"/>
      <c r="CO51" s="591"/>
      <c r="CP51" s="591"/>
      <c r="CQ51" s="591"/>
      <c r="CR51" s="591"/>
      <c r="CS51" s="591"/>
      <c r="CT51" s="591"/>
      <c r="CU51" s="591"/>
      <c r="CV51" s="591"/>
      <c r="CW51" s="591"/>
      <c r="CX51" s="591"/>
      <c r="CY51" s="591"/>
      <c r="CZ51" s="591"/>
      <c r="DA51" s="591"/>
      <c r="DB51" s="591"/>
      <c r="DC51" s="591"/>
      <c r="DD51" s="591"/>
      <c r="DE51" s="591"/>
      <c r="DF51" s="591"/>
      <c r="DG51" s="591"/>
      <c r="DH51" s="591"/>
      <c r="DI51" s="591"/>
      <c r="DJ51" s="591"/>
      <c r="DK51" s="591"/>
      <c r="DL51" s="591"/>
      <c r="DM51" s="591"/>
      <c r="DN51" s="591"/>
      <c r="DO51" s="591"/>
      <c r="DP51" s="591"/>
      <c r="DQ51" s="591"/>
      <c r="DR51" s="591"/>
      <c r="DS51" s="591"/>
      <c r="DT51" s="591"/>
    </row>
    <row r="52" spans="1:198" s="1" customFormat="1" x14ac:dyDescent="0.25">
      <c r="A52" s="392" t="s">
        <v>61</v>
      </c>
      <c r="B52" s="594"/>
      <c r="C52" s="145"/>
      <c r="D52" s="106"/>
      <c r="E52" s="1111"/>
      <c r="F52" s="1096"/>
      <c r="G52" s="1108"/>
      <c r="H52" s="1108"/>
      <c r="I52" s="1109"/>
      <c r="J52" s="1096"/>
      <c r="K52" s="1310"/>
      <c r="L52" s="1310"/>
      <c r="M52" s="1111"/>
      <c r="N52" s="157"/>
      <c r="O52" s="1108"/>
      <c r="P52" s="1310"/>
      <c r="Q52" s="143"/>
      <c r="R52" s="180"/>
      <c r="S52" s="157"/>
      <c r="T52" s="145"/>
      <c r="U52" s="145"/>
      <c r="V52" s="143">
        <f t="shared" si="5"/>
        <v>0</v>
      </c>
      <c r="W52" s="600"/>
      <c r="X52" s="600"/>
      <c r="Y52" s="600"/>
      <c r="Z52" s="600"/>
      <c r="AA52" s="600"/>
      <c r="AB52" s="600"/>
      <c r="AC52" s="600"/>
      <c r="AD52" s="600"/>
      <c r="AE52" s="600"/>
      <c r="AF52" s="600"/>
      <c r="AG52" s="600"/>
      <c r="AH52" s="600"/>
      <c r="AI52" s="600"/>
      <c r="AJ52" s="600"/>
      <c r="AK52" s="600"/>
      <c r="AL52" s="600"/>
      <c r="AM52" s="600"/>
      <c r="AN52" s="600"/>
      <c r="AO52" s="600"/>
      <c r="AP52" s="600"/>
      <c r="AQ52" s="600"/>
      <c r="AR52" s="600"/>
      <c r="AS52" s="600"/>
      <c r="AT52" s="600"/>
      <c r="AU52" s="600"/>
      <c r="AV52" s="600"/>
      <c r="AW52" s="600"/>
      <c r="AX52" s="600"/>
      <c r="AY52" s="600"/>
      <c r="AZ52" s="600"/>
      <c r="BA52" s="600"/>
      <c r="BB52" s="600"/>
      <c r="BC52" s="600"/>
      <c r="BD52" s="600"/>
      <c r="BE52" s="600"/>
      <c r="BF52" s="600"/>
      <c r="BG52" s="600"/>
      <c r="BH52" s="600"/>
      <c r="BI52" s="600"/>
      <c r="BJ52" s="600"/>
      <c r="BK52" s="600"/>
      <c r="BL52" s="600"/>
      <c r="BM52" s="600"/>
      <c r="BN52" s="600"/>
      <c r="BO52" s="600"/>
      <c r="BP52" s="600"/>
      <c r="BQ52" s="600"/>
      <c r="BR52" s="600"/>
      <c r="BS52" s="600"/>
      <c r="BT52" s="600"/>
      <c r="BU52" s="600"/>
      <c r="BV52" s="600"/>
      <c r="BW52" s="600"/>
      <c r="BX52" s="600"/>
      <c r="BY52" s="600"/>
      <c r="BZ52" s="600"/>
      <c r="CA52" s="600"/>
      <c r="CB52" s="600"/>
      <c r="CC52" s="600"/>
      <c r="CD52" s="600"/>
      <c r="CE52" s="600"/>
      <c r="CF52" s="600"/>
      <c r="CG52" s="600"/>
      <c r="CH52" s="600"/>
      <c r="CI52" s="600"/>
      <c r="CJ52" s="600"/>
      <c r="CK52" s="600"/>
      <c r="CL52" s="600"/>
      <c r="CM52" s="600"/>
      <c r="CN52" s="600"/>
      <c r="CO52" s="600"/>
      <c r="CP52" s="600"/>
      <c r="CQ52" s="600"/>
      <c r="CR52" s="600"/>
      <c r="CS52" s="600"/>
      <c r="CT52" s="600"/>
      <c r="CU52" s="600"/>
      <c r="CV52" s="600"/>
      <c r="CW52" s="600"/>
      <c r="CX52" s="600"/>
      <c r="CY52" s="600"/>
      <c r="CZ52" s="600"/>
      <c r="DA52" s="600"/>
      <c r="DB52" s="600"/>
      <c r="DC52" s="600"/>
      <c r="DD52" s="600"/>
      <c r="DE52" s="600"/>
      <c r="DF52" s="600"/>
      <c r="DG52" s="600"/>
      <c r="DH52" s="600"/>
      <c r="DI52" s="600"/>
      <c r="DJ52" s="600"/>
      <c r="DK52" s="600"/>
      <c r="DL52" s="600"/>
      <c r="DM52" s="600"/>
      <c r="DN52" s="600"/>
      <c r="DO52" s="600"/>
      <c r="DP52" s="600"/>
      <c r="DQ52" s="600"/>
      <c r="DR52" s="600"/>
      <c r="DS52" s="600"/>
      <c r="DT52" s="600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</row>
    <row r="53" spans="1:198" x14ac:dyDescent="0.25">
      <c r="A53" s="393" t="s">
        <v>62</v>
      </c>
      <c r="B53" s="299">
        <v>1.5</v>
      </c>
      <c r="C53" s="278">
        <v>1.5</v>
      </c>
      <c r="D53" s="142">
        <v>1.5</v>
      </c>
      <c r="E53" s="1111">
        <f>D53-C53</f>
        <v>0</v>
      </c>
      <c r="F53" s="349">
        <v>12</v>
      </c>
      <c r="G53" s="1109">
        <v>12</v>
      </c>
      <c r="H53" s="1109">
        <v>12</v>
      </c>
      <c r="I53" s="1109">
        <f>H53-G53</f>
        <v>0</v>
      </c>
      <c r="J53" s="349">
        <v>5</v>
      </c>
      <c r="K53" s="1311">
        <v>5</v>
      </c>
      <c r="L53" s="1311">
        <v>5</v>
      </c>
      <c r="M53" s="1111">
        <f>L53-K53</f>
        <v>0</v>
      </c>
      <c r="N53" s="159">
        <f t="shared" ref="N53:P56" si="46">B53+F53+J53</f>
        <v>18.5</v>
      </c>
      <c r="O53" s="278">
        <f t="shared" si="46"/>
        <v>18.5</v>
      </c>
      <c r="P53" s="142">
        <f t="shared" si="46"/>
        <v>18.5</v>
      </c>
      <c r="Q53" s="417">
        <f t="shared" si="4"/>
        <v>0</v>
      </c>
      <c r="R53" s="172" t="e">
        <f>#REF!+#REF!+#REF!+#REF!+#REF!+#REF!+#REF!+#REF!+#REF!+#REF!</f>
        <v>#REF!</v>
      </c>
      <c r="S53" s="159">
        <v>6</v>
      </c>
      <c r="T53" s="278">
        <v>5</v>
      </c>
      <c r="U53" s="278">
        <v>5</v>
      </c>
      <c r="V53" s="417">
        <f t="shared" si="5"/>
        <v>0</v>
      </c>
      <c r="W53" s="601"/>
    </row>
    <row r="54" spans="1:198" x14ac:dyDescent="0.25">
      <c r="A54" s="393" t="s">
        <v>63</v>
      </c>
      <c r="B54" s="299">
        <v>9.5</v>
      </c>
      <c r="C54" s="278">
        <v>9.5</v>
      </c>
      <c r="D54" s="142">
        <v>9.5</v>
      </c>
      <c r="E54" s="1111">
        <f t="shared" ref="E54:E57" si="47">D54-C54</f>
        <v>0</v>
      </c>
      <c r="F54" s="349">
        <v>18</v>
      </c>
      <c r="G54" s="1109">
        <v>18</v>
      </c>
      <c r="H54" s="1109">
        <v>18</v>
      </c>
      <c r="I54" s="1109">
        <f t="shared" ref="I54:I57" si="48">H54-G54</f>
        <v>0</v>
      </c>
      <c r="J54" s="349">
        <v>9</v>
      </c>
      <c r="K54" s="1311">
        <v>9</v>
      </c>
      <c r="L54" s="1311">
        <v>9</v>
      </c>
      <c r="M54" s="1111">
        <f t="shared" ref="M54:M57" si="49">L54-K54</f>
        <v>0</v>
      </c>
      <c r="N54" s="159">
        <f t="shared" si="46"/>
        <v>36.5</v>
      </c>
      <c r="O54" s="278">
        <f t="shared" si="46"/>
        <v>36.5</v>
      </c>
      <c r="P54" s="142">
        <f t="shared" si="46"/>
        <v>36.5</v>
      </c>
      <c r="Q54" s="417">
        <f t="shared" si="4"/>
        <v>0</v>
      </c>
      <c r="R54" s="172" t="e">
        <f>#REF!+#REF!+#REF!+#REF!+#REF!+#REF!+#REF!+#REF!+#REF!+#REF!</f>
        <v>#REF!</v>
      </c>
      <c r="S54" s="159">
        <v>69</v>
      </c>
      <c r="T54" s="278">
        <v>69</v>
      </c>
      <c r="U54" s="278">
        <v>69</v>
      </c>
      <c r="V54" s="417">
        <f t="shared" si="5"/>
        <v>0</v>
      </c>
      <c r="W54" s="601"/>
    </row>
    <row r="55" spans="1:198" x14ac:dyDescent="0.25">
      <c r="A55" s="423" t="s">
        <v>602</v>
      </c>
      <c r="B55" s="299"/>
      <c r="C55" s="277"/>
      <c r="D55" s="141"/>
      <c r="E55" s="1111">
        <f t="shared" si="47"/>
        <v>0</v>
      </c>
      <c r="F55" s="349">
        <v>0</v>
      </c>
      <c r="G55" s="1109">
        <v>0</v>
      </c>
      <c r="H55" s="1109">
        <v>0</v>
      </c>
      <c r="I55" s="1109">
        <f t="shared" si="48"/>
        <v>0</v>
      </c>
      <c r="J55" s="349"/>
      <c r="K55" s="1312"/>
      <c r="L55" s="1312"/>
      <c r="M55" s="1111">
        <f t="shared" si="49"/>
        <v>0</v>
      </c>
      <c r="N55" s="159">
        <f t="shared" si="46"/>
        <v>0</v>
      </c>
      <c r="O55" s="142">
        <f t="shared" si="46"/>
        <v>0</v>
      </c>
      <c r="P55" s="278">
        <f t="shared" si="46"/>
        <v>0</v>
      </c>
      <c r="Q55" s="417">
        <f t="shared" si="4"/>
        <v>0</v>
      </c>
      <c r="R55" s="172" t="e">
        <f>#REF!+#REF!+#REF!+#REF!+#REF!+#REF!+#REF!+#REF!+#REF!+#REF!</f>
        <v>#REF!</v>
      </c>
      <c r="S55" s="159">
        <v>0.5</v>
      </c>
      <c r="T55" s="278">
        <v>0.5</v>
      </c>
      <c r="U55" s="278">
        <v>0.5</v>
      </c>
      <c r="V55" s="417">
        <f t="shared" si="5"/>
        <v>0</v>
      </c>
      <c r="W55" s="601"/>
    </row>
    <row r="56" spans="1:198" x14ac:dyDescent="0.25">
      <c r="A56" s="393" t="s">
        <v>64</v>
      </c>
      <c r="B56" s="299">
        <v>1</v>
      </c>
      <c r="C56" s="278">
        <v>1</v>
      </c>
      <c r="D56" s="142">
        <v>1</v>
      </c>
      <c r="E56" s="1111">
        <f t="shared" si="47"/>
        <v>0</v>
      </c>
      <c r="F56" s="349">
        <v>2</v>
      </c>
      <c r="G56" s="1109">
        <v>2</v>
      </c>
      <c r="H56" s="1109">
        <v>2</v>
      </c>
      <c r="I56" s="1109">
        <f t="shared" si="48"/>
        <v>0</v>
      </c>
      <c r="J56" s="349">
        <v>2</v>
      </c>
      <c r="K56" s="1109">
        <v>2</v>
      </c>
      <c r="L56" s="1311">
        <v>2</v>
      </c>
      <c r="M56" s="1111">
        <f t="shared" si="49"/>
        <v>0</v>
      </c>
      <c r="N56" s="159">
        <f t="shared" si="46"/>
        <v>5</v>
      </c>
      <c r="O56" s="142">
        <f t="shared" si="46"/>
        <v>5</v>
      </c>
      <c r="P56" s="278">
        <f t="shared" si="46"/>
        <v>5</v>
      </c>
      <c r="Q56" s="417">
        <f t="shared" si="4"/>
        <v>0</v>
      </c>
      <c r="R56" s="172" t="e">
        <f>#REF!+#REF!+#REF!+#REF!+#REF!+#REF!+#REF!+#REF!+#REF!+#REF!</f>
        <v>#REF!</v>
      </c>
      <c r="S56" s="159"/>
      <c r="T56" s="278"/>
      <c r="U56" s="278"/>
      <c r="V56" s="417"/>
      <c r="W56" s="601"/>
    </row>
    <row r="57" spans="1:198" x14ac:dyDescent="0.25">
      <c r="A57" s="393" t="s">
        <v>65</v>
      </c>
      <c r="B57" s="142">
        <f t="shared" ref="B57:C57" si="50">SUM(B53:B56)</f>
        <v>12</v>
      </c>
      <c r="C57" s="278">
        <f t="shared" si="50"/>
        <v>12</v>
      </c>
      <c r="D57" s="142">
        <f t="shared" ref="D57:L57" si="51">SUM(D53:D56)</f>
        <v>12</v>
      </c>
      <c r="E57" s="1111">
        <f t="shared" si="47"/>
        <v>0</v>
      </c>
      <c r="F57" s="349">
        <f t="shared" ref="F57:G57" si="52">SUM(F53:F56)</f>
        <v>32</v>
      </c>
      <c r="G57" s="278">
        <f t="shared" si="52"/>
        <v>32</v>
      </c>
      <c r="H57" s="278">
        <f t="shared" si="51"/>
        <v>32</v>
      </c>
      <c r="I57" s="1109">
        <f t="shared" si="48"/>
        <v>0</v>
      </c>
      <c r="J57" s="349">
        <f t="shared" ref="J57:K57" si="53">SUM(J53:J56)</f>
        <v>16</v>
      </c>
      <c r="K57" s="278">
        <f t="shared" si="53"/>
        <v>16</v>
      </c>
      <c r="L57" s="142">
        <f t="shared" si="51"/>
        <v>16</v>
      </c>
      <c r="M57" s="1111">
        <f t="shared" si="49"/>
        <v>0</v>
      </c>
      <c r="N57" s="159">
        <f>SUM(N53:N56)</f>
        <v>60</v>
      </c>
      <c r="O57" s="142">
        <f>SUM(O53:O56)</f>
        <v>60</v>
      </c>
      <c r="P57" s="278">
        <f>SUM(P53:P56)</f>
        <v>60</v>
      </c>
      <c r="Q57" s="417">
        <f t="shared" si="4"/>
        <v>0</v>
      </c>
      <c r="R57" s="172" t="e">
        <f t="shared" ref="R57" si="54">SUM(R53:R56)</f>
        <v>#REF!</v>
      </c>
      <c r="S57" s="159">
        <f>SUM(S53:S56)</f>
        <v>75.5</v>
      </c>
      <c r="T57" s="142">
        <f>SUM(T53:T56)</f>
        <v>74.5</v>
      </c>
      <c r="U57" s="142">
        <f>SUM(U53:U56)</f>
        <v>74.5</v>
      </c>
      <c r="V57" s="417">
        <f t="shared" si="5"/>
        <v>0</v>
      </c>
      <c r="W57" s="601"/>
    </row>
    <row r="58" spans="1:198" x14ac:dyDescent="0.25">
      <c r="A58" s="393" t="s">
        <v>66</v>
      </c>
      <c r="B58" s="593"/>
      <c r="C58" s="277"/>
      <c r="D58" s="141"/>
      <c r="E58" s="1111"/>
      <c r="F58" s="1095"/>
      <c r="G58" s="1187"/>
      <c r="H58" s="1187"/>
      <c r="I58" s="1109"/>
      <c r="J58" s="1095"/>
      <c r="K58" s="1109"/>
      <c r="L58" s="1311"/>
      <c r="M58" s="1111"/>
      <c r="N58" s="158"/>
      <c r="O58" s="141"/>
      <c r="P58" s="277"/>
      <c r="Q58" s="417"/>
      <c r="R58" s="172" t="e">
        <f>#REF!+#REF!+#REF!+#REF!+#REF!+#REF!+#REF!+#REF!+#REF!+#REF!</f>
        <v>#REF!</v>
      </c>
      <c r="S58" s="159">
        <v>3</v>
      </c>
      <c r="T58" s="278">
        <v>7</v>
      </c>
      <c r="U58" s="278">
        <v>7</v>
      </c>
      <c r="V58" s="417">
        <f t="shared" si="5"/>
        <v>0</v>
      </c>
      <c r="W58" s="601"/>
    </row>
    <row r="59" spans="1:198" x14ac:dyDescent="0.25">
      <c r="A59" s="423" t="s">
        <v>540</v>
      </c>
      <c r="B59" s="593"/>
      <c r="C59" s="277"/>
      <c r="D59" s="141"/>
      <c r="E59" s="143"/>
      <c r="F59" s="1095"/>
      <c r="G59" s="277"/>
      <c r="H59" s="277"/>
      <c r="I59" s="1109"/>
      <c r="J59" s="1095"/>
      <c r="K59" s="278"/>
      <c r="L59" s="142"/>
      <c r="M59" s="143"/>
      <c r="N59" s="158"/>
      <c r="O59" s="141"/>
      <c r="P59" s="141"/>
      <c r="Q59" s="1110"/>
      <c r="R59" s="172"/>
      <c r="S59" s="159">
        <v>1</v>
      </c>
      <c r="T59" s="278">
        <v>1</v>
      </c>
      <c r="U59" s="278">
        <v>1</v>
      </c>
      <c r="V59" s="417">
        <f t="shared" si="5"/>
        <v>0</v>
      </c>
      <c r="W59" s="601"/>
    </row>
    <row r="60" spans="1:198" ht="14.4" thickBot="1" x14ac:dyDescent="0.3">
      <c r="A60" s="394" t="s">
        <v>67</v>
      </c>
      <c r="B60" s="602"/>
      <c r="C60" s="1093"/>
      <c r="D60" s="1309"/>
      <c r="E60" s="348"/>
      <c r="F60" s="1097"/>
      <c r="G60" s="603"/>
      <c r="H60" s="603"/>
      <c r="I60" s="1093"/>
      <c r="J60" s="1097"/>
      <c r="K60" s="1188"/>
      <c r="L60" s="604"/>
      <c r="M60" s="348"/>
      <c r="N60" s="160"/>
      <c r="O60" s="603"/>
      <c r="P60" s="603"/>
      <c r="Q60" s="1248"/>
      <c r="R60" s="300" t="e">
        <f>#REF!+#REF!+#REF!+#REF!+#REF!+#REF!+#REF!+#REF!+#REF!+#REF!</f>
        <v>#REF!</v>
      </c>
      <c r="S60" s="183">
        <v>15</v>
      </c>
      <c r="T60" s="604">
        <v>15</v>
      </c>
      <c r="U60" s="604">
        <v>15</v>
      </c>
      <c r="V60" s="1261">
        <f t="shared" ref="V60" si="55">U60-T60</f>
        <v>0</v>
      </c>
      <c r="W60" s="601"/>
    </row>
    <row r="61" spans="1:198" x14ac:dyDescent="0.25">
      <c r="W61" s="601"/>
    </row>
  </sheetData>
  <sheetProtection selectLockedCells="1" selectUnlockedCells="1"/>
  <mergeCells count="7">
    <mergeCell ref="A6:V6"/>
    <mergeCell ref="A10:A11"/>
    <mergeCell ref="B10:E10"/>
    <mergeCell ref="F10:I10"/>
    <mergeCell ref="J10:M10"/>
    <mergeCell ref="N10:Q10"/>
    <mergeCell ref="S10:V10"/>
  </mergeCells>
  <printOptions horizontalCentered="1"/>
  <pageMargins left="2.75E-2" right="0.25" top="0.75" bottom="0.75" header="0.3" footer="0.3"/>
  <pageSetup paperSize="9" scale="44" firstPageNumber="0" fitToWidth="0" fitToHeight="0" orientation="landscape" r:id="rId1"/>
  <headerFooter alignWithMargins="0">
    <oddHeader xml:space="preserve">&amp;C
2/a. melléklet a 31/2019. (XII.13.) önkormányzati rendelethez
 az önkormányzat 2019. évi költségvetéséről szóló 6/2019. (II.28.) önkormányzati rendelet 
2/a. mellékletének helyébe a következő 2/a. melléklet lép:  
&amp;R&amp;12
&amp;P. oldal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89"/>
  <sheetViews>
    <sheetView view="pageLayout" zoomScaleNormal="100" zoomScaleSheetLayoutView="78" workbookViewId="0">
      <selection activeCell="A88" sqref="A88"/>
    </sheetView>
  </sheetViews>
  <sheetFormatPr defaultRowHeight="13.8" x14ac:dyDescent="0.25"/>
  <cols>
    <col min="1" max="1" width="77.5546875" style="112" customWidth="1"/>
    <col min="2" max="2" width="9.6640625" style="112" customWidth="1"/>
    <col min="3" max="3" width="10.44140625" style="112" customWidth="1"/>
    <col min="4" max="4" width="11" style="112" bestFit="1" customWidth="1"/>
    <col min="5" max="5" width="15.33203125" style="112" customWidth="1"/>
    <col min="6" max="6" width="14.109375" style="112" customWidth="1"/>
    <col min="7" max="7" width="15.6640625" style="112" customWidth="1"/>
    <col min="8" max="8" width="11.33203125" style="1115" customWidth="1"/>
    <col min="9" max="11" width="15.33203125" style="917" customWidth="1"/>
    <col min="12" max="12" width="14" customWidth="1"/>
    <col min="13" max="13" width="18.6640625" bestFit="1" customWidth="1"/>
  </cols>
  <sheetData>
    <row r="1" spans="1:11" ht="16.2" thickBot="1" x14ac:dyDescent="0.35">
      <c r="A1" s="1383" t="s">
        <v>603</v>
      </c>
      <c r="B1" s="1383"/>
      <c r="C1" s="1383"/>
      <c r="D1" s="1383"/>
      <c r="E1" s="1383"/>
    </row>
    <row r="2" spans="1:11" ht="26.4" customHeight="1" x14ac:dyDescent="0.25">
      <c r="A2" s="1384" t="s">
        <v>328</v>
      </c>
      <c r="B2" s="1386" t="s">
        <v>68</v>
      </c>
      <c r="C2" s="1388" t="s">
        <v>69</v>
      </c>
      <c r="D2" s="1390" t="s">
        <v>70</v>
      </c>
      <c r="E2" s="1392" t="s">
        <v>304</v>
      </c>
      <c r="F2" s="1394" t="s">
        <v>939</v>
      </c>
      <c r="G2" s="1396" t="s">
        <v>940</v>
      </c>
      <c r="H2" s="1398" t="s">
        <v>939</v>
      </c>
      <c r="I2" s="1400" t="s">
        <v>979</v>
      </c>
      <c r="J2" s="1398" t="s">
        <v>939</v>
      </c>
      <c r="K2" s="1400" t="s">
        <v>1046</v>
      </c>
    </row>
    <row r="3" spans="1:11" ht="20.25" customHeight="1" thickBot="1" x14ac:dyDescent="0.3">
      <c r="A3" s="1385"/>
      <c r="B3" s="1387"/>
      <c r="C3" s="1389"/>
      <c r="D3" s="1391"/>
      <c r="E3" s="1393"/>
      <c r="F3" s="1395"/>
      <c r="G3" s="1397"/>
      <c r="H3" s="1399"/>
      <c r="I3" s="1401"/>
      <c r="J3" s="1399"/>
      <c r="K3" s="1401"/>
    </row>
    <row r="4" spans="1:11" x14ac:dyDescent="0.25">
      <c r="A4" s="1077" t="s">
        <v>341</v>
      </c>
      <c r="B4" s="562"/>
      <c r="C4" s="565"/>
      <c r="D4" s="1078"/>
      <c r="E4" s="1079">
        <f>E5+E28</f>
        <v>522094841</v>
      </c>
      <c r="F4" s="1124">
        <f>F5+F28</f>
        <v>1655319</v>
      </c>
      <c r="G4" s="1183">
        <f t="shared" ref="G4:G10" si="0">E4+F4</f>
        <v>523750160</v>
      </c>
      <c r="H4" s="1185">
        <f>H5+H28</f>
        <v>5897834</v>
      </c>
      <c r="I4" s="1229">
        <f t="shared" ref="I4:K26" si="1">G4+H4</f>
        <v>529647994</v>
      </c>
      <c r="J4" s="1185">
        <f>J5+J28</f>
        <v>815332</v>
      </c>
      <c r="K4" s="1229">
        <f t="shared" si="1"/>
        <v>530463326</v>
      </c>
    </row>
    <row r="5" spans="1:11" x14ac:dyDescent="0.25">
      <c r="A5" s="113" t="s">
        <v>402</v>
      </c>
      <c r="B5" s="111"/>
      <c r="C5" s="114"/>
      <c r="D5" s="115"/>
      <c r="E5" s="1067">
        <f>E6+E9+E19+E20+E22+E23+E25+E26</f>
        <v>522094841</v>
      </c>
      <c r="F5" s="1125">
        <f>F6+F9+F19+F20+F22+F23+F25+F26</f>
        <v>0</v>
      </c>
      <c r="G5" s="1081">
        <f t="shared" si="0"/>
        <v>522094841</v>
      </c>
      <c r="H5" s="1313">
        <f>H6+H9+H19+H20+H22+H23+H25+H26+H27</f>
        <v>5093000</v>
      </c>
      <c r="I5" s="1225">
        <f t="shared" si="1"/>
        <v>527187841</v>
      </c>
      <c r="J5" s="1313">
        <f>J6+J9+J19+J20+J22+J23+J25+J26+J27</f>
        <v>0</v>
      </c>
      <c r="K5" s="1225">
        <f t="shared" si="1"/>
        <v>527187841</v>
      </c>
    </row>
    <row r="6" spans="1:11" x14ac:dyDescent="0.25">
      <c r="A6" s="113" t="s">
        <v>71</v>
      </c>
      <c r="B6" s="111"/>
      <c r="C6" s="116"/>
      <c r="D6" s="115"/>
      <c r="E6" s="1068">
        <f>E7</f>
        <v>179444400</v>
      </c>
      <c r="F6" s="1126">
        <f>F7</f>
        <v>0</v>
      </c>
      <c r="G6" s="1081">
        <f t="shared" si="0"/>
        <v>179444400</v>
      </c>
      <c r="H6" s="1066"/>
      <c r="I6" s="1225">
        <f t="shared" si="1"/>
        <v>179444400</v>
      </c>
      <c r="J6" s="1118"/>
      <c r="K6" s="1225">
        <f t="shared" si="1"/>
        <v>179444400</v>
      </c>
    </row>
    <row r="7" spans="1:11" x14ac:dyDescent="0.25">
      <c r="A7" s="108" t="s">
        <v>72</v>
      </c>
      <c r="B7" s="111"/>
      <c r="C7" s="117">
        <v>39.18</v>
      </c>
      <c r="D7" s="107">
        <v>4580000</v>
      </c>
      <c r="E7" s="1069">
        <f>C7*D7</f>
        <v>179444400</v>
      </c>
      <c r="F7" s="121"/>
      <c r="G7" s="1073">
        <f t="shared" si="0"/>
        <v>179444400</v>
      </c>
      <c r="H7" s="1066"/>
      <c r="I7" s="336">
        <f t="shared" si="1"/>
        <v>179444400</v>
      </c>
      <c r="J7" s="1119"/>
      <c r="K7" s="336">
        <f t="shared" si="1"/>
        <v>179444400</v>
      </c>
    </row>
    <row r="8" spans="1:11" x14ac:dyDescent="0.25">
      <c r="A8" s="108" t="s">
        <v>74</v>
      </c>
      <c r="B8" s="111"/>
      <c r="C8" s="116"/>
      <c r="D8" s="115"/>
      <c r="E8" s="1070">
        <v>0</v>
      </c>
      <c r="F8" s="121"/>
      <c r="G8" s="1073">
        <f t="shared" si="0"/>
        <v>0</v>
      </c>
      <c r="H8" s="1066"/>
      <c r="I8" s="1225">
        <f t="shared" si="1"/>
        <v>0</v>
      </c>
      <c r="J8" s="1118"/>
      <c r="K8" s="1225">
        <f t="shared" si="1"/>
        <v>0</v>
      </c>
    </row>
    <row r="9" spans="1:11" x14ac:dyDescent="0.25">
      <c r="A9" s="337" t="s">
        <v>374</v>
      </c>
      <c r="B9" s="111"/>
      <c r="C9" s="116"/>
      <c r="D9" s="115"/>
      <c r="E9" s="1068">
        <f>E10+E11+E12+E13+E14+E15+E16+E17</f>
        <v>0</v>
      </c>
      <c r="F9" s="1126">
        <f>F10+F11+F12+F13+F14+F15+F16+F17</f>
        <v>0</v>
      </c>
      <c r="G9" s="1081">
        <f t="shared" si="0"/>
        <v>0</v>
      </c>
      <c r="H9" s="1066"/>
      <c r="I9" s="1225">
        <f t="shared" si="1"/>
        <v>0</v>
      </c>
      <c r="J9" s="1118"/>
      <c r="K9" s="1225">
        <f t="shared" si="1"/>
        <v>0</v>
      </c>
    </row>
    <row r="10" spans="1:11" x14ac:dyDescent="0.25">
      <c r="A10" s="118" t="s">
        <v>491</v>
      </c>
      <c r="B10" s="111"/>
      <c r="C10" s="117">
        <v>705.5</v>
      </c>
      <c r="D10" s="107">
        <v>22300</v>
      </c>
      <c r="E10" s="1069">
        <f>C10*D10</f>
        <v>15732650</v>
      </c>
      <c r="F10" s="121"/>
      <c r="G10" s="1073">
        <f t="shared" si="0"/>
        <v>15732650</v>
      </c>
      <c r="H10" s="1066"/>
      <c r="I10" s="336">
        <f t="shared" si="1"/>
        <v>15732650</v>
      </c>
      <c r="J10" s="1119"/>
      <c r="K10" s="336">
        <f t="shared" si="1"/>
        <v>15732650</v>
      </c>
    </row>
    <row r="11" spans="1:11" x14ac:dyDescent="0.25">
      <c r="A11" s="118" t="s">
        <v>74</v>
      </c>
      <c r="B11" s="111"/>
      <c r="C11" s="116"/>
      <c r="D11" s="115"/>
      <c r="E11" s="1070">
        <f>-E10</f>
        <v>-15732650</v>
      </c>
      <c r="F11" s="121"/>
      <c r="G11" s="1073">
        <f t="shared" ref="G11:G39" si="2">E11+F11</f>
        <v>-15732650</v>
      </c>
      <c r="H11" s="1066"/>
      <c r="I11" s="336">
        <f t="shared" si="1"/>
        <v>-15732650</v>
      </c>
      <c r="J11" s="1119"/>
      <c r="K11" s="336">
        <f t="shared" si="1"/>
        <v>-15732650</v>
      </c>
    </row>
    <row r="12" spans="1:11" x14ac:dyDescent="0.25">
      <c r="A12" s="118" t="s">
        <v>75</v>
      </c>
      <c r="B12" s="111"/>
      <c r="C12" s="114"/>
      <c r="D12" s="115"/>
      <c r="E12" s="1069">
        <v>58360000</v>
      </c>
      <c r="F12" s="121"/>
      <c r="G12" s="1073">
        <f t="shared" si="2"/>
        <v>58360000</v>
      </c>
      <c r="H12" s="1066"/>
      <c r="I12" s="336">
        <f t="shared" si="1"/>
        <v>58360000</v>
      </c>
      <c r="J12" s="1119"/>
      <c r="K12" s="336">
        <f t="shared" si="1"/>
        <v>58360000</v>
      </c>
    </row>
    <row r="13" spans="1:11" x14ac:dyDescent="0.25">
      <c r="A13" s="118" t="s">
        <v>74</v>
      </c>
      <c r="B13" s="111"/>
      <c r="C13" s="114"/>
      <c r="D13" s="115"/>
      <c r="E13" s="1070">
        <f>-E12</f>
        <v>-58360000</v>
      </c>
      <c r="F13" s="121"/>
      <c r="G13" s="1073">
        <f t="shared" si="2"/>
        <v>-58360000</v>
      </c>
      <c r="H13" s="1066"/>
      <c r="I13" s="336">
        <f t="shared" si="1"/>
        <v>-58360000</v>
      </c>
      <c r="J13" s="1119"/>
      <c r="K13" s="336">
        <f t="shared" si="1"/>
        <v>-58360000</v>
      </c>
    </row>
    <row r="14" spans="1:11" x14ac:dyDescent="0.25">
      <c r="A14" s="118" t="s">
        <v>76</v>
      </c>
      <c r="B14" s="111"/>
      <c r="C14" s="114"/>
      <c r="D14" s="115"/>
      <c r="E14" s="1069">
        <v>2176616</v>
      </c>
      <c r="F14" s="121"/>
      <c r="G14" s="1073">
        <f t="shared" si="2"/>
        <v>2176616</v>
      </c>
      <c r="H14" s="1066"/>
      <c r="I14" s="336">
        <f t="shared" si="1"/>
        <v>2176616</v>
      </c>
      <c r="J14" s="1119"/>
      <c r="K14" s="336">
        <f t="shared" si="1"/>
        <v>2176616</v>
      </c>
    </row>
    <row r="15" spans="1:11" x14ac:dyDescent="0.25">
      <c r="A15" s="118" t="s">
        <v>74</v>
      </c>
      <c r="B15" s="111"/>
      <c r="C15" s="114"/>
      <c r="D15" s="115"/>
      <c r="E15" s="1070">
        <f>-E14</f>
        <v>-2176616</v>
      </c>
      <c r="F15" s="121"/>
      <c r="G15" s="1073">
        <f t="shared" si="2"/>
        <v>-2176616</v>
      </c>
      <c r="H15" s="1066"/>
      <c r="I15" s="336">
        <f t="shared" si="1"/>
        <v>-2176616</v>
      </c>
      <c r="J15" s="1119"/>
      <c r="K15" s="336">
        <f t="shared" si="1"/>
        <v>-2176616</v>
      </c>
    </row>
    <row r="16" spans="1:11" x14ac:dyDescent="0.25">
      <c r="A16" s="118" t="s">
        <v>77</v>
      </c>
      <c r="B16" s="111"/>
      <c r="C16" s="114"/>
      <c r="D16" s="115"/>
      <c r="E16" s="1069">
        <v>22310850</v>
      </c>
      <c r="F16" s="121"/>
      <c r="G16" s="1073">
        <f t="shared" si="2"/>
        <v>22310850</v>
      </c>
      <c r="H16" s="1066"/>
      <c r="I16" s="336">
        <f t="shared" si="1"/>
        <v>22310850</v>
      </c>
      <c r="J16" s="1119"/>
      <c r="K16" s="336">
        <f t="shared" si="1"/>
        <v>22310850</v>
      </c>
    </row>
    <row r="17" spans="1:13" x14ac:dyDescent="0.25">
      <c r="A17" s="118" t="s">
        <v>74</v>
      </c>
      <c r="B17" s="111"/>
      <c r="C17" s="114"/>
      <c r="D17" s="115"/>
      <c r="E17" s="1070">
        <f>-E16</f>
        <v>-22310850</v>
      </c>
      <c r="F17" s="121"/>
      <c r="G17" s="1073">
        <f t="shared" si="2"/>
        <v>-22310850</v>
      </c>
      <c r="H17" s="1066"/>
      <c r="I17" s="336">
        <f t="shared" si="1"/>
        <v>-22310850</v>
      </c>
      <c r="J17" s="1119"/>
      <c r="K17" s="336">
        <f t="shared" si="1"/>
        <v>-22310850</v>
      </c>
    </row>
    <row r="18" spans="1:13" x14ac:dyDescent="0.25">
      <c r="A18" s="113" t="s">
        <v>375</v>
      </c>
      <c r="B18" s="111"/>
      <c r="C18" s="114"/>
      <c r="D18" s="115"/>
      <c r="E18" s="1067">
        <f>E19+E20</f>
        <v>0</v>
      </c>
      <c r="F18" s="338"/>
      <c r="G18" s="1081">
        <f t="shared" si="2"/>
        <v>0</v>
      </c>
      <c r="H18" s="1066"/>
      <c r="I18" s="336">
        <f t="shared" si="1"/>
        <v>0</v>
      </c>
      <c r="J18" s="1119"/>
      <c r="K18" s="336">
        <f t="shared" si="1"/>
        <v>0</v>
      </c>
    </row>
    <row r="19" spans="1:13" x14ac:dyDescent="0.25">
      <c r="A19" s="108" t="s">
        <v>331</v>
      </c>
      <c r="B19" s="110"/>
      <c r="C19" s="110">
        <v>13768</v>
      </c>
      <c r="D19" s="107">
        <v>2700</v>
      </c>
      <c r="E19" s="1069">
        <f>C19*D19</f>
        <v>37173600</v>
      </c>
      <c r="F19" s="121"/>
      <c r="G19" s="1073">
        <f t="shared" si="2"/>
        <v>37173600</v>
      </c>
      <c r="H19" s="1066"/>
      <c r="I19" s="336">
        <f t="shared" si="1"/>
        <v>37173600</v>
      </c>
      <c r="J19" s="1119"/>
      <c r="K19" s="336">
        <f t="shared" si="1"/>
        <v>37173600</v>
      </c>
      <c r="M19" t="s">
        <v>74</v>
      </c>
    </row>
    <row r="20" spans="1:13" x14ac:dyDescent="0.25">
      <c r="A20" s="118" t="s">
        <v>74</v>
      </c>
      <c r="B20" s="111"/>
      <c r="C20" s="119"/>
      <c r="D20" s="107"/>
      <c r="E20" s="1069">
        <f>-E19</f>
        <v>-37173600</v>
      </c>
      <c r="F20" s="121"/>
      <c r="G20" s="1073">
        <f t="shared" si="2"/>
        <v>-37173600</v>
      </c>
      <c r="H20" s="1066"/>
      <c r="I20" s="336">
        <f t="shared" si="1"/>
        <v>-37173600</v>
      </c>
      <c r="J20" s="1119"/>
      <c r="K20" s="336">
        <f t="shared" si="1"/>
        <v>-37173600</v>
      </c>
      <c r="M20" s="320">
        <f>G20+G23+G26+G17+G15+G13+G11</f>
        <v>-168006743</v>
      </c>
    </row>
    <row r="21" spans="1:13" x14ac:dyDescent="0.25">
      <c r="A21" s="113" t="s">
        <v>376</v>
      </c>
      <c r="B21" s="111"/>
      <c r="C21" s="119"/>
      <c r="D21" s="107"/>
      <c r="E21" s="1068">
        <f>E22+E23</f>
        <v>0</v>
      </c>
      <c r="F21" s="338"/>
      <c r="G21" s="1081">
        <f t="shared" si="2"/>
        <v>0</v>
      </c>
      <c r="H21" s="1066"/>
      <c r="I21" s="336">
        <f t="shared" si="1"/>
        <v>0</v>
      </c>
      <c r="J21" s="1119"/>
      <c r="K21" s="336">
        <f t="shared" si="1"/>
        <v>0</v>
      </c>
    </row>
    <row r="22" spans="1:13" x14ac:dyDescent="0.25">
      <c r="A22" s="108" t="s">
        <v>97</v>
      </c>
      <c r="B22" s="111"/>
      <c r="C22" s="119">
        <v>117</v>
      </c>
      <c r="D22" s="120">
        <v>2550</v>
      </c>
      <c r="E22" s="1071">
        <v>298350</v>
      </c>
      <c r="F22" s="121"/>
      <c r="G22" s="1073">
        <f t="shared" si="2"/>
        <v>298350</v>
      </c>
      <c r="H22" s="1066"/>
      <c r="I22" s="336">
        <f t="shared" si="1"/>
        <v>298350</v>
      </c>
      <c r="J22" s="1119"/>
      <c r="K22" s="336">
        <f t="shared" si="1"/>
        <v>298350</v>
      </c>
    </row>
    <row r="23" spans="1:13" x14ac:dyDescent="0.25">
      <c r="A23" s="118" t="s">
        <v>74</v>
      </c>
      <c r="B23" s="111"/>
      <c r="C23" s="114"/>
      <c r="D23" s="335"/>
      <c r="E23" s="1059">
        <f>-E22</f>
        <v>-298350</v>
      </c>
      <c r="F23" s="121"/>
      <c r="G23" s="1073">
        <f t="shared" si="2"/>
        <v>-298350</v>
      </c>
      <c r="H23" s="1066"/>
      <c r="I23" s="336">
        <f t="shared" si="1"/>
        <v>-298350</v>
      </c>
      <c r="J23" s="1119"/>
      <c r="K23" s="336">
        <f t="shared" si="1"/>
        <v>-298350</v>
      </c>
    </row>
    <row r="24" spans="1:13" x14ac:dyDescent="0.25">
      <c r="A24" s="338" t="s">
        <v>377</v>
      </c>
      <c r="B24" s="111"/>
      <c r="C24" s="119"/>
      <c r="D24" s="107"/>
      <c r="E24" s="1072">
        <f>SUM(E25:E26)</f>
        <v>342650441</v>
      </c>
      <c r="F24" s="1127">
        <f>SUM(F25:F26)</f>
        <v>0</v>
      </c>
      <c r="G24" s="1081">
        <f t="shared" si="2"/>
        <v>342650441</v>
      </c>
      <c r="H24" s="1127">
        <f>SUM(H25:H26)</f>
        <v>0</v>
      </c>
      <c r="I24" s="1225">
        <f t="shared" si="1"/>
        <v>342650441</v>
      </c>
      <c r="J24" s="1127">
        <f>SUM(J25:J26)</f>
        <v>0</v>
      </c>
      <c r="K24" s="1225">
        <f t="shared" si="1"/>
        <v>342650441</v>
      </c>
    </row>
    <row r="25" spans="1:13" x14ac:dyDescent="0.25">
      <c r="A25" s="121" t="s">
        <v>378</v>
      </c>
      <c r="B25" s="111"/>
      <c r="C25" s="119"/>
      <c r="D25" s="107"/>
      <c r="E25" s="1073">
        <v>374605118</v>
      </c>
      <c r="F25" s="121"/>
      <c r="G25" s="1073">
        <f t="shared" si="2"/>
        <v>374605118</v>
      </c>
      <c r="H25" s="1066"/>
      <c r="I25" s="336">
        <f t="shared" si="1"/>
        <v>374605118</v>
      </c>
      <c r="J25" s="1119"/>
      <c r="K25" s="336">
        <f t="shared" si="1"/>
        <v>374605118</v>
      </c>
    </row>
    <row r="26" spans="1:13" x14ac:dyDescent="0.25">
      <c r="A26" s="118" t="s">
        <v>74</v>
      </c>
      <c r="B26" s="111"/>
      <c r="C26" s="119"/>
      <c r="D26" s="107"/>
      <c r="E26" s="1069">
        <v>-31954677</v>
      </c>
      <c r="F26" s="121"/>
      <c r="G26" s="1073">
        <f t="shared" si="2"/>
        <v>-31954677</v>
      </c>
      <c r="H26" s="1066"/>
      <c r="I26" s="336">
        <f t="shared" si="1"/>
        <v>-31954677</v>
      </c>
      <c r="J26" s="1119"/>
      <c r="K26" s="336">
        <f t="shared" si="1"/>
        <v>-31954677</v>
      </c>
    </row>
    <row r="27" spans="1:13" x14ac:dyDescent="0.25">
      <c r="A27" s="337" t="s">
        <v>986</v>
      </c>
      <c r="B27" s="111"/>
      <c r="C27" s="119"/>
      <c r="D27" s="107"/>
      <c r="E27" s="1069"/>
      <c r="F27" s="121"/>
      <c r="G27" s="1073"/>
      <c r="H27" s="1314">
        <v>5093000</v>
      </c>
      <c r="I27" s="1225">
        <f>G27+H27</f>
        <v>5093000</v>
      </c>
      <c r="J27" s="1314"/>
      <c r="K27" s="1225">
        <f>I27+J27</f>
        <v>5093000</v>
      </c>
    </row>
    <row r="28" spans="1:13" x14ac:dyDescent="0.25">
      <c r="A28" s="337" t="s">
        <v>604</v>
      </c>
      <c r="B28" s="111"/>
      <c r="C28" s="114"/>
      <c r="D28" s="115"/>
      <c r="E28" s="1068">
        <v>0</v>
      </c>
      <c r="F28" s="1118">
        <v>1655319</v>
      </c>
      <c r="G28" s="1081">
        <f t="shared" si="2"/>
        <v>1655319</v>
      </c>
      <c r="H28" s="1314">
        <f>I28-G28</f>
        <v>804834</v>
      </c>
      <c r="I28" s="1225">
        <v>2460153</v>
      </c>
      <c r="J28" s="1314">
        <f>K28-I28</f>
        <v>815332</v>
      </c>
      <c r="K28" s="1225">
        <v>3275485</v>
      </c>
    </row>
    <row r="29" spans="1:13" x14ac:dyDescent="0.25">
      <c r="A29" s="118"/>
      <c r="B29" s="111"/>
      <c r="C29" s="119"/>
      <c r="D29" s="107"/>
      <c r="E29" s="1069"/>
      <c r="F29" s="121"/>
      <c r="G29" s="1073">
        <f t="shared" si="2"/>
        <v>0</v>
      </c>
      <c r="H29" s="1066"/>
      <c r="I29" s="336"/>
      <c r="J29" s="1119"/>
      <c r="K29" s="336"/>
    </row>
    <row r="30" spans="1:13" x14ac:dyDescent="0.25">
      <c r="A30" s="113" t="s">
        <v>379</v>
      </c>
      <c r="B30" s="111"/>
      <c r="C30" s="119"/>
      <c r="D30" s="107"/>
      <c r="E30" s="1074">
        <f>SUM(E31:E39)+1</f>
        <v>254728334.33333331</v>
      </c>
      <c r="F30" s="1128">
        <f>F31+F32+F33+F34+F36+F37+F38+F39</f>
        <v>-647801</v>
      </c>
      <c r="G30" s="1081">
        <f t="shared" si="2"/>
        <v>254080533.33333331</v>
      </c>
      <c r="H30" s="1120">
        <f>H31+H32+H33+H34+H36+H37+H38+H39+H35</f>
        <v>5070000</v>
      </c>
      <c r="I30" s="1225">
        <f t="shared" ref="I30:K34" si="3">G30+H30</f>
        <v>259150533.33333331</v>
      </c>
      <c r="J30" s="1120">
        <f>J31+J32+J33+J34+J36+J37+J38+J39+J35</f>
        <v>869307</v>
      </c>
      <c r="K30" s="1225">
        <f t="shared" si="3"/>
        <v>260019840.33333331</v>
      </c>
    </row>
    <row r="31" spans="1:13" x14ac:dyDescent="0.25">
      <c r="A31" s="108" t="s">
        <v>90</v>
      </c>
      <c r="B31" s="110">
        <v>35.299999999999997</v>
      </c>
      <c r="C31" s="122">
        <f>B31/12*8</f>
        <v>23.533333333333331</v>
      </c>
      <c r="D31" s="107">
        <v>4371500</v>
      </c>
      <c r="E31" s="1075">
        <f>C31*D31</f>
        <v>102875966.66666666</v>
      </c>
      <c r="F31" s="121">
        <v>-582867</v>
      </c>
      <c r="G31" s="1073">
        <f t="shared" si="2"/>
        <v>102293099.66666666</v>
      </c>
      <c r="H31" s="1066"/>
      <c r="I31" s="336">
        <f t="shared" si="3"/>
        <v>102293099.66666666</v>
      </c>
      <c r="J31" s="1119"/>
      <c r="K31" s="336">
        <f t="shared" si="3"/>
        <v>102293099.66666666</v>
      </c>
    </row>
    <row r="32" spans="1:13" x14ac:dyDescent="0.25">
      <c r="A32" s="108" t="s">
        <v>91</v>
      </c>
      <c r="B32" s="110">
        <v>26</v>
      </c>
      <c r="C32" s="122">
        <f>B32/12*8</f>
        <v>17.333333333333332</v>
      </c>
      <c r="D32" s="107">
        <v>2205000</v>
      </c>
      <c r="E32" s="1075">
        <f t="shared" ref="E32:E39" si="4">C32*D32</f>
        <v>38220000</v>
      </c>
      <c r="F32" s="121"/>
      <c r="G32" s="1073">
        <f t="shared" si="2"/>
        <v>38220000</v>
      </c>
      <c r="H32" s="1066"/>
      <c r="I32" s="336">
        <f t="shared" si="3"/>
        <v>38220000</v>
      </c>
      <c r="J32" s="1119"/>
      <c r="K32" s="336">
        <f t="shared" si="3"/>
        <v>38220000</v>
      </c>
    </row>
    <row r="33" spans="1:11" x14ac:dyDescent="0.25">
      <c r="A33" s="108" t="s">
        <v>92</v>
      </c>
      <c r="B33" s="110">
        <v>35</v>
      </c>
      <c r="C33" s="122">
        <f>B33/12*4</f>
        <v>11.666666666666666</v>
      </c>
      <c r="D33" s="107">
        <v>4371500</v>
      </c>
      <c r="E33" s="1075">
        <f t="shared" si="4"/>
        <v>51000833.333333328</v>
      </c>
      <c r="F33" s="121"/>
      <c r="G33" s="1073">
        <f t="shared" si="2"/>
        <v>51000833.333333328</v>
      </c>
      <c r="H33" s="1066"/>
      <c r="I33" s="336">
        <f t="shared" si="3"/>
        <v>51000833.333333328</v>
      </c>
      <c r="J33" s="1119">
        <v>728584</v>
      </c>
      <c r="K33" s="336">
        <f t="shared" si="3"/>
        <v>51729417.333333328</v>
      </c>
    </row>
    <row r="34" spans="1:11" x14ac:dyDescent="0.25">
      <c r="A34" s="108" t="s">
        <v>93</v>
      </c>
      <c r="B34" s="110">
        <v>26</v>
      </c>
      <c r="C34" s="122">
        <f>B34/12*4</f>
        <v>8.6666666666666661</v>
      </c>
      <c r="D34" s="107">
        <v>2205000</v>
      </c>
      <c r="E34" s="1075">
        <f t="shared" si="4"/>
        <v>19110000</v>
      </c>
      <c r="F34" s="121"/>
      <c r="G34" s="1073">
        <f t="shared" si="2"/>
        <v>19110000</v>
      </c>
      <c r="H34" s="1066"/>
      <c r="I34" s="336">
        <f t="shared" si="3"/>
        <v>19110000</v>
      </c>
      <c r="J34" s="1119"/>
      <c r="K34" s="336">
        <f t="shared" si="3"/>
        <v>19110000</v>
      </c>
    </row>
    <row r="35" spans="1:11" x14ac:dyDescent="0.25">
      <c r="A35" s="118" t="s">
        <v>987</v>
      </c>
      <c r="B35" s="110"/>
      <c r="C35" s="122"/>
      <c r="D35" s="107"/>
      <c r="E35" s="1075"/>
      <c r="F35" s="121"/>
      <c r="G35" s="1073"/>
      <c r="H35" s="1066">
        <v>5070000</v>
      </c>
      <c r="I35" s="336">
        <f>G35+H35</f>
        <v>5070000</v>
      </c>
      <c r="J35" s="1119"/>
      <c r="K35" s="336">
        <f>I35+J35</f>
        <v>5070000</v>
      </c>
    </row>
    <row r="36" spans="1:11" x14ac:dyDescent="0.25">
      <c r="A36" s="108" t="s">
        <v>35</v>
      </c>
      <c r="B36" s="110">
        <v>383</v>
      </c>
      <c r="C36" s="122">
        <f>B36/12*8</f>
        <v>255.33333333333334</v>
      </c>
      <c r="D36" s="107">
        <v>97400</v>
      </c>
      <c r="E36" s="1075">
        <f t="shared" si="4"/>
        <v>24869466.666666668</v>
      </c>
      <c r="F36" s="121">
        <v>-64934</v>
      </c>
      <c r="G36" s="1073">
        <f t="shared" si="2"/>
        <v>24804532.666666668</v>
      </c>
      <c r="H36" s="1066"/>
      <c r="I36" s="336">
        <f t="shared" ref="I36:K39" si="5">G36+H36</f>
        <v>24804532.666666668</v>
      </c>
      <c r="J36" s="1119"/>
      <c r="K36" s="336">
        <f t="shared" si="5"/>
        <v>24804532.666666668</v>
      </c>
    </row>
    <row r="37" spans="1:11" x14ac:dyDescent="0.25">
      <c r="A37" s="108" t="s">
        <v>36</v>
      </c>
      <c r="B37" s="110">
        <v>379</v>
      </c>
      <c r="C37" s="122">
        <f>B37/12*4</f>
        <v>126.33333333333333</v>
      </c>
      <c r="D37" s="107">
        <v>97400</v>
      </c>
      <c r="E37" s="1075">
        <f t="shared" si="4"/>
        <v>12304866.666666666</v>
      </c>
      <c r="F37" s="121"/>
      <c r="G37" s="1073">
        <f t="shared" si="2"/>
        <v>12304866.666666666</v>
      </c>
      <c r="H37" s="1066"/>
      <c r="I37" s="336">
        <f t="shared" si="5"/>
        <v>12304866.666666666</v>
      </c>
      <c r="J37" s="1119">
        <v>259733</v>
      </c>
      <c r="K37" s="336">
        <f t="shared" si="5"/>
        <v>12564599.666666666</v>
      </c>
    </row>
    <row r="38" spans="1:11" x14ac:dyDescent="0.25">
      <c r="A38" s="121" t="s">
        <v>508</v>
      </c>
      <c r="B38" s="110">
        <v>16</v>
      </c>
      <c r="C38" s="110">
        <v>16</v>
      </c>
      <c r="D38" s="107">
        <v>396700</v>
      </c>
      <c r="E38" s="1075">
        <f t="shared" si="4"/>
        <v>6347200</v>
      </c>
      <c r="F38" s="121"/>
      <c r="G38" s="1073">
        <f t="shared" si="2"/>
        <v>6347200</v>
      </c>
      <c r="H38" s="1066"/>
      <c r="I38" s="336">
        <f t="shared" si="5"/>
        <v>6347200</v>
      </c>
      <c r="J38" s="1119">
        <v>-119010</v>
      </c>
      <c r="K38" s="336">
        <f t="shared" si="5"/>
        <v>6228190</v>
      </c>
    </row>
    <row r="39" spans="1:11" ht="28.2" thickBot="1" x14ac:dyDescent="0.3">
      <c r="A39" s="424" t="s">
        <v>537</v>
      </c>
      <c r="B39" s="137">
        <v>0</v>
      </c>
      <c r="C39" s="137">
        <v>0</v>
      </c>
      <c r="D39" s="425">
        <v>363642</v>
      </c>
      <c r="E39" s="1076">
        <f t="shared" si="4"/>
        <v>0</v>
      </c>
      <c r="F39" s="1230"/>
      <c r="G39" s="1223">
        <f t="shared" si="2"/>
        <v>0</v>
      </c>
      <c r="H39" s="1123"/>
      <c r="I39" s="1231">
        <f t="shared" si="5"/>
        <v>0</v>
      </c>
      <c r="J39" s="1321"/>
      <c r="K39" s="1231">
        <f t="shared" si="5"/>
        <v>0</v>
      </c>
    </row>
    <row r="40" spans="1:11" ht="12.75" customHeight="1" x14ac:dyDescent="0.25">
      <c r="A40" s="1384" t="s">
        <v>328</v>
      </c>
      <c r="B40" s="1386" t="s">
        <v>68</v>
      </c>
      <c r="C40" s="1388" t="s">
        <v>69</v>
      </c>
      <c r="D40" s="1390" t="s">
        <v>70</v>
      </c>
      <c r="E40" s="1392" t="s">
        <v>304</v>
      </c>
      <c r="F40" s="1394" t="s">
        <v>939</v>
      </c>
      <c r="G40" s="1396" t="s">
        <v>940</v>
      </c>
      <c r="H40" s="1398" t="s">
        <v>939</v>
      </c>
      <c r="I40" s="1400" t="s">
        <v>979</v>
      </c>
      <c r="J40" s="1398" t="s">
        <v>939</v>
      </c>
      <c r="K40" s="1400" t="s">
        <v>1046</v>
      </c>
    </row>
    <row r="41" spans="1:11" ht="39" customHeight="1" thickBot="1" x14ac:dyDescent="0.3">
      <c r="A41" s="1385"/>
      <c r="B41" s="1387"/>
      <c r="C41" s="1389"/>
      <c r="D41" s="1391"/>
      <c r="E41" s="1393"/>
      <c r="F41" s="1395"/>
      <c r="G41" s="1397"/>
      <c r="H41" s="1399"/>
      <c r="I41" s="1401"/>
      <c r="J41" s="1399"/>
      <c r="K41" s="1401"/>
    </row>
    <row r="42" spans="1:11" x14ac:dyDescent="0.25">
      <c r="A42" s="1077" t="s">
        <v>342</v>
      </c>
      <c r="B42" s="562"/>
      <c r="C42" s="1083"/>
      <c r="D42" s="1084"/>
      <c r="E42" s="1085">
        <f>E43+E46+E62+E67+E71</f>
        <v>215151670</v>
      </c>
      <c r="F42" s="1129">
        <f>F43+F46+F62+F67+F71</f>
        <v>10418225</v>
      </c>
      <c r="G42" s="1081">
        <f t="shared" ref="G42:G43" si="6">E42+F42</f>
        <v>225569895</v>
      </c>
      <c r="H42" s="1315">
        <f>H43+H46+H62+H67+H71</f>
        <v>27375476</v>
      </c>
      <c r="I42" s="1229">
        <f>G42+H42</f>
        <v>252945371</v>
      </c>
      <c r="J42" s="1315">
        <f>J43+J46+J62+J67+J71</f>
        <v>3513363</v>
      </c>
      <c r="K42" s="1229">
        <f>I42+J42</f>
        <v>256458734</v>
      </c>
    </row>
    <row r="43" spans="1:11" x14ac:dyDescent="0.25">
      <c r="A43" s="113" t="s">
        <v>78</v>
      </c>
      <c r="B43" s="111"/>
      <c r="C43" s="119"/>
      <c r="D43" s="107"/>
      <c r="E43" s="1074">
        <f>SUM(E44:E45)</f>
        <v>0</v>
      </c>
      <c r="F43" s="121"/>
      <c r="G43" s="1073">
        <f t="shared" si="6"/>
        <v>0</v>
      </c>
      <c r="H43" s="1066"/>
      <c r="I43" s="336"/>
      <c r="J43" s="1119"/>
      <c r="K43" s="336"/>
    </row>
    <row r="44" spans="1:11" x14ac:dyDescent="0.25">
      <c r="A44" s="108" t="s">
        <v>333</v>
      </c>
      <c r="B44" s="111"/>
      <c r="C44" s="119"/>
      <c r="D44" s="107"/>
      <c r="E44" s="1075"/>
      <c r="F44" s="121"/>
      <c r="G44" s="1182"/>
      <c r="H44" s="1066"/>
      <c r="I44" s="336"/>
      <c r="J44" s="1119"/>
      <c r="K44" s="336"/>
    </row>
    <row r="45" spans="1:11" x14ac:dyDescent="0.25">
      <c r="A45" s="108" t="s">
        <v>332</v>
      </c>
      <c r="B45" s="111"/>
      <c r="C45" s="119"/>
      <c r="D45" s="107"/>
      <c r="E45" s="1075"/>
      <c r="F45" s="121"/>
      <c r="G45" s="1182"/>
      <c r="H45" s="1066"/>
      <c r="I45" s="336"/>
      <c r="J45" s="1119"/>
      <c r="K45" s="336"/>
    </row>
    <row r="46" spans="1:11" x14ac:dyDescent="0.25">
      <c r="A46" s="113" t="s">
        <v>79</v>
      </c>
      <c r="B46" s="110"/>
      <c r="C46" s="119"/>
      <c r="D46" s="107"/>
      <c r="E46" s="1074">
        <f>E47+E48+E50+E52+E54+E56+E53+E61</f>
        <v>93465615</v>
      </c>
      <c r="F46" s="1128">
        <f>F47+F48+F50+F52+F54+F56+F53+F61</f>
        <v>0</v>
      </c>
      <c r="G46" s="1081">
        <f>E46+F46</f>
        <v>93465615</v>
      </c>
      <c r="H46" s="1120">
        <f>H47+H48+H50+H52+H54+H56+H53+H61+H49+H51+H55+H60</f>
        <v>14618000</v>
      </c>
      <c r="I46" s="1225">
        <f>H46+G46</f>
        <v>108083615</v>
      </c>
      <c r="J46" s="1120">
        <f>J47+J48+J50+J52+J54+J56+J53+J61+J49+J51+J55+J60</f>
        <v>-1819680</v>
      </c>
      <c r="K46" s="1225">
        <f>J46+I46</f>
        <v>106263935</v>
      </c>
    </row>
    <row r="47" spans="1:11" ht="14.4" x14ac:dyDescent="0.3">
      <c r="A47" s="339" t="s">
        <v>380</v>
      </c>
      <c r="B47" s="110"/>
      <c r="C47" s="117">
        <v>7.6</v>
      </c>
      <c r="D47" s="107">
        <v>3400000</v>
      </c>
      <c r="E47" s="1075">
        <f>C47*D47</f>
        <v>25840000</v>
      </c>
      <c r="F47" s="121"/>
      <c r="G47" s="1073">
        <f>E47+F47</f>
        <v>25840000</v>
      </c>
      <c r="H47" s="1066"/>
      <c r="I47" s="336">
        <f t="shared" ref="I47:K63" si="7">H47+G47</f>
        <v>25840000</v>
      </c>
      <c r="J47" s="1119"/>
      <c r="K47" s="336">
        <f t="shared" si="7"/>
        <v>25840000</v>
      </c>
    </row>
    <row r="48" spans="1:11" ht="14.4" x14ac:dyDescent="0.3">
      <c r="A48" s="339" t="s">
        <v>381</v>
      </c>
      <c r="B48" s="110"/>
      <c r="C48" s="117">
        <v>4.7</v>
      </c>
      <c r="D48" s="107">
        <v>3300000</v>
      </c>
      <c r="E48" s="1075">
        <f>C48*D48</f>
        <v>15510000</v>
      </c>
      <c r="F48" s="121"/>
      <c r="G48" s="1073">
        <f t="shared" ref="G48:G89" si="8">E48+F48</f>
        <v>15510000</v>
      </c>
      <c r="H48" s="1066"/>
      <c r="I48" s="336">
        <f t="shared" si="7"/>
        <v>15510000</v>
      </c>
      <c r="J48" s="1119"/>
      <c r="K48" s="336">
        <f t="shared" si="7"/>
        <v>15510000</v>
      </c>
    </row>
    <row r="49" spans="1:11" ht="14.4" x14ac:dyDescent="0.3">
      <c r="A49" s="339" t="s">
        <v>988</v>
      </c>
      <c r="B49" s="110"/>
      <c r="C49" s="117"/>
      <c r="D49" s="107"/>
      <c r="E49" s="1075"/>
      <c r="F49" s="121"/>
      <c r="G49" s="1073"/>
      <c r="H49" s="1066">
        <v>2888000</v>
      </c>
      <c r="I49" s="336">
        <f t="shared" si="7"/>
        <v>2888000</v>
      </c>
      <c r="J49" s="1119"/>
      <c r="K49" s="336">
        <f t="shared" si="7"/>
        <v>2888000</v>
      </c>
    </row>
    <row r="50" spans="1:11" x14ac:dyDescent="0.25">
      <c r="A50" s="108" t="s">
        <v>83</v>
      </c>
      <c r="B50" s="110">
        <v>92</v>
      </c>
      <c r="C50" s="119">
        <v>92</v>
      </c>
      <c r="D50" s="107">
        <v>55360</v>
      </c>
      <c r="E50" s="1075">
        <f>C50*D50</f>
        <v>5093120</v>
      </c>
      <c r="F50" s="121"/>
      <c r="G50" s="1073">
        <f t="shared" si="8"/>
        <v>5093120</v>
      </c>
      <c r="H50" s="1066"/>
      <c r="I50" s="336">
        <f t="shared" si="7"/>
        <v>5093120</v>
      </c>
      <c r="J50" s="1119">
        <v>-719680</v>
      </c>
      <c r="K50" s="336">
        <f t="shared" si="7"/>
        <v>4373440</v>
      </c>
    </row>
    <row r="51" spans="1:11" x14ac:dyDescent="0.25">
      <c r="A51" s="108" t="s">
        <v>989</v>
      </c>
      <c r="B51" s="110"/>
      <c r="C51" s="119"/>
      <c r="D51" s="107"/>
      <c r="E51" s="1075"/>
      <c r="F51" s="121"/>
      <c r="G51" s="1073"/>
      <c r="H51" s="1066">
        <v>920000</v>
      </c>
      <c r="I51" s="336">
        <f t="shared" si="7"/>
        <v>920000</v>
      </c>
      <c r="J51" s="1119"/>
      <c r="K51" s="336">
        <f t="shared" si="7"/>
        <v>920000</v>
      </c>
    </row>
    <row r="52" spans="1:11" x14ac:dyDescent="0.25">
      <c r="A52" s="108" t="s">
        <v>492</v>
      </c>
      <c r="B52" s="110">
        <v>2</v>
      </c>
      <c r="C52" s="119">
        <v>2</v>
      </c>
      <c r="D52" s="107">
        <v>25000</v>
      </c>
      <c r="E52" s="1075">
        <f>C52*D52</f>
        <v>50000</v>
      </c>
      <c r="F52" s="121"/>
      <c r="G52" s="1073">
        <f t="shared" si="8"/>
        <v>50000</v>
      </c>
      <c r="H52" s="1066"/>
      <c r="I52" s="336">
        <f t="shared" si="7"/>
        <v>50000</v>
      </c>
      <c r="J52" s="1119"/>
      <c r="K52" s="336">
        <f t="shared" si="7"/>
        <v>50000</v>
      </c>
    </row>
    <row r="53" spans="1:11" x14ac:dyDescent="0.25">
      <c r="A53" s="108" t="s">
        <v>574</v>
      </c>
      <c r="B53" s="110">
        <v>26</v>
      </c>
      <c r="C53" s="119">
        <v>26</v>
      </c>
      <c r="D53" s="107">
        <v>429000</v>
      </c>
      <c r="E53" s="1075">
        <f>D53*C53</f>
        <v>11154000</v>
      </c>
      <c r="F53" s="121"/>
      <c r="G53" s="1073">
        <f t="shared" si="8"/>
        <v>11154000</v>
      </c>
      <c r="H53" s="1066"/>
      <c r="I53" s="336">
        <f t="shared" si="7"/>
        <v>11154000</v>
      </c>
      <c r="J53" s="1119"/>
      <c r="K53" s="336">
        <f t="shared" si="7"/>
        <v>11154000</v>
      </c>
    </row>
    <row r="54" spans="1:11" x14ac:dyDescent="0.25">
      <c r="A54" s="124" t="s">
        <v>382</v>
      </c>
      <c r="B54" s="110">
        <v>39</v>
      </c>
      <c r="C54" s="119">
        <v>39</v>
      </c>
      <c r="D54" s="120">
        <v>163500</v>
      </c>
      <c r="E54" s="1075">
        <f>C54*D54</f>
        <v>6376500</v>
      </c>
      <c r="F54" s="121"/>
      <c r="G54" s="1073">
        <f t="shared" si="8"/>
        <v>6376500</v>
      </c>
      <c r="H54" s="1066"/>
      <c r="I54" s="336">
        <f t="shared" si="7"/>
        <v>6376500</v>
      </c>
      <c r="J54" s="1119"/>
      <c r="K54" s="336">
        <f t="shared" si="7"/>
        <v>6376500</v>
      </c>
    </row>
    <row r="55" spans="1:11" x14ac:dyDescent="0.25">
      <c r="A55" s="124" t="s">
        <v>990</v>
      </c>
      <c r="B55" s="110"/>
      <c r="C55" s="119"/>
      <c r="D55" s="120"/>
      <c r="E55" s="1075"/>
      <c r="F55" s="121"/>
      <c r="G55" s="1073"/>
      <c r="H55" s="1066">
        <v>4739000</v>
      </c>
      <c r="I55" s="336">
        <f t="shared" si="7"/>
        <v>4739000</v>
      </c>
      <c r="J55" s="1119"/>
      <c r="K55" s="336">
        <f t="shared" si="7"/>
        <v>4739000</v>
      </c>
    </row>
    <row r="56" spans="1:11" ht="14.4" x14ac:dyDescent="0.3">
      <c r="A56" s="339" t="s">
        <v>84</v>
      </c>
      <c r="B56" s="125"/>
      <c r="C56" s="126"/>
      <c r="D56" s="127"/>
      <c r="E56" s="1075">
        <f>E57+E58+E59</f>
        <v>16060000</v>
      </c>
      <c r="F56" s="121"/>
      <c r="G56" s="1073">
        <f t="shared" si="8"/>
        <v>16060000</v>
      </c>
      <c r="H56" s="1066"/>
      <c r="I56" s="336">
        <f t="shared" si="7"/>
        <v>16060000</v>
      </c>
      <c r="J56" s="1075">
        <f>J57+J58+J59</f>
        <v>-1100000</v>
      </c>
      <c r="K56" s="336">
        <f t="shared" si="7"/>
        <v>14960000</v>
      </c>
    </row>
    <row r="57" spans="1:11" x14ac:dyDescent="0.25">
      <c r="A57" s="108" t="s">
        <v>343</v>
      </c>
      <c r="B57" s="110">
        <v>13</v>
      </c>
      <c r="C57" s="119">
        <v>13</v>
      </c>
      <c r="D57" s="107">
        <v>550000</v>
      </c>
      <c r="E57" s="1075">
        <f>C57*D57</f>
        <v>7150000</v>
      </c>
      <c r="F57" s="121"/>
      <c r="G57" s="1073">
        <f t="shared" si="8"/>
        <v>7150000</v>
      </c>
      <c r="H57" s="1066"/>
      <c r="I57" s="336">
        <f t="shared" si="7"/>
        <v>7150000</v>
      </c>
      <c r="J57" s="1119"/>
      <c r="K57" s="336">
        <f t="shared" si="7"/>
        <v>7150000</v>
      </c>
    </row>
    <row r="58" spans="1:11" ht="14.25" customHeight="1" x14ac:dyDescent="0.25">
      <c r="A58" s="124" t="s">
        <v>86</v>
      </c>
      <c r="B58" s="110">
        <v>23</v>
      </c>
      <c r="C58" s="119">
        <v>23</v>
      </c>
      <c r="D58" s="107">
        <v>220000</v>
      </c>
      <c r="E58" s="1075">
        <f>C58*D58</f>
        <v>5060000</v>
      </c>
      <c r="F58" s="121"/>
      <c r="G58" s="1073">
        <f t="shared" si="8"/>
        <v>5060000</v>
      </c>
      <c r="H58" s="1066"/>
      <c r="I58" s="336">
        <f t="shared" si="7"/>
        <v>5060000</v>
      </c>
      <c r="J58" s="1119"/>
      <c r="K58" s="336">
        <f t="shared" si="7"/>
        <v>5060000</v>
      </c>
    </row>
    <row r="59" spans="1:11" x14ac:dyDescent="0.25">
      <c r="A59" s="121" t="s">
        <v>992</v>
      </c>
      <c r="B59" s="110">
        <v>7</v>
      </c>
      <c r="C59" s="119">
        <v>7</v>
      </c>
      <c r="D59" s="107">
        <v>550000</v>
      </c>
      <c r="E59" s="1075">
        <f>C59*D59</f>
        <v>3850000</v>
      </c>
      <c r="F59" s="121"/>
      <c r="G59" s="1073">
        <f t="shared" si="8"/>
        <v>3850000</v>
      </c>
      <c r="H59" s="1066"/>
      <c r="I59" s="336">
        <f t="shared" si="7"/>
        <v>3850000</v>
      </c>
      <c r="J59" s="1119">
        <v>-1100000</v>
      </c>
      <c r="K59" s="336">
        <f t="shared" si="7"/>
        <v>2750000</v>
      </c>
    </row>
    <row r="60" spans="1:11" ht="14.4" x14ac:dyDescent="0.3">
      <c r="A60" s="339" t="s">
        <v>991</v>
      </c>
      <c r="B60" s="110"/>
      <c r="C60" s="119"/>
      <c r="D60" s="107"/>
      <c r="E60" s="1075"/>
      <c r="F60" s="121"/>
      <c r="G60" s="1073"/>
      <c r="H60" s="1066">
        <v>6071000</v>
      </c>
      <c r="I60" s="336">
        <f t="shared" si="7"/>
        <v>6071000</v>
      </c>
      <c r="J60" s="1119"/>
      <c r="K60" s="336">
        <f t="shared" si="7"/>
        <v>6071000</v>
      </c>
    </row>
    <row r="61" spans="1:11" x14ac:dyDescent="0.25">
      <c r="A61" s="121" t="s">
        <v>605</v>
      </c>
      <c r="B61" s="110"/>
      <c r="C61" s="119"/>
      <c r="D61" s="107"/>
      <c r="E61" s="1075">
        <v>13381995</v>
      </c>
      <c r="F61" s="121"/>
      <c r="G61" s="1073">
        <f t="shared" si="8"/>
        <v>13381995</v>
      </c>
      <c r="H61" s="1066"/>
      <c r="I61" s="336">
        <f t="shared" si="7"/>
        <v>13381995</v>
      </c>
      <c r="J61" s="1119"/>
      <c r="K61" s="336">
        <f t="shared" si="7"/>
        <v>13381995</v>
      </c>
    </row>
    <row r="62" spans="1:11" x14ac:dyDescent="0.25">
      <c r="A62" s="113" t="s">
        <v>87</v>
      </c>
      <c r="B62" s="111"/>
      <c r="C62" s="128"/>
      <c r="D62" s="115"/>
      <c r="E62" s="1074">
        <f>E63+E64+E65</f>
        <v>79516555</v>
      </c>
      <c r="F62" s="1128">
        <f>F63+F64+F65</f>
        <v>0</v>
      </c>
      <c r="G62" s="1081">
        <f t="shared" si="8"/>
        <v>79516555</v>
      </c>
      <c r="H62" s="1314">
        <f>H63+H64+H65+H66</f>
        <v>7462906</v>
      </c>
      <c r="I62" s="1225">
        <f t="shared" si="7"/>
        <v>86979461</v>
      </c>
      <c r="J62" s="1314">
        <f>J63+J64+J65+J66</f>
        <v>-212382</v>
      </c>
      <c r="K62" s="1225">
        <f t="shared" si="7"/>
        <v>86767079</v>
      </c>
    </row>
    <row r="63" spans="1:11" x14ac:dyDescent="0.25">
      <c r="A63" s="108" t="s">
        <v>88</v>
      </c>
      <c r="B63" s="110"/>
      <c r="C63" s="110">
        <v>24.73</v>
      </c>
      <c r="D63" s="107">
        <v>1900000</v>
      </c>
      <c r="E63" s="1075">
        <f>C63*D63</f>
        <v>46987000</v>
      </c>
      <c r="F63" s="121"/>
      <c r="G63" s="1073">
        <f t="shared" si="8"/>
        <v>46987000</v>
      </c>
      <c r="H63" s="1066"/>
      <c r="I63" s="336">
        <f t="shared" si="7"/>
        <v>46987000</v>
      </c>
      <c r="J63" s="1119"/>
      <c r="K63" s="336">
        <f t="shared" si="7"/>
        <v>46987000</v>
      </c>
    </row>
    <row r="64" spans="1:11" x14ac:dyDescent="0.25">
      <c r="A64" s="108" t="s">
        <v>89</v>
      </c>
      <c r="B64" s="110"/>
      <c r="C64" s="129">
        <v>1091</v>
      </c>
      <c r="D64" s="107"/>
      <c r="E64" s="1075">
        <v>32184819</v>
      </c>
      <c r="F64" s="121"/>
      <c r="G64" s="1073">
        <f t="shared" si="8"/>
        <v>32184819</v>
      </c>
      <c r="H64" s="1066">
        <f>I64-G64</f>
        <v>2516906</v>
      </c>
      <c r="I64" s="336">
        <v>34701725</v>
      </c>
      <c r="J64" s="1119"/>
      <c r="K64" s="336">
        <v>34701725</v>
      </c>
    </row>
    <row r="65" spans="1:11" x14ac:dyDescent="0.25">
      <c r="A65" s="108" t="s">
        <v>383</v>
      </c>
      <c r="B65" s="111"/>
      <c r="C65" s="129">
        <v>1008</v>
      </c>
      <c r="D65" s="107">
        <v>342</v>
      </c>
      <c r="E65" s="1075">
        <f>C65*D65</f>
        <v>344736</v>
      </c>
      <c r="F65" s="121"/>
      <c r="G65" s="1073">
        <f t="shared" si="8"/>
        <v>344736</v>
      </c>
      <c r="H65" s="1066"/>
      <c r="I65" s="336">
        <f>G65+H65</f>
        <v>344736</v>
      </c>
      <c r="J65" s="1119">
        <v>-212382</v>
      </c>
      <c r="K65" s="336">
        <f>I65+J65</f>
        <v>132354</v>
      </c>
    </row>
    <row r="66" spans="1:11" x14ac:dyDescent="0.25">
      <c r="A66" s="108" t="s">
        <v>994</v>
      </c>
      <c r="B66" s="111"/>
      <c r="C66" s="129"/>
      <c r="D66" s="107"/>
      <c r="E66" s="1075"/>
      <c r="F66" s="1184"/>
      <c r="G66" s="1073"/>
      <c r="H66" s="1066">
        <v>4946000</v>
      </c>
      <c r="I66" s="336">
        <f>H66+G66</f>
        <v>4946000</v>
      </c>
      <c r="J66" s="1119"/>
      <c r="K66" s="336">
        <f>J66+I66</f>
        <v>4946000</v>
      </c>
    </row>
    <row r="67" spans="1:11" x14ac:dyDescent="0.25">
      <c r="A67" s="113" t="s">
        <v>606</v>
      </c>
      <c r="B67" s="111"/>
      <c r="C67" s="134"/>
      <c r="D67" s="115"/>
      <c r="E67" s="1074">
        <f>E68+E69+E70</f>
        <v>42169500</v>
      </c>
      <c r="F67" s="1128">
        <f>F68+F69+F70</f>
        <v>0</v>
      </c>
      <c r="G67" s="1081">
        <f t="shared" si="8"/>
        <v>42169500</v>
      </c>
      <c r="H67" s="1066">
        <f>H70+H69+H68</f>
        <v>0</v>
      </c>
      <c r="I67" s="1225">
        <f>G67+H67</f>
        <v>42169500</v>
      </c>
      <c r="J67" s="1118"/>
      <c r="K67" s="1225">
        <f>I67+J67</f>
        <v>42169500</v>
      </c>
    </row>
    <row r="68" spans="1:11" ht="27.6" x14ac:dyDescent="0.25">
      <c r="A68" s="124" t="s">
        <v>509</v>
      </c>
      <c r="B68" s="111"/>
      <c r="C68" s="129">
        <v>2</v>
      </c>
      <c r="D68" s="107">
        <v>4419000</v>
      </c>
      <c r="E68" s="1075">
        <f>C68*D68</f>
        <v>8838000</v>
      </c>
      <c r="F68" s="121"/>
      <c r="G68" s="1073">
        <f t="shared" si="8"/>
        <v>8838000</v>
      </c>
      <c r="H68" s="1066"/>
      <c r="I68" s="336">
        <f t="shared" ref="I68:K70" si="9">G68+H68</f>
        <v>8838000</v>
      </c>
      <c r="J68" s="1119"/>
      <c r="K68" s="336">
        <f t="shared" si="9"/>
        <v>8838000</v>
      </c>
    </row>
    <row r="69" spans="1:11" ht="27.6" x14ac:dyDescent="0.25">
      <c r="A69" s="124" t="s">
        <v>510</v>
      </c>
      <c r="B69" s="111"/>
      <c r="C69" s="399">
        <v>6.5</v>
      </c>
      <c r="D69" s="107">
        <v>2993000</v>
      </c>
      <c r="E69" s="1075">
        <f>C69*D69</f>
        <v>19454500</v>
      </c>
      <c r="F69" s="121"/>
      <c r="G69" s="1073">
        <f t="shared" si="8"/>
        <v>19454500</v>
      </c>
      <c r="H69" s="1066"/>
      <c r="I69" s="336">
        <f t="shared" si="9"/>
        <v>19454500</v>
      </c>
      <c r="J69" s="1119"/>
      <c r="K69" s="336">
        <f t="shared" si="9"/>
        <v>19454500</v>
      </c>
    </row>
    <row r="70" spans="1:11" x14ac:dyDescent="0.25">
      <c r="A70" s="108" t="s">
        <v>607</v>
      </c>
      <c r="B70" s="110"/>
      <c r="C70" s="110"/>
      <c r="D70" s="107"/>
      <c r="E70" s="1075">
        <v>13877000</v>
      </c>
      <c r="F70" s="121"/>
      <c r="G70" s="1073">
        <f t="shared" si="8"/>
        <v>13877000</v>
      </c>
      <c r="H70" s="1066"/>
      <c r="I70" s="336">
        <f t="shared" si="9"/>
        <v>13877000</v>
      </c>
      <c r="J70" s="1119"/>
      <c r="K70" s="336">
        <f t="shared" si="9"/>
        <v>13877000</v>
      </c>
    </row>
    <row r="71" spans="1:11" x14ac:dyDescent="0.25">
      <c r="A71" s="401" t="s">
        <v>608</v>
      </c>
      <c r="B71" s="110"/>
      <c r="C71" s="110"/>
      <c r="D71" s="107"/>
      <c r="E71" s="1080"/>
      <c r="F71" s="338">
        <v>10418225</v>
      </c>
      <c r="G71" s="1081">
        <f t="shared" si="8"/>
        <v>10418225</v>
      </c>
      <c r="H71" s="1314">
        <f>I71-G71</f>
        <v>5294570</v>
      </c>
      <c r="I71" s="1225">
        <v>15712795</v>
      </c>
      <c r="J71" s="1314">
        <f>K71-I71</f>
        <v>5545425</v>
      </c>
      <c r="K71" s="1225">
        <v>21258220</v>
      </c>
    </row>
    <row r="72" spans="1:11" x14ac:dyDescent="0.25">
      <c r="A72" s="108"/>
      <c r="B72" s="110"/>
      <c r="C72" s="110"/>
      <c r="D72" s="107"/>
      <c r="E72" s="1080"/>
      <c r="F72" s="121"/>
      <c r="G72" s="1073">
        <f t="shared" si="8"/>
        <v>0</v>
      </c>
      <c r="H72" s="1066"/>
      <c r="I72" s="336"/>
      <c r="J72" s="1119"/>
      <c r="K72" s="336"/>
    </row>
    <row r="73" spans="1:11" x14ac:dyDescent="0.25">
      <c r="A73" s="340" t="s">
        <v>94</v>
      </c>
      <c r="B73" s="334"/>
      <c r="C73" s="334"/>
      <c r="D73" s="334"/>
      <c r="E73" s="1072">
        <f>E74+E75+E76</f>
        <v>16659280</v>
      </c>
      <c r="F73" s="1127">
        <f>F74+F75+F76</f>
        <v>2692600</v>
      </c>
      <c r="G73" s="1081">
        <f t="shared" si="8"/>
        <v>19351880</v>
      </c>
      <c r="H73" s="1314">
        <f>H74+H75+H76+H77</f>
        <v>1444234</v>
      </c>
      <c r="I73" s="1225">
        <f t="shared" ref="I73:K74" si="10">H73+G73</f>
        <v>20796114</v>
      </c>
      <c r="J73" s="1314">
        <f>J74+J75+J76+J77</f>
        <v>841151</v>
      </c>
      <c r="K73" s="1225">
        <f t="shared" si="10"/>
        <v>21637265</v>
      </c>
    </row>
    <row r="74" spans="1:11" x14ac:dyDescent="0.25">
      <c r="A74" s="341" t="s">
        <v>95</v>
      </c>
      <c r="B74" s="119"/>
      <c r="C74" s="119">
        <v>13768</v>
      </c>
      <c r="D74" s="107">
        <v>1210</v>
      </c>
      <c r="E74" s="1071">
        <f>C74*D74</f>
        <v>16659280</v>
      </c>
      <c r="F74" s="121"/>
      <c r="G74" s="1073">
        <f t="shared" si="8"/>
        <v>16659280</v>
      </c>
      <c r="H74" s="1066"/>
      <c r="I74" s="336">
        <f t="shared" si="10"/>
        <v>16659280</v>
      </c>
      <c r="J74" s="1119"/>
      <c r="K74" s="336">
        <f t="shared" si="10"/>
        <v>16659280</v>
      </c>
    </row>
    <row r="75" spans="1:11" x14ac:dyDescent="0.25">
      <c r="A75" s="121" t="s">
        <v>609</v>
      </c>
      <c r="B75" s="119"/>
      <c r="C75" s="119"/>
      <c r="D75" s="107"/>
      <c r="E75" s="1071"/>
      <c r="F75" s="1119">
        <v>1685600</v>
      </c>
      <c r="G75" s="1073">
        <f t="shared" si="8"/>
        <v>1685600</v>
      </c>
      <c r="H75" s="1066">
        <v>880234</v>
      </c>
      <c r="I75" s="336">
        <f>H75+G75</f>
        <v>2565834</v>
      </c>
      <c r="J75" s="1119">
        <v>841151</v>
      </c>
      <c r="K75" s="336">
        <f>J75+I75</f>
        <v>3406985</v>
      </c>
    </row>
    <row r="76" spans="1:11" x14ac:dyDescent="0.25">
      <c r="A76" s="121" t="s">
        <v>403</v>
      </c>
      <c r="B76" s="119"/>
      <c r="C76" s="119"/>
      <c r="D76" s="107"/>
      <c r="E76" s="1071"/>
      <c r="F76" s="1119">
        <v>1007000</v>
      </c>
      <c r="G76" s="1073">
        <f t="shared" si="8"/>
        <v>1007000</v>
      </c>
      <c r="H76" s="1066"/>
      <c r="I76" s="336">
        <f t="shared" ref="I76:K77" si="11">H76+G76</f>
        <v>1007000</v>
      </c>
      <c r="J76" s="1119"/>
      <c r="K76" s="336">
        <f t="shared" si="11"/>
        <v>1007000</v>
      </c>
    </row>
    <row r="77" spans="1:11" x14ac:dyDescent="0.25">
      <c r="A77" s="341" t="s">
        <v>993</v>
      </c>
      <c r="B77" s="119"/>
      <c r="C77" s="119"/>
      <c r="D77" s="107"/>
      <c r="E77" s="1071"/>
      <c r="F77" s="1119"/>
      <c r="G77" s="1073"/>
      <c r="H77" s="1066">
        <v>564000</v>
      </c>
      <c r="I77" s="336">
        <f t="shared" si="11"/>
        <v>564000</v>
      </c>
      <c r="J77" s="1119"/>
      <c r="K77" s="336">
        <f t="shared" si="11"/>
        <v>564000</v>
      </c>
    </row>
    <row r="78" spans="1:11" s="167" customFormat="1" x14ac:dyDescent="0.25">
      <c r="A78" s="338" t="s">
        <v>364</v>
      </c>
      <c r="B78" s="114"/>
      <c r="C78" s="114"/>
      <c r="D78" s="115"/>
      <c r="E78" s="1072">
        <f>SUM(E79:E80)</f>
        <v>0</v>
      </c>
      <c r="F78" s="338">
        <f>SUM(F79:F82)</f>
        <v>6489372</v>
      </c>
      <c r="G78" s="1081">
        <f t="shared" si="8"/>
        <v>6489372</v>
      </c>
      <c r="H78" s="1314">
        <f>H79+H80+H81+H82+H83</f>
        <v>900000</v>
      </c>
      <c r="I78" s="1225">
        <f>G78+H78</f>
        <v>7389372</v>
      </c>
      <c r="J78" s="1314">
        <f>J79+J80+J81+J82+J83</f>
        <v>46834100</v>
      </c>
      <c r="K78" s="1225">
        <f>I78+J78</f>
        <v>54223472</v>
      </c>
    </row>
    <row r="79" spans="1:11" x14ac:dyDescent="0.25">
      <c r="A79" s="121" t="s">
        <v>610</v>
      </c>
      <c r="B79" s="119"/>
      <c r="C79" s="119"/>
      <c r="D79" s="107"/>
      <c r="E79" s="1071"/>
      <c r="F79" s="121"/>
      <c r="G79" s="1073">
        <f t="shared" si="8"/>
        <v>0</v>
      </c>
      <c r="H79" s="1066"/>
      <c r="I79" s="1225">
        <f t="shared" ref="I79:K83" si="12">G79+H79</f>
        <v>0</v>
      </c>
      <c r="J79" s="1118">
        <v>44819100</v>
      </c>
      <c r="K79" s="1225">
        <f t="shared" si="12"/>
        <v>44819100</v>
      </c>
    </row>
    <row r="80" spans="1:11" x14ac:dyDescent="0.25">
      <c r="A80" s="121" t="s">
        <v>185</v>
      </c>
      <c r="B80" s="119"/>
      <c r="C80" s="119"/>
      <c r="D80" s="107"/>
      <c r="E80" s="1071"/>
      <c r="F80" s="121"/>
      <c r="G80" s="1073">
        <f t="shared" si="8"/>
        <v>0</v>
      </c>
      <c r="H80" s="1066"/>
      <c r="I80" s="1225">
        <f t="shared" si="12"/>
        <v>0</v>
      </c>
      <c r="J80" s="1118">
        <v>2015000</v>
      </c>
      <c r="K80" s="1225">
        <f t="shared" si="12"/>
        <v>2015000</v>
      </c>
    </row>
    <row r="81" spans="1:11" x14ac:dyDescent="0.25">
      <c r="A81" s="121" t="s">
        <v>941</v>
      </c>
      <c r="B81" s="119"/>
      <c r="C81" s="119"/>
      <c r="D81" s="107"/>
      <c r="E81" s="1071"/>
      <c r="F81" s="121">
        <v>6489372</v>
      </c>
      <c r="G81" s="1073">
        <f t="shared" si="8"/>
        <v>6489372</v>
      </c>
      <c r="H81" s="1066"/>
      <c r="I81" s="336">
        <f t="shared" si="12"/>
        <v>6489372</v>
      </c>
      <c r="J81" s="1119"/>
      <c r="K81" s="336">
        <f t="shared" si="12"/>
        <v>6489372</v>
      </c>
    </row>
    <row r="82" spans="1:11" x14ac:dyDescent="0.25">
      <c r="A82" s="121" t="s">
        <v>981</v>
      </c>
      <c r="B82" s="119"/>
      <c r="C82" s="119"/>
      <c r="D82" s="107"/>
      <c r="E82" s="1071"/>
      <c r="F82" s="1119"/>
      <c r="G82" s="1073">
        <f t="shared" si="8"/>
        <v>0</v>
      </c>
      <c r="H82" s="1066">
        <v>900000</v>
      </c>
      <c r="I82" s="336">
        <f t="shared" si="12"/>
        <v>900000</v>
      </c>
      <c r="J82" s="1119"/>
      <c r="K82" s="336">
        <f t="shared" si="12"/>
        <v>900000</v>
      </c>
    </row>
    <row r="83" spans="1:11" s="167" customFormat="1" x14ac:dyDescent="0.25">
      <c r="A83" s="338" t="s">
        <v>362</v>
      </c>
      <c r="B83" s="114"/>
      <c r="C83" s="114"/>
      <c r="D83" s="115"/>
      <c r="E83" s="1072"/>
      <c r="F83" s="338"/>
      <c r="G83" s="1073">
        <f t="shared" si="8"/>
        <v>0</v>
      </c>
      <c r="H83" s="1314"/>
      <c r="I83" s="1225">
        <f t="shared" si="12"/>
        <v>0</v>
      </c>
      <c r="J83" s="1118"/>
      <c r="K83" s="1225">
        <f t="shared" si="12"/>
        <v>0</v>
      </c>
    </row>
    <row r="84" spans="1:11" s="167" customFormat="1" x14ac:dyDescent="0.25">
      <c r="A84" s="338"/>
      <c r="B84" s="114"/>
      <c r="C84" s="114"/>
      <c r="D84" s="115"/>
      <c r="E84" s="1072"/>
      <c r="F84" s="338"/>
      <c r="G84" s="1073">
        <f t="shared" si="8"/>
        <v>0</v>
      </c>
      <c r="H84" s="1314"/>
      <c r="I84" s="1225"/>
      <c r="J84" s="1118"/>
      <c r="K84" s="1225"/>
    </row>
    <row r="85" spans="1:11" s="167" customFormat="1" x14ac:dyDescent="0.25">
      <c r="A85" s="338" t="s">
        <v>188</v>
      </c>
      <c r="B85" s="114"/>
      <c r="C85" s="114"/>
      <c r="D85" s="115"/>
      <c r="E85" s="1081">
        <f t="shared" ref="E85:I85" si="13">SUM(E86:E86)</f>
        <v>0</v>
      </c>
      <c r="F85" s="1081">
        <f t="shared" si="13"/>
        <v>0</v>
      </c>
      <c r="G85" s="1081">
        <f t="shared" si="13"/>
        <v>0</v>
      </c>
      <c r="H85" s="1316">
        <f t="shared" si="13"/>
        <v>30000000</v>
      </c>
      <c r="I85" s="1225">
        <f t="shared" si="13"/>
        <v>30000000</v>
      </c>
      <c r="J85" s="1316">
        <f>SUM(J86:J88)</f>
        <v>4503000</v>
      </c>
      <c r="K85" s="1225">
        <f>I85+J85</f>
        <v>34503000</v>
      </c>
    </row>
    <row r="86" spans="1:11" s="167" customFormat="1" x14ac:dyDescent="0.25">
      <c r="A86" s="121" t="s">
        <v>984</v>
      </c>
      <c r="B86" s="114"/>
      <c r="C86" s="114"/>
      <c r="D86" s="115"/>
      <c r="E86" s="1071"/>
      <c r="F86" s="1119"/>
      <c r="G86" s="1073">
        <f t="shared" si="8"/>
        <v>0</v>
      </c>
      <c r="H86" s="1066">
        <f>I86-G86</f>
        <v>30000000</v>
      </c>
      <c r="I86" s="336">
        <v>30000000</v>
      </c>
      <c r="J86" s="1119"/>
      <c r="K86" s="336">
        <f>I86+J86</f>
        <v>30000000</v>
      </c>
    </row>
    <row r="87" spans="1:11" s="167" customFormat="1" x14ac:dyDescent="0.25">
      <c r="A87" s="121" t="s">
        <v>1047</v>
      </c>
      <c r="B87" s="114"/>
      <c r="C87" s="114"/>
      <c r="D87" s="115"/>
      <c r="E87" s="1071"/>
      <c r="F87" s="1119"/>
      <c r="G87" s="1073"/>
      <c r="H87" s="1066"/>
      <c r="I87" s="336"/>
      <c r="J87" s="1119">
        <v>2503000</v>
      </c>
      <c r="K87" s="336">
        <f>I87+J87</f>
        <v>2503000</v>
      </c>
    </row>
    <row r="88" spans="1:11" s="105" customFormat="1" x14ac:dyDescent="0.25">
      <c r="A88" s="121" t="s">
        <v>1048</v>
      </c>
      <c r="B88" s="119"/>
      <c r="C88" s="119"/>
      <c r="D88" s="107"/>
      <c r="E88" s="1071"/>
      <c r="F88" s="121"/>
      <c r="G88" s="1073">
        <f t="shared" si="8"/>
        <v>0</v>
      </c>
      <c r="H88" s="1066"/>
      <c r="I88" s="336"/>
      <c r="J88" s="1119">
        <v>2000000</v>
      </c>
      <c r="K88" s="336">
        <f>I88+J88</f>
        <v>2000000</v>
      </c>
    </row>
    <row r="89" spans="1:11" ht="14.4" thickBot="1" x14ac:dyDescent="0.3">
      <c r="A89" s="342" t="s">
        <v>98</v>
      </c>
      <c r="B89" s="343"/>
      <c r="C89" s="343"/>
      <c r="D89" s="343"/>
      <c r="E89" s="1082">
        <f>E73+E42+E30+E4+E85+E78</f>
        <v>1008634125.3333333</v>
      </c>
      <c r="F89" s="1130">
        <f>F73+F42+F30+F4+F85+F78</f>
        <v>20607715</v>
      </c>
      <c r="G89" s="1181">
        <f t="shared" si="8"/>
        <v>1029241840.3333333</v>
      </c>
      <c r="H89" s="1121">
        <f>H73+H42+H30+H4+H85+H78</f>
        <v>70687544</v>
      </c>
      <c r="I89" s="1317">
        <f>G89+H89</f>
        <v>1099929384.3333333</v>
      </c>
      <c r="J89" s="1121">
        <f>J73+J42+J30+J4+J85+J78</f>
        <v>57376253</v>
      </c>
      <c r="K89" s="1317">
        <f>I89+J89</f>
        <v>1157305637.3333333</v>
      </c>
    </row>
  </sheetData>
  <mergeCells count="23">
    <mergeCell ref="J2:J3"/>
    <mergeCell ref="K2:K3"/>
    <mergeCell ref="K40:K41"/>
    <mergeCell ref="J40:J41"/>
    <mergeCell ref="H2:H3"/>
    <mergeCell ref="I2:I3"/>
    <mergeCell ref="H40:H41"/>
    <mergeCell ref="I40:I41"/>
    <mergeCell ref="F2:F3"/>
    <mergeCell ref="G2:G3"/>
    <mergeCell ref="F40:F41"/>
    <mergeCell ref="G40:G41"/>
    <mergeCell ref="A40:A41"/>
    <mergeCell ref="B40:B41"/>
    <mergeCell ref="C40:C41"/>
    <mergeCell ref="D40:D41"/>
    <mergeCell ref="E40:E41"/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63" orientation="landscape" r:id="rId1"/>
  <headerFooter alignWithMargins="0">
    <oddHeader>&amp;C2/b. melléklet a 31/2019. (XII.13.)  önkormányzati rendelethez
 az önkormányzat 2019. évi költségvetéséről szóló 6/2019. (II.28.) önkormányzati rendelet 
2/b. mellékletének helyébe a következő 2/b. melléklet lép:  
&amp;R&amp;P. oldal</oddHeader>
  </headerFooter>
  <rowBreaks count="1" manualBreakCount="1">
    <brk id="39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40"/>
  <sheetViews>
    <sheetView view="pageLayout" zoomScaleNormal="100" zoomScaleSheetLayoutView="85" workbookViewId="0">
      <selection activeCell="L132" sqref="L132"/>
    </sheetView>
  </sheetViews>
  <sheetFormatPr defaultRowHeight="13.8" x14ac:dyDescent="0.25"/>
  <cols>
    <col min="1" max="1" width="9.109375" style="112" customWidth="1"/>
    <col min="2" max="2" width="10.109375" style="112" customWidth="1"/>
    <col min="3" max="3" width="59.33203125" style="112" customWidth="1"/>
    <col min="4" max="4" width="9.109375" style="112" customWidth="1"/>
    <col min="5" max="5" width="10" style="112" customWidth="1"/>
    <col min="6" max="6" width="11.5546875" style="112" customWidth="1"/>
    <col min="7" max="7" width="15" style="200" customWidth="1"/>
    <col min="8" max="8" width="11.6640625" style="1115" customWidth="1"/>
    <col min="9" max="9" width="15.109375" style="112" customWidth="1"/>
    <col min="10" max="10" width="12.109375" style="917" customWidth="1"/>
    <col min="11" max="11" width="14.5546875" style="112" customWidth="1"/>
    <col min="12" max="12" width="14" customWidth="1"/>
    <col min="13" max="13" width="14.5546875" customWidth="1"/>
    <col min="14" max="14" width="13.5546875" customWidth="1"/>
  </cols>
  <sheetData>
    <row r="1" spans="1:13" ht="15.6" x14ac:dyDescent="0.3">
      <c r="C1" s="1383" t="s">
        <v>611</v>
      </c>
      <c r="D1" s="1383"/>
      <c r="E1" s="1383"/>
      <c r="F1" s="1383"/>
      <c r="G1" s="1383"/>
    </row>
    <row r="2" spans="1:13" ht="14.4" thickBot="1" x14ac:dyDescent="0.3">
      <c r="A2" s="313"/>
      <c r="B2" s="314"/>
      <c r="C2" s="313"/>
      <c r="D2" s="315"/>
      <c r="E2" s="313"/>
      <c r="F2" s="313"/>
      <c r="G2" s="316"/>
      <c r="L2" s="1319"/>
    </row>
    <row r="3" spans="1:13" ht="42" thickBot="1" x14ac:dyDescent="0.3">
      <c r="A3" s="426" t="s">
        <v>99</v>
      </c>
      <c r="B3" s="1157" t="s">
        <v>100</v>
      </c>
      <c r="C3" s="1161" t="s">
        <v>101</v>
      </c>
      <c r="D3" s="1162" t="s">
        <v>511</v>
      </c>
      <c r="E3" s="1163" t="s">
        <v>69</v>
      </c>
      <c r="F3" s="1164" t="s">
        <v>70</v>
      </c>
      <c r="G3" s="1247" t="s">
        <v>360</v>
      </c>
      <c r="H3" s="1116" t="s">
        <v>939</v>
      </c>
      <c r="I3" s="551" t="s">
        <v>940</v>
      </c>
      <c r="J3" s="1116" t="s">
        <v>939</v>
      </c>
      <c r="K3" s="551" t="s">
        <v>979</v>
      </c>
      <c r="L3" s="1116" t="s">
        <v>939</v>
      </c>
      <c r="M3" s="551" t="s">
        <v>1046</v>
      </c>
    </row>
    <row r="4" spans="1:13" x14ac:dyDescent="0.25">
      <c r="A4" s="427">
        <v>2</v>
      </c>
      <c r="B4" s="560" t="s">
        <v>102</v>
      </c>
      <c r="C4" s="1238" t="s">
        <v>90</v>
      </c>
      <c r="D4" s="1159">
        <v>13.9</v>
      </c>
      <c r="E4" s="1159">
        <f>D4/12*8</f>
        <v>9.2666666666666675</v>
      </c>
      <c r="F4" s="1084">
        <v>4371500</v>
      </c>
      <c r="G4" s="1160">
        <f t="shared" ref="G4:G13" si="0">E4*F4</f>
        <v>40509233.333333336</v>
      </c>
      <c r="H4" s="1117">
        <v>-582866</v>
      </c>
      <c r="I4" s="1224">
        <f>G4+H4</f>
        <v>39926367.333333336</v>
      </c>
      <c r="J4" s="1320"/>
      <c r="K4" s="1224">
        <f>J4+I4</f>
        <v>39926367.333333336</v>
      </c>
      <c r="L4" s="1322"/>
      <c r="M4" s="1224">
        <f>L4+K4</f>
        <v>39926367.333333336</v>
      </c>
    </row>
    <row r="5" spans="1:13" x14ac:dyDescent="0.25">
      <c r="A5" s="427">
        <v>2</v>
      </c>
      <c r="B5" s="560" t="s">
        <v>102</v>
      </c>
      <c r="C5" s="110" t="s">
        <v>91</v>
      </c>
      <c r="D5" s="122">
        <v>10</v>
      </c>
      <c r="E5" s="122">
        <f>D5/12*8</f>
        <v>6.666666666666667</v>
      </c>
      <c r="F5" s="107">
        <v>2205000</v>
      </c>
      <c r="G5" s="1058">
        <f t="shared" si="0"/>
        <v>14700000</v>
      </c>
      <c r="H5" s="1066"/>
      <c r="I5" s="336">
        <f t="shared" ref="I5:I77" si="1">G5+H5</f>
        <v>14700000</v>
      </c>
      <c r="J5" s="1119"/>
      <c r="K5" s="336">
        <f t="shared" ref="K5:M62" si="2">J5+I5</f>
        <v>14700000</v>
      </c>
      <c r="L5" s="1323"/>
      <c r="M5" s="336">
        <f t="shared" si="2"/>
        <v>14700000</v>
      </c>
    </row>
    <row r="6" spans="1:13" x14ac:dyDescent="0.25">
      <c r="A6" s="427">
        <v>2</v>
      </c>
      <c r="B6" s="560" t="s">
        <v>102</v>
      </c>
      <c r="C6" s="110" t="s">
        <v>92</v>
      </c>
      <c r="D6" s="122">
        <v>13.9</v>
      </c>
      <c r="E6" s="122">
        <f>D6/12*4</f>
        <v>4.6333333333333337</v>
      </c>
      <c r="F6" s="107">
        <v>4371500</v>
      </c>
      <c r="G6" s="1058">
        <f t="shared" si="0"/>
        <v>20254616.666666668</v>
      </c>
      <c r="H6" s="1066"/>
      <c r="I6" s="336">
        <f t="shared" si="1"/>
        <v>20254616.666666668</v>
      </c>
      <c r="J6" s="1119"/>
      <c r="K6" s="336">
        <f t="shared" si="2"/>
        <v>20254616.666666668</v>
      </c>
      <c r="L6" s="1327">
        <v>437150</v>
      </c>
      <c r="M6" s="336">
        <f t="shared" si="2"/>
        <v>20691766.666666668</v>
      </c>
    </row>
    <row r="7" spans="1:13" x14ac:dyDescent="0.25">
      <c r="A7" s="427">
        <v>2</v>
      </c>
      <c r="B7" s="560" t="s">
        <v>102</v>
      </c>
      <c r="C7" s="110" t="s">
        <v>93</v>
      </c>
      <c r="D7" s="122">
        <v>10</v>
      </c>
      <c r="E7" s="122">
        <f>D7/12*4</f>
        <v>3.3333333333333335</v>
      </c>
      <c r="F7" s="107">
        <v>2205000</v>
      </c>
      <c r="G7" s="1058">
        <f t="shared" si="0"/>
        <v>7350000</v>
      </c>
      <c r="H7" s="1066"/>
      <c r="I7" s="336">
        <f t="shared" si="1"/>
        <v>7350000</v>
      </c>
      <c r="J7" s="1119"/>
      <c r="K7" s="336">
        <f t="shared" si="2"/>
        <v>7350000</v>
      </c>
      <c r="L7" s="1327"/>
      <c r="M7" s="336">
        <f t="shared" si="2"/>
        <v>7350000</v>
      </c>
    </row>
    <row r="8" spans="1:13" x14ac:dyDescent="0.25">
      <c r="A8" s="427"/>
      <c r="B8" s="560" t="s">
        <v>102</v>
      </c>
      <c r="C8" s="402" t="s">
        <v>997</v>
      </c>
      <c r="D8" s="122"/>
      <c r="E8" s="122"/>
      <c r="F8" s="107"/>
      <c r="G8" s="1058"/>
      <c r="H8" s="1066"/>
      <c r="I8" s="336"/>
      <c r="J8" s="1066">
        <v>1950000</v>
      </c>
      <c r="K8" s="336">
        <f t="shared" si="2"/>
        <v>1950000</v>
      </c>
      <c r="L8" s="1327"/>
      <c r="M8" s="336">
        <f t="shared" si="2"/>
        <v>1950000</v>
      </c>
    </row>
    <row r="9" spans="1:13" x14ac:dyDescent="0.25">
      <c r="A9" s="427">
        <v>2</v>
      </c>
      <c r="B9" s="560" t="s">
        <v>103</v>
      </c>
      <c r="C9" s="110" t="s">
        <v>104</v>
      </c>
      <c r="D9" s="122">
        <v>154</v>
      </c>
      <c r="E9" s="130">
        <f>D9/12*8</f>
        <v>102.66666666666667</v>
      </c>
      <c r="F9" s="119">
        <v>97400</v>
      </c>
      <c r="G9" s="1058">
        <f t="shared" si="0"/>
        <v>9999733.333333334</v>
      </c>
      <c r="H9" s="1066">
        <v>-194802</v>
      </c>
      <c r="I9" s="336">
        <f t="shared" si="1"/>
        <v>9804931.333333334</v>
      </c>
      <c r="J9" s="1119"/>
      <c r="K9" s="336">
        <f t="shared" si="2"/>
        <v>9804931.333333334</v>
      </c>
      <c r="L9" s="1327"/>
      <c r="M9" s="336">
        <f t="shared" si="2"/>
        <v>9804931.333333334</v>
      </c>
    </row>
    <row r="10" spans="1:13" x14ac:dyDescent="0.25">
      <c r="A10" s="427">
        <v>2</v>
      </c>
      <c r="B10" s="560" t="s">
        <v>103</v>
      </c>
      <c r="C10" s="110" t="s">
        <v>105</v>
      </c>
      <c r="D10" s="122">
        <v>154</v>
      </c>
      <c r="E10" s="130">
        <f>D10/12*4</f>
        <v>51.333333333333336</v>
      </c>
      <c r="F10" s="119">
        <v>97400</v>
      </c>
      <c r="G10" s="1058">
        <f t="shared" si="0"/>
        <v>4999866.666666667</v>
      </c>
      <c r="H10" s="1066"/>
      <c r="I10" s="336">
        <f t="shared" si="1"/>
        <v>4999866.666666667</v>
      </c>
      <c r="J10" s="1119"/>
      <c r="K10" s="336">
        <f t="shared" si="2"/>
        <v>4999866.666666667</v>
      </c>
      <c r="L10" s="1327">
        <v>162333</v>
      </c>
      <c r="M10" s="336">
        <f t="shared" si="2"/>
        <v>5162199.666666667</v>
      </c>
    </row>
    <row r="11" spans="1:13" x14ac:dyDescent="0.25">
      <c r="A11" s="427">
        <v>2</v>
      </c>
      <c r="B11" s="560" t="s">
        <v>512</v>
      </c>
      <c r="C11" s="109" t="s">
        <v>335</v>
      </c>
      <c r="D11" s="122"/>
      <c r="E11" s="117">
        <v>6</v>
      </c>
      <c r="F11" s="119">
        <v>396700</v>
      </c>
      <c r="G11" s="1058">
        <f t="shared" si="0"/>
        <v>2380200</v>
      </c>
      <c r="H11" s="1066"/>
      <c r="I11" s="336">
        <f t="shared" si="1"/>
        <v>2380200</v>
      </c>
      <c r="J11" s="1119"/>
      <c r="K11" s="336">
        <f t="shared" si="2"/>
        <v>2380200</v>
      </c>
      <c r="L11" s="1323"/>
      <c r="M11" s="336">
        <f t="shared" si="2"/>
        <v>2380200</v>
      </c>
    </row>
    <row r="12" spans="1:13" x14ac:dyDescent="0.25">
      <c r="A12" s="427">
        <v>2</v>
      </c>
      <c r="B12" s="560" t="s">
        <v>538</v>
      </c>
      <c r="C12" s="109" t="s">
        <v>335</v>
      </c>
      <c r="D12" s="122"/>
      <c r="E12" s="117">
        <v>0</v>
      </c>
      <c r="F12" s="119">
        <v>363642</v>
      </c>
      <c r="G12" s="1058">
        <f t="shared" si="0"/>
        <v>0</v>
      </c>
      <c r="H12" s="1066"/>
      <c r="I12" s="336">
        <f t="shared" si="1"/>
        <v>0</v>
      </c>
      <c r="J12" s="1119"/>
      <c r="K12" s="336">
        <f t="shared" si="2"/>
        <v>0</v>
      </c>
      <c r="L12" s="1323"/>
      <c r="M12" s="336">
        <f t="shared" si="2"/>
        <v>0</v>
      </c>
    </row>
    <row r="13" spans="1:13" x14ac:dyDescent="0.25">
      <c r="A13" s="427">
        <v>2</v>
      </c>
      <c r="B13" s="560" t="s">
        <v>612</v>
      </c>
      <c r="C13" s="110" t="s">
        <v>106</v>
      </c>
      <c r="D13" s="122">
        <v>131</v>
      </c>
      <c r="E13" s="117">
        <f>131/1091*24.73</f>
        <v>2.9694133822181485</v>
      </c>
      <c r="F13" s="119">
        <v>1900000</v>
      </c>
      <c r="G13" s="1058">
        <f t="shared" si="0"/>
        <v>5641885.4262144826</v>
      </c>
      <c r="H13" s="1066"/>
      <c r="I13" s="336">
        <f t="shared" si="1"/>
        <v>5641885.4262144826</v>
      </c>
      <c r="J13" s="1119"/>
      <c r="K13" s="336">
        <f t="shared" si="2"/>
        <v>5641885.4262144826</v>
      </c>
      <c r="L13" s="1323"/>
      <c r="M13" s="336">
        <f t="shared" si="2"/>
        <v>5641885.4262144826</v>
      </c>
    </row>
    <row r="14" spans="1:13" x14ac:dyDescent="0.25">
      <c r="A14" s="427">
        <v>2</v>
      </c>
      <c r="B14" s="560" t="s">
        <v>613</v>
      </c>
      <c r="C14" s="110" t="s">
        <v>107</v>
      </c>
      <c r="D14" s="122"/>
      <c r="E14" s="117"/>
      <c r="F14" s="119"/>
      <c r="G14" s="1059">
        <v>6824272</v>
      </c>
      <c r="H14" s="1066"/>
      <c r="I14" s="336">
        <f t="shared" si="1"/>
        <v>6824272</v>
      </c>
      <c r="J14" s="1119">
        <v>406199</v>
      </c>
      <c r="K14" s="336">
        <f t="shared" si="2"/>
        <v>7230471</v>
      </c>
      <c r="L14" s="1323"/>
      <c r="M14" s="336">
        <f t="shared" si="2"/>
        <v>7230471</v>
      </c>
    </row>
    <row r="15" spans="1:13" x14ac:dyDescent="0.25">
      <c r="A15" s="427"/>
      <c r="B15" s="560" t="s">
        <v>980</v>
      </c>
      <c r="C15" s="110" t="s">
        <v>994</v>
      </c>
      <c r="D15" s="122"/>
      <c r="E15" s="117"/>
      <c r="F15" s="119"/>
      <c r="G15" s="1059"/>
      <c r="H15" s="1066"/>
      <c r="I15" s="336"/>
      <c r="J15" s="1119">
        <v>593883</v>
      </c>
      <c r="K15" s="336">
        <f t="shared" si="2"/>
        <v>593883</v>
      </c>
      <c r="L15" s="1323"/>
      <c r="M15" s="336">
        <f t="shared" si="2"/>
        <v>593883</v>
      </c>
    </row>
    <row r="16" spans="1:13" x14ac:dyDescent="0.25">
      <c r="A16" s="427">
        <v>2</v>
      </c>
      <c r="B16" s="427" t="s">
        <v>186</v>
      </c>
      <c r="C16" s="110" t="s">
        <v>614</v>
      </c>
      <c r="D16" s="122"/>
      <c r="E16" s="117"/>
      <c r="F16" s="119"/>
      <c r="G16" s="1059"/>
      <c r="H16" s="1066">
        <v>0</v>
      </c>
      <c r="I16" s="336">
        <f t="shared" si="1"/>
        <v>0</v>
      </c>
      <c r="J16" s="1119"/>
      <c r="K16" s="336">
        <f t="shared" si="2"/>
        <v>0</v>
      </c>
      <c r="L16" s="1323"/>
      <c r="M16" s="336">
        <f t="shared" si="2"/>
        <v>0</v>
      </c>
    </row>
    <row r="17" spans="1:17" x14ac:dyDescent="0.25">
      <c r="A17" s="428"/>
      <c r="B17" s="1232"/>
      <c r="C17" s="111" t="s">
        <v>551</v>
      </c>
      <c r="D17" s="128"/>
      <c r="E17" s="114"/>
      <c r="F17" s="114"/>
      <c r="G17" s="1060">
        <f>SUM(G4:G16)</f>
        <v>112659807.42621449</v>
      </c>
      <c r="H17" s="1120">
        <f>SUM(H4:H16)</f>
        <v>-777668</v>
      </c>
      <c r="I17" s="1225">
        <f t="shared" si="1"/>
        <v>111882139.42621449</v>
      </c>
      <c r="J17" s="1118">
        <f>SUM(J4:J16)</f>
        <v>2950082</v>
      </c>
      <c r="K17" s="1225">
        <f t="shared" si="2"/>
        <v>114832221.42621449</v>
      </c>
      <c r="L17" s="1118">
        <f>SUM(L4:L16)</f>
        <v>599483</v>
      </c>
      <c r="M17" s="1225">
        <f t="shared" si="2"/>
        <v>115431704.42621449</v>
      </c>
      <c r="Q17" s="1329">
        <f>L17+L32+L47+L62</f>
        <v>893982</v>
      </c>
    </row>
    <row r="18" spans="1:17" x14ac:dyDescent="0.25">
      <c r="A18" s="427"/>
      <c r="B18" s="560"/>
      <c r="C18" s="119"/>
      <c r="D18" s="122"/>
      <c r="E18" s="110"/>
      <c r="F18" s="119"/>
      <c r="G18" s="1059"/>
      <c r="H18" s="1066"/>
      <c r="I18" s="336"/>
      <c r="J18" s="1119"/>
      <c r="K18" s="336"/>
      <c r="L18" s="1323"/>
      <c r="M18" s="336"/>
    </row>
    <row r="19" spans="1:17" x14ac:dyDescent="0.25">
      <c r="A19" s="427">
        <v>2</v>
      </c>
      <c r="B19" s="560" t="s">
        <v>102</v>
      </c>
      <c r="C19" s="110" t="s">
        <v>90</v>
      </c>
      <c r="D19" s="122">
        <v>11.6</v>
      </c>
      <c r="E19" s="122">
        <f>D19/12*8</f>
        <v>7.7333333333333334</v>
      </c>
      <c r="F19" s="107">
        <v>4371500</v>
      </c>
      <c r="G19" s="1058">
        <f t="shared" ref="G19:G28" si="3">E19*F19</f>
        <v>33806266.666666664</v>
      </c>
      <c r="H19" s="1066">
        <v>582866</v>
      </c>
      <c r="I19" s="336">
        <f t="shared" si="1"/>
        <v>34389132.666666664</v>
      </c>
      <c r="J19" s="1119"/>
      <c r="K19" s="336">
        <f t="shared" si="2"/>
        <v>34389132.666666664</v>
      </c>
      <c r="L19" s="1323"/>
      <c r="M19" s="336">
        <f t="shared" si="2"/>
        <v>34389132.666666664</v>
      </c>
    </row>
    <row r="20" spans="1:17" x14ac:dyDescent="0.25">
      <c r="A20" s="427">
        <v>2</v>
      </c>
      <c r="B20" s="560" t="s">
        <v>102</v>
      </c>
      <c r="C20" s="110" t="s">
        <v>91</v>
      </c>
      <c r="D20" s="122">
        <v>9</v>
      </c>
      <c r="E20" s="122">
        <f>D20/12*8</f>
        <v>6</v>
      </c>
      <c r="F20" s="107">
        <v>2205000</v>
      </c>
      <c r="G20" s="1058">
        <f t="shared" si="3"/>
        <v>13230000</v>
      </c>
      <c r="H20" s="1066"/>
      <c r="I20" s="336">
        <f t="shared" si="1"/>
        <v>13230000</v>
      </c>
      <c r="J20" s="1119"/>
      <c r="K20" s="336">
        <f t="shared" si="2"/>
        <v>13230000</v>
      </c>
      <c r="L20" s="1323"/>
      <c r="M20" s="336">
        <f t="shared" si="2"/>
        <v>13230000</v>
      </c>
    </row>
    <row r="21" spans="1:17" x14ac:dyDescent="0.25">
      <c r="A21" s="427">
        <v>2</v>
      </c>
      <c r="B21" s="560" t="s">
        <v>102</v>
      </c>
      <c r="C21" s="110" t="s">
        <v>92</v>
      </c>
      <c r="D21" s="122">
        <v>11.5</v>
      </c>
      <c r="E21" s="122">
        <f>D21/12*4</f>
        <v>3.8333333333333335</v>
      </c>
      <c r="F21" s="107">
        <v>4371500</v>
      </c>
      <c r="G21" s="1058">
        <f t="shared" si="3"/>
        <v>16757416.666666668</v>
      </c>
      <c r="H21" s="1066"/>
      <c r="I21" s="336">
        <f t="shared" si="1"/>
        <v>16757416.666666668</v>
      </c>
      <c r="J21" s="1119"/>
      <c r="K21" s="336">
        <f t="shared" si="2"/>
        <v>16757416.666666668</v>
      </c>
      <c r="L21" s="1323"/>
      <c r="M21" s="336">
        <f t="shared" si="2"/>
        <v>16757416.666666668</v>
      </c>
    </row>
    <row r="22" spans="1:17" x14ac:dyDescent="0.25">
      <c r="A22" s="427">
        <v>2</v>
      </c>
      <c r="B22" s="560" t="s">
        <v>102</v>
      </c>
      <c r="C22" s="110" t="s">
        <v>93</v>
      </c>
      <c r="D22" s="131">
        <v>9</v>
      </c>
      <c r="E22" s="122">
        <f>D22/12*4</f>
        <v>3</v>
      </c>
      <c r="F22" s="107">
        <v>2205000</v>
      </c>
      <c r="G22" s="1058">
        <f t="shared" si="3"/>
        <v>6615000</v>
      </c>
      <c r="H22" s="1066"/>
      <c r="I22" s="336">
        <f t="shared" si="1"/>
        <v>6615000</v>
      </c>
      <c r="J22" s="1119"/>
      <c r="K22" s="336">
        <f t="shared" si="2"/>
        <v>6615000</v>
      </c>
      <c r="L22" s="1323"/>
      <c r="M22" s="336">
        <f t="shared" si="2"/>
        <v>6615000</v>
      </c>
    </row>
    <row r="23" spans="1:17" x14ac:dyDescent="0.25">
      <c r="A23" s="427"/>
      <c r="B23" s="560" t="s">
        <v>102</v>
      </c>
      <c r="C23" s="402" t="s">
        <v>997</v>
      </c>
      <c r="D23" s="131"/>
      <c r="E23" s="122"/>
      <c r="F23" s="107"/>
      <c r="G23" s="1058"/>
      <c r="H23" s="1325"/>
      <c r="I23" s="336"/>
      <c r="J23" s="1066">
        <v>1755000</v>
      </c>
      <c r="K23" s="336">
        <f t="shared" si="2"/>
        <v>1755000</v>
      </c>
      <c r="L23" s="1323"/>
      <c r="M23" s="336">
        <f t="shared" si="2"/>
        <v>1755000</v>
      </c>
    </row>
    <row r="24" spans="1:17" x14ac:dyDescent="0.25">
      <c r="A24" s="427">
        <v>2</v>
      </c>
      <c r="B24" s="560" t="s">
        <v>103</v>
      </c>
      <c r="C24" s="110" t="s">
        <v>35</v>
      </c>
      <c r="D24" s="122">
        <v>126</v>
      </c>
      <c r="E24" s="130">
        <f>D24/12*8</f>
        <v>84</v>
      </c>
      <c r="F24" s="119">
        <v>97400</v>
      </c>
      <c r="G24" s="1058">
        <f t="shared" si="3"/>
        <v>8181600</v>
      </c>
      <c r="H24" s="1066">
        <v>129868</v>
      </c>
      <c r="I24" s="336">
        <f t="shared" si="1"/>
        <v>8311468</v>
      </c>
      <c r="J24" s="1119"/>
      <c r="K24" s="336">
        <f t="shared" si="2"/>
        <v>8311468</v>
      </c>
      <c r="L24" s="1323"/>
      <c r="M24" s="336">
        <f t="shared" si="2"/>
        <v>8311468</v>
      </c>
    </row>
    <row r="25" spans="1:17" x14ac:dyDescent="0.25">
      <c r="A25" s="427">
        <v>2</v>
      </c>
      <c r="B25" s="560" t="s">
        <v>103</v>
      </c>
      <c r="C25" s="110" t="s">
        <v>36</v>
      </c>
      <c r="D25" s="122">
        <v>125</v>
      </c>
      <c r="E25" s="130">
        <f>D25/12*4</f>
        <v>41.666666666666664</v>
      </c>
      <c r="F25" s="119">
        <v>97400</v>
      </c>
      <c r="G25" s="1058">
        <f t="shared" si="3"/>
        <v>4058333.333333333</v>
      </c>
      <c r="H25" s="1066"/>
      <c r="I25" s="336">
        <f t="shared" si="1"/>
        <v>4058333.333333333</v>
      </c>
      <c r="J25" s="1119"/>
      <c r="K25" s="336">
        <f t="shared" si="2"/>
        <v>4058333.333333333</v>
      </c>
      <c r="L25" s="1323"/>
      <c r="M25" s="336">
        <f t="shared" si="2"/>
        <v>4058333.333333333</v>
      </c>
    </row>
    <row r="26" spans="1:17" s="199" customFormat="1" x14ac:dyDescent="0.25">
      <c r="A26" s="427">
        <v>2</v>
      </c>
      <c r="B26" s="560" t="s">
        <v>512</v>
      </c>
      <c r="C26" s="109" t="s">
        <v>335</v>
      </c>
      <c r="D26" s="122"/>
      <c r="E26" s="117">
        <v>6</v>
      </c>
      <c r="F26" s="119">
        <v>396700</v>
      </c>
      <c r="G26" s="1058">
        <f t="shared" si="3"/>
        <v>2380200</v>
      </c>
      <c r="H26" s="1066"/>
      <c r="I26" s="336">
        <f t="shared" si="1"/>
        <v>2380200</v>
      </c>
      <c r="J26" s="1119"/>
      <c r="K26" s="336">
        <f t="shared" si="2"/>
        <v>2380200</v>
      </c>
      <c r="L26" s="1330">
        <v>-119010</v>
      </c>
      <c r="M26" s="336">
        <f t="shared" si="2"/>
        <v>2261190</v>
      </c>
    </row>
    <row r="27" spans="1:17" s="199" customFormat="1" x14ac:dyDescent="0.25">
      <c r="A27" s="427">
        <v>2</v>
      </c>
      <c r="B27" s="560" t="s">
        <v>538</v>
      </c>
      <c r="C27" s="109" t="s">
        <v>335</v>
      </c>
      <c r="D27" s="122"/>
      <c r="E27" s="117">
        <v>0</v>
      </c>
      <c r="F27" s="119">
        <v>363642</v>
      </c>
      <c r="G27" s="1058">
        <f t="shared" si="3"/>
        <v>0</v>
      </c>
      <c r="H27" s="1066"/>
      <c r="I27" s="336">
        <f t="shared" si="1"/>
        <v>0</v>
      </c>
      <c r="J27" s="1119"/>
      <c r="K27" s="336">
        <f t="shared" si="2"/>
        <v>0</v>
      </c>
      <c r="L27" s="1324"/>
      <c r="M27" s="336">
        <f t="shared" si="2"/>
        <v>0</v>
      </c>
    </row>
    <row r="28" spans="1:17" s="199" customFormat="1" x14ac:dyDescent="0.25">
      <c r="A28" s="427">
        <v>2</v>
      </c>
      <c r="B28" s="560" t="s">
        <v>612</v>
      </c>
      <c r="C28" s="110" t="s">
        <v>106</v>
      </c>
      <c r="D28" s="122"/>
      <c r="E28" s="117">
        <f>106/1091*24.73</f>
        <v>2.4027314390467462</v>
      </c>
      <c r="F28" s="119">
        <v>1900000</v>
      </c>
      <c r="G28" s="1058">
        <f t="shared" si="3"/>
        <v>4565189.7341888174</v>
      </c>
      <c r="H28" s="1066"/>
      <c r="I28" s="336">
        <f t="shared" si="1"/>
        <v>4565189.7341888174</v>
      </c>
      <c r="J28" s="1119"/>
      <c r="K28" s="336">
        <f t="shared" si="2"/>
        <v>4565189.7341888174</v>
      </c>
      <c r="L28" s="1324"/>
      <c r="M28" s="336">
        <f t="shared" si="2"/>
        <v>4565189.7341888174</v>
      </c>
    </row>
    <row r="29" spans="1:17" s="199" customFormat="1" x14ac:dyDescent="0.25">
      <c r="A29" s="427">
        <v>2</v>
      </c>
      <c r="B29" s="560" t="s">
        <v>613</v>
      </c>
      <c r="C29" s="110" t="s">
        <v>107</v>
      </c>
      <c r="D29" s="122"/>
      <c r="E29" s="117"/>
      <c r="F29" s="119"/>
      <c r="G29" s="1059">
        <v>6325352</v>
      </c>
      <c r="H29" s="1066"/>
      <c r="I29" s="336">
        <f t="shared" si="1"/>
        <v>6325352</v>
      </c>
      <c r="J29" s="1119">
        <v>360324</v>
      </c>
      <c r="K29" s="336">
        <f t="shared" si="2"/>
        <v>6685676</v>
      </c>
      <c r="L29" s="1324"/>
      <c r="M29" s="336">
        <f t="shared" si="2"/>
        <v>6685676</v>
      </c>
    </row>
    <row r="30" spans="1:17" s="199" customFormat="1" x14ac:dyDescent="0.25">
      <c r="A30" s="427"/>
      <c r="B30" s="560" t="s">
        <v>980</v>
      </c>
      <c r="C30" s="110" t="s">
        <v>994</v>
      </c>
      <c r="D30" s="122"/>
      <c r="E30" s="117"/>
      <c r="F30" s="119"/>
      <c r="G30" s="1059"/>
      <c r="H30" s="1066"/>
      <c r="I30" s="336"/>
      <c r="J30" s="1119">
        <v>480546</v>
      </c>
      <c r="K30" s="336"/>
      <c r="L30" s="1324"/>
      <c r="M30" s="336"/>
    </row>
    <row r="31" spans="1:17" s="199" customFormat="1" x14ac:dyDescent="0.25">
      <c r="A31" s="427">
        <v>2</v>
      </c>
      <c r="B31" s="427" t="s">
        <v>186</v>
      </c>
      <c r="C31" s="110" t="s">
        <v>614</v>
      </c>
      <c r="D31" s="122"/>
      <c r="E31" s="117"/>
      <c r="F31" s="119"/>
      <c r="G31" s="1059"/>
      <c r="H31" s="1066">
        <v>54010</v>
      </c>
      <c r="I31" s="336">
        <f t="shared" si="1"/>
        <v>54010</v>
      </c>
      <c r="J31" s="1119">
        <v>24814</v>
      </c>
      <c r="K31" s="336">
        <f t="shared" si="2"/>
        <v>78824</v>
      </c>
      <c r="L31" s="1330">
        <v>24675</v>
      </c>
      <c r="M31" s="336">
        <f t="shared" si="2"/>
        <v>103499</v>
      </c>
    </row>
    <row r="32" spans="1:17" s="199" customFormat="1" x14ac:dyDescent="0.25">
      <c r="A32" s="427"/>
      <c r="B32" s="1232"/>
      <c r="C32" s="111" t="s">
        <v>550</v>
      </c>
      <c r="D32" s="128"/>
      <c r="E32" s="116"/>
      <c r="F32" s="114"/>
      <c r="G32" s="1060">
        <f>SUM(G19:G31)</f>
        <v>95919358.400855482</v>
      </c>
      <c r="H32" s="1120">
        <f>SUM(H19:H31)</f>
        <v>766744</v>
      </c>
      <c r="I32" s="1225">
        <f t="shared" si="1"/>
        <v>96686102.400855482</v>
      </c>
      <c r="J32" s="1118">
        <f>SUM(J19:J31)</f>
        <v>2620684</v>
      </c>
      <c r="K32" s="1225">
        <f t="shared" si="2"/>
        <v>99306786.400855482</v>
      </c>
      <c r="L32" s="1118">
        <f>SUM(L19:L31)</f>
        <v>-94335</v>
      </c>
      <c r="M32" s="1225">
        <f t="shared" si="2"/>
        <v>99212451.400855482</v>
      </c>
    </row>
    <row r="33" spans="1:13" s="199" customFormat="1" x14ac:dyDescent="0.25">
      <c r="A33" s="427"/>
      <c r="B33" s="560"/>
      <c r="C33" s="119"/>
      <c r="D33" s="122"/>
      <c r="E33" s="110"/>
      <c r="F33" s="119"/>
      <c r="G33" s="1059"/>
      <c r="H33" s="1066"/>
      <c r="I33" s="336"/>
      <c r="J33" s="1119"/>
      <c r="K33" s="336">
        <f t="shared" si="2"/>
        <v>0</v>
      </c>
      <c r="L33" s="1324"/>
      <c r="M33" s="336">
        <f t="shared" si="2"/>
        <v>0</v>
      </c>
    </row>
    <row r="34" spans="1:13" s="199" customFormat="1" x14ac:dyDescent="0.25">
      <c r="A34" s="427">
        <v>2</v>
      </c>
      <c r="B34" s="560" t="s">
        <v>102</v>
      </c>
      <c r="C34" s="110" t="s">
        <v>90</v>
      </c>
      <c r="D34" s="122">
        <v>6.8</v>
      </c>
      <c r="E34" s="122">
        <f>D34/12*8</f>
        <v>4.5333333333333332</v>
      </c>
      <c r="F34" s="107">
        <v>4371500</v>
      </c>
      <c r="G34" s="1058">
        <f t="shared" ref="G34:G43" si="4">E34*F34</f>
        <v>19817466.666666668</v>
      </c>
      <c r="H34" s="1066"/>
      <c r="I34" s="336">
        <f t="shared" si="1"/>
        <v>19817466.666666668</v>
      </c>
      <c r="J34" s="1119"/>
      <c r="K34" s="336">
        <f t="shared" si="2"/>
        <v>19817466.666666668</v>
      </c>
      <c r="L34" s="1324"/>
      <c r="M34" s="336">
        <f t="shared" si="2"/>
        <v>19817466.666666668</v>
      </c>
    </row>
    <row r="35" spans="1:13" s="199" customFormat="1" x14ac:dyDescent="0.25">
      <c r="A35" s="427">
        <v>2</v>
      </c>
      <c r="B35" s="560" t="s">
        <v>102</v>
      </c>
      <c r="C35" s="110" t="s">
        <v>91</v>
      </c>
      <c r="D35" s="131">
        <v>5</v>
      </c>
      <c r="E35" s="122">
        <f>D35/12*8</f>
        <v>3.3333333333333335</v>
      </c>
      <c r="F35" s="107">
        <v>2205000</v>
      </c>
      <c r="G35" s="1058">
        <f t="shared" si="4"/>
        <v>7350000</v>
      </c>
      <c r="H35" s="1066"/>
      <c r="I35" s="336">
        <f t="shared" si="1"/>
        <v>7350000</v>
      </c>
      <c r="J35" s="1119"/>
      <c r="K35" s="336">
        <f t="shared" si="2"/>
        <v>7350000</v>
      </c>
      <c r="L35" s="1324"/>
      <c r="M35" s="336">
        <f t="shared" si="2"/>
        <v>7350000</v>
      </c>
    </row>
    <row r="36" spans="1:13" s="199" customFormat="1" x14ac:dyDescent="0.25">
      <c r="A36" s="427">
        <v>2</v>
      </c>
      <c r="B36" s="560" t="s">
        <v>102</v>
      </c>
      <c r="C36" s="110" t="s">
        <v>92</v>
      </c>
      <c r="D36" s="131">
        <v>6.8</v>
      </c>
      <c r="E36" s="122">
        <f>D36/12*4</f>
        <v>2.2666666666666666</v>
      </c>
      <c r="F36" s="107">
        <v>4371500</v>
      </c>
      <c r="G36" s="1058">
        <f t="shared" si="4"/>
        <v>9908733.333333334</v>
      </c>
      <c r="H36" s="1066"/>
      <c r="I36" s="336">
        <f t="shared" si="1"/>
        <v>9908733.333333334</v>
      </c>
      <c r="J36" s="1119"/>
      <c r="K36" s="336">
        <f t="shared" si="2"/>
        <v>9908733.333333334</v>
      </c>
      <c r="L36" s="1328">
        <v>-437150</v>
      </c>
      <c r="M36" s="336">
        <f t="shared" si="2"/>
        <v>9471583.333333334</v>
      </c>
    </row>
    <row r="37" spans="1:13" s="199" customFormat="1" x14ac:dyDescent="0.25">
      <c r="A37" s="427">
        <v>2</v>
      </c>
      <c r="B37" s="560" t="s">
        <v>102</v>
      </c>
      <c r="C37" s="110" t="s">
        <v>93</v>
      </c>
      <c r="D37" s="131">
        <v>5</v>
      </c>
      <c r="E37" s="122">
        <f>D37/12*4</f>
        <v>1.6666666666666667</v>
      </c>
      <c r="F37" s="107">
        <v>2205000</v>
      </c>
      <c r="G37" s="1058">
        <f t="shared" si="4"/>
        <v>3675000</v>
      </c>
      <c r="H37" s="1066"/>
      <c r="I37" s="336">
        <f t="shared" si="1"/>
        <v>3675000</v>
      </c>
      <c r="J37" s="1119"/>
      <c r="K37" s="336">
        <f t="shared" si="2"/>
        <v>3675000</v>
      </c>
      <c r="L37" s="1328"/>
      <c r="M37" s="336">
        <f t="shared" si="2"/>
        <v>3675000</v>
      </c>
    </row>
    <row r="38" spans="1:13" s="199" customFormat="1" x14ac:dyDescent="0.25">
      <c r="A38" s="427"/>
      <c r="B38" s="560" t="s">
        <v>102</v>
      </c>
      <c r="C38" s="402" t="s">
        <v>997</v>
      </c>
      <c r="D38" s="131"/>
      <c r="E38" s="122"/>
      <c r="F38" s="107"/>
      <c r="G38" s="1058"/>
      <c r="H38" s="1326"/>
      <c r="I38" s="336"/>
      <c r="J38" s="1066">
        <v>975000</v>
      </c>
      <c r="K38" s="336">
        <f t="shared" si="2"/>
        <v>975000</v>
      </c>
      <c r="L38" s="1328"/>
      <c r="M38" s="336">
        <f t="shared" si="2"/>
        <v>975000</v>
      </c>
    </row>
    <row r="39" spans="1:13" s="199" customFormat="1" x14ac:dyDescent="0.25">
      <c r="A39" s="427">
        <v>2</v>
      </c>
      <c r="B39" s="560" t="s">
        <v>103</v>
      </c>
      <c r="C39" s="110" t="s">
        <v>35</v>
      </c>
      <c r="D39" s="131">
        <v>73</v>
      </c>
      <c r="E39" s="130">
        <f>D39/12*8</f>
        <v>48.666666666666664</v>
      </c>
      <c r="F39" s="119">
        <v>97400</v>
      </c>
      <c r="G39" s="1058">
        <f t="shared" si="4"/>
        <v>4740133.333333333</v>
      </c>
      <c r="H39" s="1066"/>
      <c r="I39" s="336">
        <f t="shared" si="1"/>
        <v>4740133.333333333</v>
      </c>
      <c r="J39" s="1119"/>
      <c r="K39" s="336">
        <f t="shared" si="2"/>
        <v>4740133.333333333</v>
      </c>
      <c r="L39" s="1328"/>
      <c r="M39" s="336">
        <f t="shared" si="2"/>
        <v>4740133.333333333</v>
      </c>
    </row>
    <row r="40" spans="1:13" s="199" customFormat="1" x14ac:dyDescent="0.25">
      <c r="A40" s="427">
        <v>2</v>
      </c>
      <c r="B40" s="560" t="s">
        <v>103</v>
      </c>
      <c r="C40" s="110" t="s">
        <v>36</v>
      </c>
      <c r="D40" s="131">
        <v>73</v>
      </c>
      <c r="E40" s="130">
        <f>D40/12*4</f>
        <v>24.333333333333332</v>
      </c>
      <c r="F40" s="119">
        <v>97400</v>
      </c>
      <c r="G40" s="1058">
        <f t="shared" si="4"/>
        <v>2370066.6666666665</v>
      </c>
      <c r="H40" s="1066"/>
      <c r="I40" s="336">
        <f t="shared" si="1"/>
        <v>2370066.6666666665</v>
      </c>
      <c r="J40" s="1119"/>
      <c r="K40" s="336">
        <f t="shared" si="2"/>
        <v>2370066.6666666665</v>
      </c>
      <c r="L40" s="1328">
        <v>-129867</v>
      </c>
      <c r="M40" s="336">
        <f t="shared" si="2"/>
        <v>2240199.6666666665</v>
      </c>
    </row>
    <row r="41" spans="1:13" s="199" customFormat="1" x14ac:dyDescent="0.25">
      <c r="A41" s="427">
        <v>2</v>
      </c>
      <c r="B41" s="560" t="s">
        <v>512</v>
      </c>
      <c r="C41" s="109" t="s">
        <v>335</v>
      </c>
      <c r="D41" s="131"/>
      <c r="E41" s="117">
        <v>3</v>
      </c>
      <c r="F41" s="119">
        <v>396700</v>
      </c>
      <c r="G41" s="1058">
        <f t="shared" si="4"/>
        <v>1190100</v>
      </c>
      <c r="H41" s="1066"/>
      <c r="I41" s="336">
        <f t="shared" si="1"/>
        <v>1190100</v>
      </c>
      <c r="J41" s="1119"/>
      <c r="K41" s="336">
        <f t="shared" si="2"/>
        <v>1190100</v>
      </c>
      <c r="L41" s="1324"/>
      <c r="M41" s="336">
        <f t="shared" si="2"/>
        <v>1190100</v>
      </c>
    </row>
    <row r="42" spans="1:13" s="199" customFormat="1" x14ac:dyDescent="0.25">
      <c r="A42" s="427">
        <v>2</v>
      </c>
      <c r="B42" s="560" t="s">
        <v>538</v>
      </c>
      <c r="C42" s="109" t="s">
        <v>335</v>
      </c>
      <c r="D42" s="131"/>
      <c r="E42" s="117">
        <v>0</v>
      </c>
      <c r="F42" s="119">
        <v>363642</v>
      </c>
      <c r="G42" s="1058">
        <f t="shared" si="4"/>
        <v>0</v>
      </c>
      <c r="H42" s="1066"/>
      <c r="I42" s="336">
        <f t="shared" si="1"/>
        <v>0</v>
      </c>
      <c r="J42" s="1119"/>
      <c r="K42" s="336">
        <f t="shared" si="2"/>
        <v>0</v>
      </c>
      <c r="L42" s="1324"/>
      <c r="M42" s="336">
        <f t="shared" si="2"/>
        <v>0</v>
      </c>
    </row>
    <row r="43" spans="1:13" s="199" customFormat="1" x14ac:dyDescent="0.25">
      <c r="A43" s="427">
        <v>2</v>
      </c>
      <c r="B43" s="560" t="s">
        <v>612</v>
      </c>
      <c r="C43" s="110" t="s">
        <v>106</v>
      </c>
      <c r="D43" s="131"/>
      <c r="E43" s="122">
        <f>62/1091*24.73</f>
        <v>1.405371219065078</v>
      </c>
      <c r="F43" s="119">
        <v>1900000</v>
      </c>
      <c r="G43" s="1058">
        <f t="shared" si="4"/>
        <v>2670205.3162236484</v>
      </c>
      <c r="H43" s="1066"/>
      <c r="I43" s="336">
        <f t="shared" si="1"/>
        <v>2670205.3162236484</v>
      </c>
      <c r="J43" s="1119"/>
      <c r="K43" s="336">
        <f t="shared" si="2"/>
        <v>2670205.3162236484</v>
      </c>
      <c r="L43" s="1324"/>
      <c r="M43" s="336">
        <f t="shared" si="2"/>
        <v>2670205.3162236484</v>
      </c>
    </row>
    <row r="44" spans="1:13" s="199" customFormat="1" x14ac:dyDescent="0.25">
      <c r="A44" s="427">
        <v>2</v>
      </c>
      <c r="B44" s="560" t="s">
        <v>613</v>
      </c>
      <c r="C44" s="110" t="s">
        <v>107</v>
      </c>
      <c r="D44" s="131"/>
      <c r="E44" s="122"/>
      <c r="F44" s="119"/>
      <c r="G44" s="1059">
        <v>3309167</v>
      </c>
      <c r="H44" s="1066"/>
      <c r="I44" s="336">
        <f t="shared" si="1"/>
        <v>3309167</v>
      </c>
      <c r="J44" s="1119">
        <v>195372</v>
      </c>
      <c r="K44" s="336">
        <f t="shared" si="2"/>
        <v>3504539</v>
      </c>
      <c r="L44" s="1324"/>
      <c r="M44" s="336">
        <f t="shared" si="2"/>
        <v>3504539</v>
      </c>
    </row>
    <row r="45" spans="1:13" s="199" customFormat="1" x14ac:dyDescent="0.25">
      <c r="A45" s="427"/>
      <c r="B45" s="560" t="s">
        <v>980</v>
      </c>
      <c r="C45" s="110" t="s">
        <v>994</v>
      </c>
      <c r="D45" s="131"/>
      <c r="E45" s="122"/>
      <c r="F45" s="119"/>
      <c r="G45" s="1059"/>
      <c r="H45" s="1066"/>
      <c r="I45" s="336"/>
      <c r="J45" s="1119">
        <v>281074</v>
      </c>
      <c r="K45" s="336"/>
      <c r="L45" s="1324"/>
      <c r="M45" s="336"/>
    </row>
    <row r="46" spans="1:13" s="199" customFormat="1" x14ac:dyDescent="0.25">
      <c r="A46" s="427">
        <v>2</v>
      </c>
      <c r="B46" s="427" t="s">
        <v>186</v>
      </c>
      <c r="C46" s="110" t="s">
        <v>614</v>
      </c>
      <c r="D46" s="131"/>
      <c r="E46" s="122"/>
      <c r="F46" s="119"/>
      <c r="G46" s="1059"/>
      <c r="H46" s="1066">
        <v>4541</v>
      </c>
      <c r="I46" s="336">
        <f t="shared" si="1"/>
        <v>4541</v>
      </c>
      <c r="J46" s="1119"/>
      <c r="K46" s="336">
        <f t="shared" si="2"/>
        <v>4541</v>
      </c>
      <c r="L46" s="1324"/>
      <c r="M46" s="336">
        <f t="shared" si="2"/>
        <v>4541</v>
      </c>
    </row>
    <row r="47" spans="1:13" s="199" customFormat="1" x14ac:dyDescent="0.25">
      <c r="A47" s="428"/>
      <c r="B47" s="1232"/>
      <c r="C47" s="111" t="s">
        <v>549</v>
      </c>
      <c r="D47" s="128"/>
      <c r="E47" s="111"/>
      <c r="F47" s="114"/>
      <c r="G47" s="1060">
        <f>SUM(G34:G46)</f>
        <v>55030872.316223651</v>
      </c>
      <c r="H47" s="1120">
        <f>SUM(H34:H46)</f>
        <v>4541</v>
      </c>
      <c r="I47" s="1225">
        <f t="shared" si="1"/>
        <v>55035413.316223651</v>
      </c>
      <c r="J47" s="1118">
        <f>SUM(J34:J46)</f>
        <v>1451446</v>
      </c>
      <c r="K47" s="1225">
        <f t="shared" si="2"/>
        <v>56486859.316223651</v>
      </c>
      <c r="L47" s="1118">
        <f>SUM(L34:L46)</f>
        <v>-567017</v>
      </c>
      <c r="M47" s="1225">
        <f t="shared" si="2"/>
        <v>55919842.316223651</v>
      </c>
    </row>
    <row r="48" spans="1:13" s="199" customFormat="1" x14ac:dyDescent="0.25">
      <c r="A48" s="427"/>
      <c r="B48" s="560"/>
      <c r="C48" s="110"/>
      <c r="D48" s="122"/>
      <c r="E48" s="110"/>
      <c r="F48" s="119"/>
      <c r="G48" s="1059"/>
      <c r="H48" s="1066"/>
      <c r="I48" s="336"/>
      <c r="J48" s="1119"/>
      <c r="K48" s="336">
        <f t="shared" si="2"/>
        <v>0</v>
      </c>
      <c r="L48" s="1324"/>
      <c r="M48" s="336">
        <f t="shared" si="2"/>
        <v>0</v>
      </c>
    </row>
    <row r="49" spans="1:14" s="199" customFormat="1" x14ac:dyDescent="0.25">
      <c r="A49" s="427">
        <v>2</v>
      </c>
      <c r="B49" s="560" t="s">
        <v>102</v>
      </c>
      <c r="C49" s="110" t="s">
        <v>90</v>
      </c>
      <c r="D49" s="131">
        <v>3</v>
      </c>
      <c r="E49" s="122">
        <f>D49/12*8</f>
        <v>2</v>
      </c>
      <c r="F49" s="107">
        <v>4371500</v>
      </c>
      <c r="G49" s="1058">
        <f t="shared" ref="G49:G58" si="5">E49*F49</f>
        <v>8743000</v>
      </c>
      <c r="H49" s="1066">
        <v>-582867</v>
      </c>
      <c r="I49" s="336">
        <f t="shared" si="1"/>
        <v>8160133</v>
      </c>
      <c r="J49" s="1119"/>
      <c r="K49" s="336">
        <f t="shared" si="2"/>
        <v>8160133</v>
      </c>
      <c r="L49" s="1324"/>
      <c r="M49" s="336">
        <f t="shared" si="2"/>
        <v>8160133</v>
      </c>
    </row>
    <row r="50" spans="1:14" s="199" customFormat="1" x14ac:dyDescent="0.25">
      <c r="A50" s="427">
        <v>2</v>
      </c>
      <c r="B50" s="560" t="s">
        <v>102</v>
      </c>
      <c r="C50" s="110" t="s">
        <v>91</v>
      </c>
      <c r="D50" s="131">
        <v>2</v>
      </c>
      <c r="E50" s="122">
        <f>D50/12*8</f>
        <v>1.3333333333333333</v>
      </c>
      <c r="F50" s="107">
        <v>2205000</v>
      </c>
      <c r="G50" s="1058">
        <f t="shared" si="5"/>
        <v>2940000</v>
      </c>
      <c r="H50" s="1066"/>
      <c r="I50" s="336">
        <f t="shared" si="1"/>
        <v>2940000</v>
      </c>
      <c r="J50" s="1119"/>
      <c r="K50" s="336">
        <f t="shared" si="2"/>
        <v>2940000</v>
      </c>
      <c r="L50" s="1324"/>
      <c r="M50" s="336">
        <f t="shared" si="2"/>
        <v>2940000</v>
      </c>
    </row>
    <row r="51" spans="1:14" s="199" customFormat="1" x14ac:dyDescent="0.25">
      <c r="A51" s="427">
        <v>2</v>
      </c>
      <c r="B51" s="560" t="s">
        <v>102</v>
      </c>
      <c r="C51" s="110" t="s">
        <v>92</v>
      </c>
      <c r="D51" s="131">
        <v>2.8</v>
      </c>
      <c r="E51" s="122">
        <f>D51/12*4</f>
        <v>0.93333333333333324</v>
      </c>
      <c r="F51" s="107">
        <v>4371500</v>
      </c>
      <c r="G51" s="1058">
        <f t="shared" si="5"/>
        <v>4080066.666666666</v>
      </c>
      <c r="H51" s="1066"/>
      <c r="I51" s="336">
        <f t="shared" si="1"/>
        <v>4080066.666666666</v>
      </c>
      <c r="J51" s="1119"/>
      <c r="K51" s="336">
        <f t="shared" si="2"/>
        <v>4080066.666666666</v>
      </c>
      <c r="L51" s="1328">
        <v>728584</v>
      </c>
      <c r="M51" s="336">
        <f t="shared" si="2"/>
        <v>4808650.666666666</v>
      </c>
    </row>
    <row r="52" spans="1:14" s="199" customFormat="1" x14ac:dyDescent="0.25">
      <c r="A52" s="427">
        <v>2</v>
      </c>
      <c r="B52" s="560" t="s">
        <v>102</v>
      </c>
      <c r="C52" s="110" t="s">
        <v>93</v>
      </c>
      <c r="D52" s="122">
        <v>2</v>
      </c>
      <c r="E52" s="122">
        <f>D52/12*4</f>
        <v>0.66666666666666663</v>
      </c>
      <c r="F52" s="107">
        <v>2205000</v>
      </c>
      <c r="G52" s="1058">
        <f t="shared" si="5"/>
        <v>1470000</v>
      </c>
      <c r="H52" s="1066"/>
      <c r="I52" s="336">
        <f t="shared" si="1"/>
        <v>1470000</v>
      </c>
      <c r="J52" s="1119"/>
      <c r="K52" s="336">
        <f t="shared" si="2"/>
        <v>1470000</v>
      </c>
      <c r="L52" s="1328"/>
      <c r="M52" s="336">
        <f t="shared" si="2"/>
        <v>1470000</v>
      </c>
    </row>
    <row r="53" spans="1:14" s="199" customFormat="1" x14ac:dyDescent="0.25">
      <c r="A53" s="427"/>
      <c r="B53" s="560" t="s">
        <v>102</v>
      </c>
      <c r="C53" s="402" t="s">
        <v>997</v>
      </c>
      <c r="D53" s="122"/>
      <c r="E53" s="122"/>
      <c r="F53" s="107"/>
      <c r="G53" s="1058"/>
      <c r="H53" s="1326"/>
      <c r="I53" s="336"/>
      <c r="J53" s="1066">
        <v>390000</v>
      </c>
      <c r="K53" s="336">
        <f t="shared" si="2"/>
        <v>390000</v>
      </c>
      <c r="L53" s="1328"/>
      <c r="M53" s="336">
        <f t="shared" si="2"/>
        <v>390000</v>
      </c>
    </row>
    <row r="54" spans="1:14" s="199" customFormat="1" x14ac:dyDescent="0.25">
      <c r="A54" s="427">
        <v>2</v>
      </c>
      <c r="B54" s="560" t="s">
        <v>103</v>
      </c>
      <c r="C54" s="110" t="s">
        <v>35</v>
      </c>
      <c r="D54" s="122">
        <v>30</v>
      </c>
      <c r="E54" s="130">
        <f>D54/12*8</f>
        <v>20</v>
      </c>
      <c r="F54" s="119">
        <v>97400</v>
      </c>
      <c r="G54" s="1058">
        <f t="shared" si="5"/>
        <v>1948000</v>
      </c>
      <c r="H54" s="1066"/>
      <c r="I54" s="336">
        <f t="shared" si="1"/>
        <v>1948000</v>
      </c>
      <c r="J54" s="1119"/>
      <c r="K54" s="336">
        <f t="shared" si="2"/>
        <v>1948000</v>
      </c>
      <c r="L54" s="1328"/>
      <c r="M54" s="336">
        <f t="shared" si="2"/>
        <v>1948000</v>
      </c>
    </row>
    <row r="55" spans="1:14" s="199" customFormat="1" x14ac:dyDescent="0.25">
      <c r="A55" s="427">
        <v>2</v>
      </c>
      <c r="B55" s="560" t="s">
        <v>103</v>
      </c>
      <c r="C55" s="110" t="s">
        <v>36</v>
      </c>
      <c r="D55" s="122">
        <v>27</v>
      </c>
      <c r="E55" s="130">
        <f>D55/12*4</f>
        <v>9</v>
      </c>
      <c r="F55" s="119">
        <v>97400</v>
      </c>
      <c r="G55" s="1058">
        <f t="shared" si="5"/>
        <v>876600</v>
      </c>
      <c r="H55" s="1066"/>
      <c r="I55" s="336">
        <f t="shared" si="1"/>
        <v>876600</v>
      </c>
      <c r="J55" s="1119"/>
      <c r="K55" s="336">
        <f t="shared" si="2"/>
        <v>876600</v>
      </c>
      <c r="L55" s="1328">
        <v>227267</v>
      </c>
      <c r="M55" s="336">
        <f t="shared" si="2"/>
        <v>1103867</v>
      </c>
    </row>
    <row r="56" spans="1:14" s="199" customFormat="1" x14ac:dyDescent="0.25">
      <c r="A56" s="427">
        <v>2</v>
      </c>
      <c r="B56" s="560" t="s">
        <v>512</v>
      </c>
      <c r="C56" s="109" t="s">
        <v>335</v>
      </c>
      <c r="D56" s="122"/>
      <c r="E56" s="117">
        <v>1</v>
      </c>
      <c r="F56" s="119">
        <v>396700</v>
      </c>
      <c r="G56" s="1058">
        <f t="shared" si="5"/>
        <v>396700</v>
      </c>
      <c r="H56" s="1066"/>
      <c r="I56" s="336">
        <f t="shared" si="1"/>
        <v>396700</v>
      </c>
      <c r="J56" s="1119"/>
      <c r="K56" s="336">
        <f t="shared" si="2"/>
        <v>396700</v>
      </c>
      <c r="L56" s="1324"/>
      <c r="M56" s="336">
        <f t="shared" si="2"/>
        <v>396700</v>
      </c>
    </row>
    <row r="57" spans="1:14" s="199" customFormat="1" x14ac:dyDescent="0.25">
      <c r="A57" s="427">
        <v>2</v>
      </c>
      <c r="B57" s="560" t="s">
        <v>538</v>
      </c>
      <c r="C57" s="109" t="s">
        <v>335</v>
      </c>
      <c r="D57" s="122"/>
      <c r="E57" s="117">
        <v>0</v>
      </c>
      <c r="F57" s="119">
        <v>363642</v>
      </c>
      <c r="G57" s="1058">
        <f t="shared" si="5"/>
        <v>0</v>
      </c>
      <c r="H57" s="1066"/>
      <c r="I57" s="336">
        <f t="shared" si="1"/>
        <v>0</v>
      </c>
      <c r="J57" s="1119"/>
      <c r="K57" s="336">
        <f t="shared" si="2"/>
        <v>0</v>
      </c>
      <c r="L57" s="1324"/>
      <c r="M57" s="336">
        <f t="shared" si="2"/>
        <v>0</v>
      </c>
    </row>
    <row r="58" spans="1:14" s="199" customFormat="1" x14ac:dyDescent="0.25">
      <c r="A58" s="427">
        <v>2</v>
      </c>
      <c r="B58" s="560" t="s">
        <v>612</v>
      </c>
      <c r="C58" s="110" t="s">
        <v>106</v>
      </c>
      <c r="D58" s="122"/>
      <c r="E58" s="122">
        <f>25/1091*24.73</f>
        <v>0.56668194317140241</v>
      </c>
      <c r="F58" s="119">
        <v>1900000</v>
      </c>
      <c r="G58" s="1058">
        <f t="shared" si="5"/>
        <v>1076695.6920256645</v>
      </c>
      <c r="H58" s="1066"/>
      <c r="I58" s="336">
        <f t="shared" si="1"/>
        <v>1076695.6920256645</v>
      </c>
      <c r="J58" s="1119"/>
      <c r="K58" s="336">
        <f t="shared" si="2"/>
        <v>1076695.6920256645</v>
      </c>
      <c r="L58" s="1324"/>
      <c r="M58" s="336">
        <f t="shared" si="2"/>
        <v>1076695.6920256645</v>
      </c>
    </row>
    <row r="59" spans="1:14" s="199" customFormat="1" x14ac:dyDescent="0.25">
      <c r="A59" s="427">
        <v>2</v>
      </c>
      <c r="B59" s="560" t="s">
        <v>613</v>
      </c>
      <c r="C59" s="110" t="s">
        <v>107</v>
      </c>
      <c r="D59" s="122"/>
      <c r="E59" s="122"/>
      <c r="F59" s="119"/>
      <c r="G59" s="1059">
        <v>1556923</v>
      </c>
      <c r="H59" s="1066"/>
      <c r="I59" s="336">
        <f t="shared" si="1"/>
        <v>1556923</v>
      </c>
      <c r="J59" s="1119">
        <v>87546</v>
      </c>
      <c r="K59" s="336">
        <f t="shared" si="2"/>
        <v>1644469</v>
      </c>
      <c r="L59" s="1324"/>
      <c r="M59" s="336">
        <f t="shared" si="2"/>
        <v>1644469</v>
      </c>
      <c r="N59" s="1178">
        <f>K14+K29+K44+K59</f>
        <v>19065155</v>
      </c>
    </row>
    <row r="60" spans="1:14" s="199" customFormat="1" x14ac:dyDescent="0.25">
      <c r="A60" s="427"/>
      <c r="B60" s="560" t="s">
        <v>980</v>
      </c>
      <c r="C60" s="110" t="s">
        <v>994</v>
      </c>
      <c r="D60" s="122"/>
      <c r="E60" s="122"/>
      <c r="F60" s="119"/>
      <c r="G60" s="1059"/>
      <c r="H60" s="1066"/>
      <c r="I60" s="336"/>
      <c r="J60" s="1119">
        <v>113336</v>
      </c>
      <c r="K60" s="336"/>
      <c r="L60" s="1324"/>
      <c r="M60" s="336"/>
      <c r="N60" s="1178"/>
    </row>
    <row r="61" spans="1:14" s="199" customFormat="1" x14ac:dyDescent="0.25">
      <c r="A61" s="427">
        <v>2</v>
      </c>
      <c r="B61" s="427" t="s">
        <v>186</v>
      </c>
      <c r="C61" s="110" t="s">
        <v>614</v>
      </c>
      <c r="D61" s="122"/>
      <c r="E61" s="122"/>
      <c r="F61" s="119"/>
      <c r="G61" s="1059"/>
      <c r="H61" s="1066"/>
      <c r="I61" s="336">
        <f t="shared" si="1"/>
        <v>0</v>
      </c>
      <c r="J61" s="1119"/>
      <c r="K61" s="336">
        <f t="shared" si="2"/>
        <v>0</v>
      </c>
      <c r="L61" s="1324"/>
      <c r="M61" s="336">
        <f t="shared" si="2"/>
        <v>0</v>
      </c>
    </row>
    <row r="62" spans="1:14" s="199" customFormat="1" x14ac:dyDescent="0.25">
      <c r="A62" s="429"/>
      <c r="B62" s="1233"/>
      <c r="C62" s="317" t="s">
        <v>548</v>
      </c>
      <c r="D62" s="318"/>
      <c r="E62" s="317"/>
      <c r="F62" s="319"/>
      <c r="G62" s="1061">
        <f>SUM(G49:G61)</f>
        <v>23087985.358692329</v>
      </c>
      <c r="H62" s="1122">
        <f>SUM(H49:H61)</f>
        <v>-582867</v>
      </c>
      <c r="I62" s="1225">
        <f t="shared" si="1"/>
        <v>22505118.358692329</v>
      </c>
      <c r="J62" s="1118">
        <f>SUM(J49:J61)</f>
        <v>590882</v>
      </c>
      <c r="K62" s="1225">
        <f t="shared" si="2"/>
        <v>23096000.358692329</v>
      </c>
      <c r="L62" s="1118">
        <f>SUM(L49:L61)</f>
        <v>955851</v>
      </c>
      <c r="M62" s="1225">
        <f t="shared" si="2"/>
        <v>24051851.358692329</v>
      </c>
    </row>
    <row r="63" spans="1:14" s="199" customFormat="1" x14ac:dyDescent="0.25">
      <c r="A63" s="429"/>
      <c r="B63" s="1233"/>
      <c r="C63" s="317"/>
      <c r="D63" s="318"/>
      <c r="E63" s="317"/>
      <c r="F63" s="319"/>
      <c r="G63" s="1061"/>
      <c r="H63" s="1066"/>
      <c r="I63" s="336">
        <f t="shared" si="1"/>
        <v>0</v>
      </c>
      <c r="J63" s="1119"/>
      <c r="K63" s="1226"/>
      <c r="L63" s="1324"/>
      <c r="M63" s="1226"/>
    </row>
    <row r="64" spans="1:14" s="199" customFormat="1" ht="14.4" thickBot="1" x14ac:dyDescent="0.3">
      <c r="A64" s="605"/>
      <c r="B64" s="1234"/>
      <c r="C64" s="606"/>
      <c r="D64" s="607"/>
      <c r="E64" s="606"/>
      <c r="F64" s="608"/>
      <c r="G64" s="1062"/>
      <c r="H64" s="1123"/>
      <c r="I64" s="1231">
        <f t="shared" si="1"/>
        <v>0</v>
      </c>
      <c r="J64" s="1321"/>
      <c r="K64" s="1227"/>
      <c r="L64" s="1324"/>
      <c r="M64" s="1227"/>
    </row>
    <row r="65" spans="1:13" s="199" customFormat="1" ht="42" thickBot="1" x14ac:dyDescent="0.3">
      <c r="A65" s="426" t="s">
        <v>99</v>
      </c>
      <c r="B65" s="1242" t="s">
        <v>100</v>
      </c>
      <c r="C65" s="1243" t="s">
        <v>101</v>
      </c>
      <c r="D65" s="1244"/>
      <c r="E65" s="1245" t="s">
        <v>69</v>
      </c>
      <c r="F65" s="1246" t="s">
        <v>70</v>
      </c>
      <c r="G65" s="1247" t="s">
        <v>360</v>
      </c>
      <c r="H65" s="1116" t="s">
        <v>939</v>
      </c>
      <c r="I65" s="551" t="s">
        <v>940</v>
      </c>
      <c r="J65" s="1116" t="s">
        <v>939</v>
      </c>
      <c r="K65" s="551" t="s">
        <v>979</v>
      </c>
      <c r="L65" s="1318" t="s">
        <v>939</v>
      </c>
      <c r="M65" s="551" t="s">
        <v>1046</v>
      </c>
    </row>
    <row r="66" spans="1:13" s="199" customFormat="1" ht="41.4" x14ac:dyDescent="0.25">
      <c r="A66" s="427">
        <v>2</v>
      </c>
      <c r="B66" s="1239" t="s">
        <v>615</v>
      </c>
      <c r="C66" s="1240" t="s">
        <v>513</v>
      </c>
      <c r="D66" s="1159"/>
      <c r="E66" s="1158">
        <v>2</v>
      </c>
      <c r="F66" s="1083">
        <f>'[4]2b. tábla (3)'!D60</f>
        <v>4419000</v>
      </c>
      <c r="G66" s="1241">
        <f>F66*E66</f>
        <v>8838000</v>
      </c>
      <c r="H66" s="1117"/>
      <c r="I66" s="1224">
        <f t="shared" si="1"/>
        <v>8838000</v>
      </c>
      <c r="J66" s="1320"/>
      <c r="K66" s="1224">
        <f>J66+I66</f>
        <v>8838000</v>
      </c>
      <c r="L66" s="1324"/>
      <c r="M66" s="1224">
        <f>L66+K66</f>
        <v>8838000</v>
      </c>
    </row>
    <row r="67" spans="1:13" s="199" customFormat="1" ht="41.4" x14ac:dyDescent="0.25">
      <c r="A67" s="427">
        <v>2</v>
      </c>
      <c r="B67" s="560" t="s">
        <v>616</v>
      </c>
      <c r="C67" s="132" t="s">
        <v>514</v>
      </c>
      <c r="D67" s="122"/>
      <c r="E67" s="117">
        <v>6.5</v>
      </c>
      <c r="F67" s="119">
        <f>'[4]2b. tábla (3)'!D61</f>
        <v>2993000</v>
      </c>
      <c r="G67" s="1059">
        <f>F67*E67</f>
        <v>19454500</v>
      </c>
      <c r="H67" s="1066"/>
      <c r="I67" s="336">
        <f t="shared" si="1"/>
        <v>19454500</v>
      </c>
      <c r="J67" s="1119"/>
      <c r="K67" s="336">
        <f t="shared" ref="K67:M134" si="6">J67+I67</f>
        <v>19454500</v>
      </c>
      <c r="L67" s="1324"/>
      <c r="M67" s="336">
        <f t="shared" si="6"/>
        <v>19454500</v>
      </c>
    </row>
    <row r="68" spans="1:13" s="199" customFormat="1" x14ac:dyDescent="0.25">
      <c r="A68" s="427">
        <v>2</v>
      </c>
      <c r="B68" s="560" t="s">
        <v>617</v>
      </c>
      <c r="C68" s="110" t="s">
        <v>618</v>
      </c>
      <c r="D68" s="122"/>
      <c r="E68" s="117"/>
      <c r="F68" s="119"/>
      <c r="G68" s="1059">
        <v>13877000</v>
      </c>
      <c r="H68" s="1066"/>
      <c r="I68" s="336">
        <f t="shared" si="1"/>
        <v>13877000</v>
      </c>
      <c r="J68" s="1119"/>
      <c r="K68" s="336">
        <f t="shared" si="6"/>
        <v>13877000</v>
      </c>
      <c r="L68" s="1324"/>
      <c r="M68" s="336">
        <f t="shared" si="6"/>
        <v>13877000</v>
      </c>
    </row>
    <row r="69" spans="1:13" s="199" customFormat="1" x14ac:dyDescent="0.25">
      <c r="A69" s="427">
        <v>2</v>
      </c>
      <c r="B69" s="560" t="s">
        <v>612</v>
      </c>
      <c r="C69" s="110" t="s">
        <v>106</v>
      </c>
      <c r="D69" s="122"/>
      <c r="E69" s="117">
        <f>36/1091*24.73</f>
        <v>0.81602199816681942</v>
      </c>
      <c r="F69" s="119">
        <v>1900000</v>
      </c>
      <c r="G69" s="1058">
        <f>E69*F69</f>
        <v>1550441.796516957</v>
      </c>
      <c r="H69" s="1066"/>
      <c r="I69" s="336">
        <f t="shared" si="1"/>
        <v>1550441.796516957</v>
      </c>
      <c r="J69" s="1119"/>
      <c r="K69" s="336">
        <f t="shared" si="6"/>
        <v>1550441.796516957</v>
      </c>
      <c r="L69" s="1324"/>
      <c r="M69" s="336">
        <f t="shared" si="6"/>
        <v>1550441.796516957</v>
      </c>
    </row>
    <row r="70" spans="1:13" s="199" customFormat="1" x14ac:dyDescent="0.25">
      <c r="A70" s="427">
        <v>2</v>
      </c>
      <c r="B70" s="560" t="s">
        <v>613</v>
      </c>
      <c r="C70" s="110" t="s">
        <v>107</v>
      </c>
      <c r="D70" s="122"/>
      <c r="E70" s="117"/>
      <c r="F70" s="119"/>
      <c r="G70" s="1059">
        <v>2310701</v>
      </c>
      <c r="H70" s="1066"/>
      <c r="I70" s="336">
        <f t="shared" si="1"/>
        <v>2310701</v>
      </c>
      <c r="J70" s="1119">
        <v>133419</v>
      </c>
      <c r="K70" s="336">
        <f t="shared" si="6"/>
        <v>2444120</v>
      </c>
      <c r="L70" s="1324"/>
      <c r="M70" s="336">
        <f t="shared" si="6"/>
        <v>2444120</v>
      </c>
    </row>
    <row r="71" spans="1:13" s="199" customFormat="1" x14ac:dyDescent="0.25">
      <c r="A71" s="427"/>
      <c r="B71" s="560" t="s">
        <v>980</v>
      </c>
      <c r="C71" s="110" t="s">
        <v>994</v>
      </c>
      <c r="D71" s="122"/>
      <c r="E71" s="117"/>
      <c r="F71" s="119"/>
      <c r="G71" s="1059"/>
      <c r="H71" s="1066"/>
      <c r="I71" s="336"/>
      <c r="J71" s="1119">
        <v>163205</v>
      </c>
      <c r="K71" s="336">
        <f t="shared" si="6"/>
        <v>163205</v>
      </c>
      <c r="L71" s="1324"/>
      <c r="M71" s="336">
        <f t="shared" si="6"/>
        <v>163205</v>
      </c>
    </row>
    <row r="72" spans="1:13" s="199" customFormat="1" x14ac:dyDescent="0.25">
      <c r="A72" s="566">
        <v>2</v>
      </c>
      <c r="B72" s="427" t="s">
        <v>186</v>
      </c>
      <c r="C72" s="110" t="s">
        <v>614</v>
      </c>
      <c r="D72" s="122"/>
      <c r="E72" s="117"/>
      <c r="F72" s="119"/>
      <c r="G72" s="1059"/>
      <c r="H72" s="1066">
        <v>187975</v>
      </c>
      <c r="I72" s="336">
        <f t="shared" si="1"/>
        <v>187975</v>
      </c>
      <c r="J72" s="1119">
        <v>57431</v>
      </c>
      <c r="K72" s="336">
        <f t="shared" si="6"/>
        <v>245406</v>
      </c>
      <c r="L72" s="1330">
        <v>57108</v>
      </c>
      <c r="M72" s="336">
        <f t="shared" si="6"/>
        <v>302514</v>
      </c>
    </row>
    <row r="73" spans="1:13" s="199" customFormat="1" x14ac:dyDescent="0.25">
      <c r="A73" s="566">
        <v>2</v>
      </c>
      <c r="B73" s="560" t="s">
        <v>619</v>
      </c>
      <c r="C73" s="132" t="s">
        <v>608</v>
      </c>
      <c r="D73" s="122"/>
      <c r="E73" s="117"/>
      <c r="F73" s="119"/>
      <c r="G73" s="1059"/>
      <c r="H73" s="1066">
        <v>493968</v>
      </c>
      <c r="I73" s="336">
        <f t="shared" si="1"/>
        <v>493968</v>
      </c>
      <c r="J73" s="1119">
        <v>244230</v>
      </c>
      <c r="K73" s="336">
        <f t="shared" si="6"/>
        <v>738198</v>
      </c>
      <c r="L73" s="1324">
        <v>235333</v>
      </c>
      <c r="M73" s="336">
        <f t="shared" si="6"/>
        <v>973531</v>
      </c>
    </row>
    <row r="74" spans="1:13" s="199" customFormat="1" x14ac:dyDescent="0.25">
      <c r="A74" s="566"/>
      <c r="B74" s="1235"/>
      <c r="C74" s="111" t="s">
        <v>544</v>
      </c>
      <c r="D74" s="128"/>
      <c r="E74" s="111"/>
      <c r="F74" s="114"/>
      <c r="G74" s="1060">
        <f>SUM(G66:G73)</f>
        <v>46030642.796516955</v>
      </c>
      <c r="H74" s="1120">
        <f>SUM(H66:H73)</f>
        <v>681943</v>
      </c>
      <c r="I74" s="1225">
        <f t="shared" si="1"/>
        <v>46712585.796516955</v>
      </c>
      <c r="J74" s="1118">
        <f>J73+J72+J71+J70+J69+J68+J67+J66</f>
        <v>598285</v>
      </c>
      <c r="K74" s="1225">
        <f t="shared" si="6"/>
        <v>47310870.796516955</v>
      </c>
      <c r="L74" s="1118">
        <f>L73+L72+L71+L70+L69+L68+L67+L66</f>
        <v>292441</v>
      </c>
      <c r="M74" s="1225">
        <f t="shared" si="6"/>
        <v>47603311.796516955</v>
      </c>
    </row>
    <row r="75" spans="1:13" s="199" customFormat="1" x14ac:dyDescent="0.25">
      <c r="A75" s="567"/>
      <c r="B75" s="1236"/>
      <c r="C75" s="110"/>
      <c r="D75" s="122"/>
      <c r="E75" s="110"/>
      <c r="F75" s="561"/>
      <c r="G75" s="1063"/>
      <c r="H75" s="1066"/>
      <c r="I75" s="336">
        <f t="shared" si="1"/>
        <v>0</v>
      </c>
      <c r="J75" s="1119"/>
      <c r="K75" s="336">
        <f t="shared" si="6"/>
        <v>0</v>
      </c>
      <c r="L75" s="1324"/>
      <c r="M75" s="336">
        <f t="shared" si="6"/>
        <v>0</v>
      </c>
    </row>
    <row r="76" spans="1:13" s="199" customFormat="1" x14ac:dyDescent="0.25">
      <c r="A76" s="427"/>
      <c r="B76" s="560" t="s">
        <v>109</v>
      </c>
      <c r="C76" s="562" t="s">
        <v>110</v>
      </c>
      <c r="D76" s="563"/>
      <c r="E76" s="564"/>
      <c r="F76" s="565"/>
      <c r="G76" s="1064"/>
      <c r="H76" s="1066"/>
      <c r="I76" s="336">
        <f t="shared" si="1"/>
        <v>0</v>
      </c>
      <c r="J76" s="1119"/>
      <c r="K76" s="336">
        <f t="shared" si="6"/>
        <v>0</v>
      </c>
      <c r="L76" s="1324"/>
      <c r="M76" s="336">
        <f t="shared" si="6"/>
        <v>0</v>
      </c>
    </row>
    <row r="77" spans="1:13" s="199" customFormat="1" ht="42" x14ac:dyDescent="0.3">
      <c r="A77" s="609">
        <v>2</v>
      </c>
      <c r="B77" s="610" t="s">
        <v>620</v>
      </c>
      <c r="C77" s="125" t="s">
        <v>380</v>
      </c>
      <c r="D77" s="129"/>
      <c r="E77" s="117">
        <v>7.6</v>
      </c>
      <c r="F77" s="107">
        <v>3400000</v>
      </c>
      <c r="G77" s="1059">
        <f>E77*F77</f>
        <v>25840000</v>
      </c>
      <c r="H77" s="1066"/>
      <c r="I77" s="336">
        <f t="shared" si="1"/>
        <v>25840000</v>
      </c>
      <c r="J77" s="1119"/>
      <c r="K77" s="336">
        <f t="shared" si="6"/>
        <v>25840000</v>
      </c>
      <c r="L77" s="1324"/>
      <c r="M77" s="336">
        <f t="shared" si="6"/>
        <v>25840000</v>
      </c>
    </row>
    <row r="78" spans="1:13" s="199" customFormat="1" ht="14.4" x14ac:dyDescent="0.3">
      <c r="A78" s="609">
        <v>2</v>
      </c>
      <c r="B78" s="610"/>
      <c r="C78" s="125" t="s">
        <v>988</v>
      </c>
      <c r="D78" s="129"/>
      <c r="E78" s="117"/>
      <c r="F78" s="107"/>
      <c r="G78" s="1059"/>
      <c r="H78" s="1066"/>
      <c r="I78" s="336"/>
      <c r="J78" s="1119">
        <v>2888000</v>
      </c>
      <c r="K78" s="336">
        <f t="shared" si="6"/>
        <v>2888000</v>
      </c>
      <c r="L78" s="1324"/>
      <c r="M78" s="336">
        <f t="shared" si="6"/>
        <v>2888000</v>
      </c>
    </row>
    <row r="79" spans="1:13" s="199" customFormat="1" ht="42" x14ac:dyDescent="0.3">
      <c r="A79" s="427">
        <v>2</v>
      </c>
      <c r="B79" s="610" t="s">
        <v>621</v>
      </c>
      <c r="C79" s="125" t="s">
        <v>381</v>
      </c>
      <c r="D79" s="129"/>
      <c r="E79" s="117">
        <v>4.7</v>
      </c>
      <c r="F79" s="107">
        <v>3300000</v>
      </c>
      <c r="G79" s="1059">
        <f>E79*F79</f>
        <v>15510000</v>
      </c>
      <c r="H79" s="1066"/>
      <c r="I79" s="336">
        <f t="shared" ref="I79:I135" si="7">G79+H79</f>
        <v>15510000</v>
      </c>
      <c r="J79" s="1119"/>
      <c r="K79" s="336">
        <f t="shared" si="6"/>
        <v>15510000</v>
      </c>
      <c r="L79" s="1324"/>
      <c r="M79" s="336">
        <f t="shared" si="6"/>
        <v>15510000</v>
      </c>
    </row>
    <row r="80" spans="1:13" s="199" customFormat="1" x14ac:dyDescent="0.25">
      <c r="A80" s="609">
        <v>2</v>
      </c>
      <c r="B80" s="560" t="s">
        <v>111</v>
      </c>
      <c r="C80" s="110" t="s">
        <v>83</v>
      </c>
      <c r="D80" s="119"/>
      <c r="E80" s="119">
        <v>92</v>
      </c>
      <c r="F80" s="107">
        <v>55360</v>
      </c>
      <c r="G80" s="1059">
        <f>E80*F80</f>
        <v>5093120</v>
      </c>
      <c r="H80" s="1066"/>
      <c r="I80" s="336">
        <f t="shared" si="7"/>
        <v>5093120</v>
      </c>
      <c r="J80" s="1119"/>
      <c r="K80" s="336">
        <f t="shared" si="6"/>
        <v>5093120</v>
      </c>
      <c r="L80" s="1330">
        <v>-719680</v>
      </c>
      <c r="M80" s="336">
        <f t="shared" si="6"/>
        <v>4373440</v>
      </c>
    </row>
    <row r="81" spans="1:13" s="199" customFormat="1" x14ac:dyDescent="0.25">
      <c r="A81" s="609"/>
      <c r="B81" s="560" t="s">
        <v>111</v>
      </c>
      <c r="C81" s="110" t="s">
        <v>989</v>
      </c>
      <c r="D81" s="119"/>
      <c r="E81" s="119"/>
      <c r="F81" s="107"/>
      <c r="G81" s="1059"/>
      <c r="H81" s="1066"/>
      <c r="I81" s="336"/>
      <c r="J81" s="1119">
        <v>920000</v>
      </c>
      <c r="K81" s="336">
        <f t="shared" si="6"/>
        <v>920000</v>
      </c>
      <c r="L81" s="1324"/>
      <c r="M81" s="336">
        <f t="shared" si="6"/>
        <v>920000</v>
      </c>
    </row>
    <row r="82" spans="1:13" s="199" customFormat="1" x14ac:dyDescent="0.25">
      <c r="A82" s="427">
        <v>2</v>
      </c>
      <c r="B82" s="560" t="s">
        <v>575</v>
      </c>
      <c r="C82" s="110" t="s">
        <v>492</v>
      </c>
      <c r="D82" s="119"/>
      <c r="E82" s="119">
        <v>2</v>
      </c>
      <c r="F82" s="107">
        <v>25000</v>
      </c>
      <c r="G82" s="1059">
        <f>E82*F82</f>
        <v>50000</v>
      </c>
      <c r="H82" s="1066"/>
      <c r="I82" s="336">
        <f t="shared" si="7"/>
        <v>50000</v>
      </c>
      <c r="J82" s="1119"/>
      <c r="K82" s="336">
        <f t="shared" si="6"/>
        <v>50000</v>
      </c>
      <c r="L82" s="1324"/>
      <c r="M82" s="336">
        <f t="shared" si="6"/>
        <v>50000</v>
      </c>
    </row>
    <row r="83" spans="1:13" s="199" customFormat="1" ht="27" customHeight="1" x14ac:dyDescent="0.25">
      <c r="A83" s="427">
        <v>2</v>
      </c>
      <c r="B83" s="610" t="s">
        <v>622</v>
      </c>
      <c r="C83" s="132" t="s">
        <v>574</v>
      </c>
      <c r="D83" s="119"/>
      <c r="E83" s="119">
        <v>26</v>
      </c>
      <c r="F83" s="107">
        <v>429000</v>
      </c>
      <c r="G83" s="1059">
        <f>F83*E83</f>
        <v>11154000</v>
      </c>
      <c r="H83" s="1066"/>
      <c r="I83" s="336">
        <f t="shared" si="7"/>
        <v>11154000</v>
      </c>
      <c r="J83" s="1119"/>
      <c r="K83" s="336">
        <f t="shared" si="6"/>
        <v>11154000</v>
      </c>
      <c r="L83" s="1324"/>
      <c r="M83" s="336">
        <f t="shared" si="6"/>
        <v>11154000</v>
      </c>
    </row>
    <row r="84" spans="1:13" s="199" customFormat="1" ht="27.6" x14ac:dyDescent="0.25">
      <c r="A84" s="427">
        <v>2</v>
      </c>
      <c r="B84" s="560" t="s">
        <v>112</v>
      </c>
      <c r="C84" s="132" t="s">
        <v>382</v>
      </c>
      <c r="D84" s="119"/>
      <c r="E84" s="119">
        <v>39</v>
      </c>
      <c r="F84" s="120">
        <v>163500</v>
      </c>
      <c r="G84" s="1059">
        <f>F84*E84</f>
        <v>6376500</v>
      </c>
      <c r="H84" s="1066"/>
      <c r="I84" s="336">
        <f t="shared" si="7"/>
        <v>6376500</v>
      </c>
      <c r="J84" s="1119"/>
      <c r="K84" s="336">
        <f t="shared" si="6"/>
        <v>6376500</v>
      </c>
      <c r="L84" s="1324"/>
      <c r="M84" s="336">
        <f t="shared" si="6"/>
        <v>6376500</v>
      </c>
    </row>
    <row r="85" spans="1:13" s="199" customFormat="1" x14ac:dyDescent="0.25">
      <c r="A85" s="427">
        <v>2</v>
      </c>
      <c r="B85" s="560" t="s">
        <v>112</v>
      </c>
      <c r="C85" s="132" t="s">
        <v>990</v>
      </c>
      <c r="D85" s="119"/>
      <c r="E85" s="119"/>
      <c r="F85" s="120"/>
      <c r="G85" s="1059"/>
      <c r="H85" s="1066"/>
      <c r="I85" s="336"/>
      <c r="J85" s="1119">
        <v>4739000</v>
      </c>
      <c r="K85" s="336">
        <f t="shared" si="6"/>
        <v>4739000</v>
      </c>
      <c r="L85" s="1324"/>
      <c r="M85" s="336">
        <f t="shared" si="6"/>
        <v>4739000</v>
      </c>
    </row>
    <row r="86" spans="1:13" s="199" customFormat="1" ht="28.8" x14ac:dyDescent="0.3">
      <c r="A86" s="427">
        <v>2</v>
      </c>
      <c r="B86" s="560" t="s">
        <v>113</v>
      </c>
      <c r="C86" s="133" t="s">
        <v>84</v>
      </c>
      <c r="D86" s="126"/>
      <c r="E86" s="126"/>
      <c r="F86" s="127"/>
      <c r="G86" s="1065">
        <f>G87+G88+G89</f>
        <v>16060000</v>
      </c>
      <c r="H86" s="1066"/>
      <c r="I86" s="336">
        <f t="shared" si="7"/>
        <v>16060000</v>
      </c>
      <c r="J86" s="1119"/>
      <c r="K86" s="336">
        <f t="shared" si="6"/>
        <v>16060000</v>
      </c>
      <c r="L86" s="1065">
        <f>L87+L88+L89</f>
        <v>-1100000</v>
      </c>
      <c r="M86" s="336">
        <f t="shared" si="6"/>
        <v>14960000</v>
      </c>
    </row>
    <row r="87" spans="1:13" s="199" customFormat="1" x14ac:dyDescent="0.25">
      <c r="A87" s="427">
        <v>2</v>
      </c>
      <c r="B87" s="560" t="s">
        <v>576</v>
      </c>
      <c r="C87" s="110" t="s">
        <v>85</v>
      </c>
      <c r="D87" s="119"/>
      <c r="E87" s="119">
        <v>13</v>
      </c>
      <c r="F87" s="107">
        <v>550000</v>
      </c>
      <c r="G87" s="1059">
        <f>F87*E87</f>
        <v>7150000</v>
      </c>
      <c r="H87" s="1066"/>
      <c r="I87" s="336">
        <f t="shared" si="7"/>
        <v>7150000</v>
      </c>
      <c r="J87" s="1119"/>
      <c r="K87" s="336">
        <f t="shared" si="6"/>
        <v>7150000</v>
      </c>
      <c r="L87" s="1324"/>
      <c r="M87" s="336">
        <f t="shared" si="6"/>
        <v>7150000</v>
      </c>
    </row>
    <row r="88" spans="1:13" s="199" customFormat="1" ht="27.6" x14ac:dyDescent="0.25">
      <c r="A88" s="427"/>
      <c r="B88" s="560" t="s">
        <v>577</v>
      </c>
      <c r="C88" s="132" t="s">
        <v>86</v>
      </c>
      <c r="D88" s="119"/>
      <c r="E88" s="119">
        <v>23</v>
      </c>
      <c r="F88" s="107">
        <v>220000</v>
      </c>
      <c r="G88" s="1059">
        <f>F88*E88</f>
        <v>5060000</v>
      </c>
      <c r="H88" s="1066"/>
      <c r="I88" s="336">
        <f t="shared" si="7"/>
        <v>5060000</v>
      </c>
      <c r="J88" s="1119"/>
      <c r="K88" s="336">
        <f t="shared" si="6"/>
        <v>5060000</v>
      </c>
      <c r="L88" s="1324"/>
      <c r="M88" s="336">
        <f t="shared" si="6"/>
        <v>5060000</v>
      </c>
    </row>
    <row r="89" spans="1:13" s="199" customFormat="1" ht="27.6" x14ac:dyDescent="0.25">
      <c r="A89" s="427">
        <v>2</v>
      </c>
      <c r="B89" s="560" t="s">
        <v>578</v>
      </c>
      <c r="C89" s="400" t="s">
        <v>334</v>
      </c>
      <c r="D89" s="119"/>
      <c r="E89" s="119">
        <v>7</v>
      </c>
      <c r="F89" s="107">
        <v>550000</v>
      </c>
      <c r="G89" s="1059">
        <f>F89*E89</f>
        <v>3850000</v>
      </c>
      <c r="H89" s="1066"/>
      <c r="I89" s="336">
        <f t="shared" si="7"/>
        <v>3850000</v>
      </c>
      <c r="J89" s="1119"/>
      <c r="K89" s="336">
        <f t="shared" si="6"/>
        <v>3850000</v>
      </c>
      <c r="L89" s="1330">
        <v>-1100000</v>
      </c>
      <c r="M89" s="336">
        <f t="shared" si="6"/>
        <v>2750000</v>
      </c>
    </row>
    <row r="90" spans="1:13" s="199" customFormat="1" ht="14.4" x14ac:dyDescent="0.3">
      <c r="A90" s="427"/>
      <c r="B90" s="560" t="s">
        <v>113</v>
      </c>
      <c r="C90" s="125" t="s">
        <v>998</v>
      </c>
      <c r="D90" s="119"/>
      <c r="E90" s="119"/>
      <c r="F90" s="107"/>
      <c r="G90" s="1059"/>
      <c r="H90" s="1066"/>
      <c r="I90" s="336"/>
      <c r="J90" s="1119">
        <v>6071000</v>
      </c>
      <c r="K90" s="336">
        <f t="shared" si="6"/>
        <v>6071000</v>
      </c>
      <c r="L90" s="1330"/>
      <c r="M90" s="336">
        <f t="shared" si="6"/>
        <v>6071000</v>
      </c>
    </row>
    <row r="91" spans="1:13" s="199" customFormat="1" x14ac:dyDescent="0.25">
      <c r="A91" s="427">
        <v>2</v>
      </c>
      <c r="B91" s="560" t="s">
        <v>623</v>
      </c>
      <c r="C91" s="109" t="s">
        <v>605</v>
      </c>
      <c r="D91" s="119"/>
      <c r="E91" s="119"/>
      <c r="F91" s="107"/>
      <c r="G91" s="1059">
        <v>13381995</v>
      </c>
      <c r="H91" s="1066"/>
      <c r="I91" s="336">
        <f t="shared" si="7"/>
        <v>13381995</v>
      </c>
      <c r="J91" s="1119"/>
      <c r="K91" s="336">
        <f t="shared" si="6"/>
        <v>13381995</v>
      </c>
      <c r="L91" s="1330"/>
      <c r="M91" s="336">
        <f t="shared" si="6"/>
        <v>13381995</v>
      </c>
    </row>
    <row r="92" spans="1:13" s="199" customFormat="1" x14ac:dyDescent="0.25">
      <c r="A92" s="427">
        <v>2</v>
      </c>
      <c r="B92" s="427" t="s">
        <v>186</v>
      </c>
      <c r="C92" s="110" t="s">
        <v>614</v>
      </c>
      <c r="D92" s="119"/>
      <c r="E92" s="119"/>
      <c r="F92" s="107"/>
      <c r="G92" s="1059"/>
      <c r="H92" s="1066">
        <v>811288</v>
      </c>
      <c r="I92" s="336">
        <f t="shared" si="7"/>
        <v>811288</v>
      </c>
      <c r="J92" s="1119">
        <v>397394</v>
      </c>
      <c r="K92" s="336">
        <f t="shared" si="6"/>
        <v>1208682</v>
      </c>
      <c r="L92" s="1330">
        <v>395149</v>
      </c>
      <c r="M92" s="336">
        <f t="shared" si="6"/>
        <v>1603831</v>
      </c>
    </row>
    <row r="93" spans="1:13" s="199" customFormat="1" x14ac:dyDescent="0.25">
      <c r="A93" s="427">
        <v>2</v>
      </c>
      <c r="B93" s="560" t="s">
        <v>619</v>
      </c>
      <c r="C93" s="132" t="s">
        <v>608</v>
      </c>
      <c r="D93" s="119"/>
      <c r="E93" s="119"/>
      <c r="F93" s="107"/>
      <c r="G93" s="1059"/>
      <c r="H93" s="1066">
        <v>9924257</v>
      </c>
      <c r="I93" s="336">
        <f t="shared" si="7"/>
        <v>9924257</v>
      </c>
      <c r="J93" s="1119">
        <v>5050340</v>
      </c>
      <c r="K93" s="336">
        <f t="shared" si="6"/>
        <v>14974597</v>
      </c>
      <c r="L93" s="1330">
        <v>5310092</v>
      </c>
      <c r="M93" s="336">
        <f t="shared" si="6"/>
        <v>20284689</v>
      </c>
    </row>
    <row r="94" spans="1:13" s="199" customFormat="1" x14ac:dyDescent="0.25">
      <c r="A94" s="427">
        <v>2</v>
      </c>
      <c r="B94" s="1232"/>
      <c r="C94" s="111" t="s">
        <v>547</v>
      </c>
      <c r="D94" s="134"/>
      <c r="E94" s="114"/>
      <c r="F94" s="115"/>
      <c r="G94" s="1060">
        <f>G77+G79+G80+G82+G84+G86+G83+G92+G93+G91</f>
        <v>93465615</v>
      </c>
      <c r="H94" s="1120">
        <f>H77+H79+H80+H82+H84+H86+H83+H92+H93+H91</f>
        <v>10735545</v>
      </c>
      <c r="I94" s="1225">
        <f t="shared" si="7"/>
        <v>104201160</v>
      </c>
      <c r="J94" s="1120">
        <f>J77+J79+J80+J82+J84+J86+J83+J92+J93+J91+J90+J85+J81+J78</f>
        <v>20065734</v>
      </c>
      <c r="K94" s="1225">
        <f t="shared" si="6"/>
        <v>124266894</v>
      </c>
      <c r="L94" s="1120">
        <f>L77+L79+L80+L82+L84+L86+L83+L92+L93+L91+L90+L85+L81+L78</f>
        <v>3885561</v>
      </c>
      <c r="M94" s="1225">
        <f t="shared" si="6"/>
        <v>128152455</v>
      </c>
    </row>
    <row r="95" spans="1:13" s="199" customFormat="1" x14ac:dyDescent="0.25">
      <c r="A95" s="427"/>
      <c r="B95" s="560"/>
      <c r="C95" s="111"/>
      <c r="D95" s="134"/>
      <c r="E95" s="111"/>
      <c r="F95" s="114"/>
      <c r="G95" s="1060"/>
      <c r="H95" s="1066"/>
      <c r="I95" s="336">
        <f t="shared" si="7"/>
        <v>0</v>
      </c>
      <c r="J95" s="1119"/>
      <c r="K95" s="336">
        <f t="shared" si="6"/>
        <v>0</v>
      </c>
      <c r="L95" s="1324"/>
      <c r="M95" s="336">
        <f t="shared" si="6"/>
        <v>0</v>
      </c>
    </row>
    <row r="96" spans="1:13" s="199" customFormat="1" x14ac:dyDescent="0.25">
      <c r="A96" s="427">
        <v>2</v>
      </c>
      <c r="B96" s="560" t="s">
        <v>515</v>
      </c>
      <c r="C96" s="110" t="s">
        <v>114</v>
      </c>
      <c r="D96" s="128"/>
      <c r="E96" s="110">
        <v>39.18</v>
      </c>
      <c r="F96" s="119">
        <v>4580000</v>
      </c>
      <c r="G96" s="1059">
        <f>E96*F96</f>
        <v>179444400</v>
      </c>
      <c r="H96" s="1066"/>
      <c r="I96" s="336">
        <f t="shared" si="7"/>
        <v>179444400</v>
      </c>
      <c r="J96" s="1119"/>
      <c r="K96" s="336">
        <f t="shared" si="6"/>
        <v>179444400</v>
      </c>
      <c r="L96" s="1324"/>
      <c r="M96" s="336">
        <f t="shared" si="6"/>
        <v>179444400</v>
      </c>
    </row>
    <row r="97" spans="1:13" s="199" customFormat="1" x14ac:dyDescent="0.25">
      <c r="A97" s="427"/>
      <c r="B97" s="560" t="s">
        <v>187</v>
      </c>
      <c r="C97" s="402" t="s">
        <v>986</v>
      </c>
      <c r="D97" s="128"/>
      <c r="E97" s="110"/>
      <c r="F97" s="119"/>
      <c r="G97" s="1059"/>
      <c r="H97" s="1066"/>
      <c r="I97" s="336"/>
      <c r="J97" s="1119">
        <v>5093000</v>
      </c>
      <c r="K97" s="336">
        <f t="shared" si="6"/>
        <v>5093000</v>
      </c>
      <c r="L97" s="1324"/>
      <c r="M97" s="336">
        <f t="shared" si="6"/>
        <v>5093000</v>
      </c>
    </row>
    <row r="98" spans="1:13" s="199" customFormat="1" x14ac:dyDescent="0.25">
      <c r="A98" s="427"/>
      <c r="B98" s="560" t="s">
        <v>186</v>
      </c>
      <c r="C98" s="110" t="s">
        <v>614</v>
      </c>
      <c r="D98" s="128"/>
      <c r="E98" s="110"/>
      <c r="F98" s="114"/>
      <c r="G98" s="1059"/>
      <c r="H98" s="1066">
        <v>117825</v>
      </c>
      <c r="I98" s="336">
        <f t="shared" si="7"/>
        <v>117825</v>
      </c>
      <c r="J98" s="1119">
        <v>44668</v>
      </c>
      <c r="K98" s="336">
        <f t="shared" si="6"/>
        <v>162493</v>
      </c>
      <c r="L98" s="1324">
        <v>44415</v>
      </c>
      <c r="M98" s="336">
        <f t="shared" si="6"/>
        <v>206908</v>
      </c>
    </row>
    <row r="99" spans="1:13" s="199" customFormat="1" x14ac:dyDescent="0.25">
      <c r="A99" s="427"/>
      <c r="B99" s="560" t="s">
        <v>995</v>
      </c>
      <c r="C99" s="109" t="s">
        <v>981</v>
      </c>
      <c r="D99" s="122"/>
      <c r="E99" s="110"/>
      <c r="F99" s="119"/>
      <c r="G99" s="1059"/>
      <c r="H99" s="1066"/>
      <c r="I99" s="336"/>
      <c r="J99" s="1119">
        <v>900000</v>
      </c>
      <c r="K99" s="336">
        <f t="shared" ref="K99:M99" si="8">J99+I99</f>
        <v>900000</v>
      </c>
      <c r="L99" s="1324"/>
      <c r="M99" s="336">
        <f t="shared" si="8"/>
        <v>900000</v>
      </c>
    </row>
    <row r="100" spans="1:13" s="199" customFormat="1" x14ac:dyDescent="0.25">
      <c r="A100" s="428"/>
      <c r="B100" s="428"/>
      <c r="C100" s="111" t="s">
        <v>546</v>
      </c>
      <c r="D100" s="134"/>
      <c r="E100" s="111"/>
      <c r="F100" s="114"/>
      <c r="G100" s="1060">
        <f>G96+G98</f>
        <v>179444400</v>
      </c>
      <c r="H100" s="1120">
        <f>H96+H98</f>
        <v>117825</v>
      </c>
      <c r="I100" s="1225">
        <f t="shared" si="7"/>
        <v>179562225</v>
      </c>
      <c r="J100" s="1118">
        <f>J98+J97+J96+J99</f>
        <v>6037668</v>
      </c>
      <c r="K100" s="1225">
        <f>J100+I100</f>
        <v>185599893</v>
      </c>
      <c r="L100" s="1118">
        <f>L98+L97+L96+L99</f>
        <v>44415</v>
      </c>
      <c r="M100" s="1225">
        <f>L100+K100</f>
        <v>185644308</v>
      </c>
    </row>
    <row r="101" spans="1:13" s="199" customFormat="1" x14ac:dyDescent="0.25">
      <c r="A101" s="427"/>
      <c r="B101" s="427"/>
      <c r="C101" s="111"/>
      <c r="D101" s="134"/>
      <c r="E101" s="110"/>
      <c r="F101" s="114"/>
      <c r="G101" s="1060"/>
      <c r="H101" s="1066"/>
      <c r="I101" s="336">
        <f t="shared" si="7"/>
        <v>0</v>
      </c>
      <c r="J101" s="1119"/>
      <c r="K101" s="336">
        <f t="shared" si="6"/>
        <v>0</v>
      </c>
      <c r="L101" s="1324"/>
      <c r="M101" s="336">
        <f t="shared" si="6"/>
        <v>0</v>
      </c>
    </row>
    <row r="102" spans="1:13" s="199" customFormat="1" x14ac:dyDescent="0.25">
      <c r="A102" s="427">
        <v>2</v>
      </c>
      <c r="B102" s="427" t="s">
        <v>115</v>
      </c>
      <c r="C102" s="110" t="s">
        <v>116</v>
      </c>
      <c r="D102" s="129"/>
      <c r="E102" s="119">
        <f>'[5]2b. tábla 2018 (2)'!C68</f>
        <v>13768</v>
      </c>
      <c r="F102" s="119">
        <v>1210</v>
      </c>
      <c r="G102" s="1059">
        <f>E102*F102</f>
        <v>16659280</v>
      </c>
      <c r="H102" s="1066">
        <v>-2100000</v>
      </c>
      <c r="I102" s="336">
        <f t="shared" si="7"/>
        <v>14559280</v>
      </c>
      <c r="J102" s="1119"/>
      <c r="K102" s="336">
        <f t="shared" si="6"/>
        <v>14559280</v>
      </c>
      <c r="L102" s="1324"/>
      <c r="M102" s="336">
        <f t="shared" si="6"/>
        <v>14559280</v>
      </c>
    </row>
    <row r="103" spans="1:13" s="199" customFormat="1" x14ac:dyDescent="0.25">
      <c r="A103" s="427"/>
      <c r="B103" s="427" t="s">
        <v>115</v>
      </c>
      <c r="C103" s="119" t="s">
        <v>996</v>
      </c>
      <c r="D103" s="129"/>
      <c r="E103" s="119"/>
      <c r="F103" s="119"/>
      <c r="G103" s="1059"/>
      <c r="H103" s="1066"/>
      <c r="I103" s="336"/>
      <c r="J103" s="1119">
        <v>564000</v>
      </c>
      <c r="K103" s="336">
        <f t="shared" si="6"/>
        <v>564000</v>
      </c>
      <c r="L103" s="1324"/>
      <c r="M103" s="336">
        <f t="shared" si="6"/>
        <v>564000</v>
      </c>
    </row>
    <row r="104" spans="1:13" s="199" customFormat="1" x14ac:dyDescent="0.25">
      <c r="A104" s="427">
        <v>2</v>
      </c>
      <c r="B104" s="427" t="s">
        <v>363</v>
      </c>
      <c r="C104" s="110" t="s">
        <v>361</v>
      </c>
      <c r="D104" s="129"/>
      <c r="E104" s="110"/>
      <c r="F104" s="119"/>
      <c r="G104" s="1059"/>
      <c r="H104" s="1066">
        <v>1007000</v>
      </c>
      <c r="I104" s="336">
        <f t="shared" si="7"/>
        <v>1007000</v>
      </c>
      <c r="J104" s="1119"/>
      <c r="K104" s="336">
        <f t="shared" si="6"/>
        <v>1007000</v>
      </c>
      <c r="L104" s="1324"/>
      <c r="M104" s="336">
        <f t="shared" si="6"/>
        <v>1007000</v>
      </c>
    </row>
    <row r="105" spans="1:13" s="199" customFormat="1" x14ac:dyDescent="0.25">
      <c r="A105" s="427">
        <v>2</v>
      </c>
      <c r="B105" s="427" t="s">
        <v>186</v>
      </c>
      <c r="C105" s="110" t="s">
        <v>614</v>
      </c>
      <c r="D105" s="129"/>
      <c r="E105" s="110"/>
      <c r="F105" s="119"/>
      <c r="G105" s="1059"/>
      <c r="H105" s="1066">
        <v>124758</v>
      </c>
      <c r="I105" s="336">
        <f t="shared" si="7"/>
        <v>124758</v>
      </c>
      <c r="J105" s="1119">
        <v>50341</v>
      </c>
      <c r="K105" s="336">
        <f t="shared" si="6"/>
        <v>175099</v>
      </c>
      <c r="L105" s="1330">
        <v>33138</v>
      </c>
      <c r="M105" s="336">
        <f t="shared" si="6"/>
        <v>208237</v>
      </c>
    </row>
    <row r="106" spans="1:13" s="199" customFormat="1" x14ac:dyDescent="0.25">
      <c r="A106" s="427">
        <v>2</v>
      </c>
      <c r="B106" s="427" t="s">
        <v>624</v>
      </c>
      <c r="C106" s="109" t="s">
        <v>609</v>
      </c>
      <c r="D106" s="129"/>
      <c r="E106" s="110"/>
      <c r="F106" s="119"/>
      <c r="G106" s="1059"/>
      <c r="H106" s="1066">
        <v>1685600</v>
      </c>
      <c r="I106" s="336">
        <f t="shared" si="7"/>
        <v>1685600</v>
      </c>
      <c r="J106" s="1119">
        <f>'2b. tábla 2019 (2)'!H75</f>
        <v>880234</v>
      </c>
      <c r="K106" s="336">
        <f t="shared" si="6"/>
        <v>2565834</v>
      </c>
      <c r="L106" s="1324">
        <v>841151</v>
      </c>
      <c r="M106" s="336">
        <f t="shared" si="6"/>
        <v>3406985</v>
      </c>
    </row>
    <row r="107" spans="1:13" s="199" customFormat="1" x14ac:dyDescent="0.25">
      <c r="A107" s="427"/>
      <c r="B107" s="428"/>
      <c r="C107" s="111" t="s">
        <v>545</v>
      </c>
      <c r="D107" s="128"/>
      <c r="E107" s="111"/>
      <c r="F107" s="114"/>
      <c r="G107" s="1060">
        <f>G102+G104+G105+G106</f>
        <v>16659280</v>
      </c>
      <c r="H107" s="1120">
        <f>H102+H104+H105+H106</f>
        <v>717358</v>
      </c>
      <c r="I107" s="1225">
        <f t="shared" si="7"/>
        <v>17376638</v>
      </c>
      <c r="J107" s="1118">
        <f>J106+J105+J103</f>
        <v>1494575</v>
      </c>
      <c r="K107" s="1225">
        <f t="shared" si="6"/>
        <v>18871213</v>
      </c>
      <c r="L107" s="1118">
        <f>L106+L105+L103</f>
        <v>874289</v>
      </c>
      <c r="M107" s="1225">
        <f t="shared" si="6"/>
        <v>19745502</v>
      </c>
    </row>
    <row r="108" spans="1:13" s="199" customFormat="1" x14ac:dyDescent="0.25">
      <c r="A108" s="427"/>
      <c r="B108" s="428"/>
      <c r="C108" s="111"/>
      <c r="D108" s="128"/>
      <c r="E108" s="111"/>
      <c r="F108" s="114"/>
      <c r="G108" s="1060"/>
      <c r="H108" s="1066"/>
      <c r="I108" s="336">
        <f t="shared" si="7"/>
        <v>0</v>
      </c>
      <c r="J108" s="1119"/>
      <c r="K108" s="336">
        <f t="shared" si="6"/>
        <v>0</v>
      </c>
      <c r="L108" s="1324"/>
      <c r="M108" s="336">
        <f t="shared" si="6"/>
        <v>0</v>
      </c>
    </row>
    <row r="109" spans="1:13" s="199" customFormat="1" x14ac:dyDescent="0.25">
      <c r="A109" s="427" t="s">
        <v>373</v>
      </c>
      <c r="B109" s="427" t="s">
        <v>186</v>
      </c>
      <c r="C109" s="110" t="s">
        <v>614</v>
      </c>
      <c r="D109" s="128"/>
      <c r="E109" s="111"/>
      <c r="F109" s="114"/>
      <c r="G109" s="1059"/>
      <c r="H109" s="1066">
        <v>354922</v>
      </c>
      <c r="I109" s="336">
        <f t="shared" si="7"/>
        <v>354922</v>
      </c>
      <c r="J109" s="1119">
        <v>230186</v>
      </c>
      <c r="K109" s="336">
        <f t="shared" si="6"/>
        <v>585108</v>
      </c>
      <c r="L109" s="1330">
        <v>260847</v>
      </c>
      <c r="M109" s="336">
        <f t="shared" si="6"/>
        <v>845955</v>
      </c>
    </row>
    <row r="110" spans="1:13" s="199" customFormat="1" x14ac:dyDescent="0.25">
      <c r="A110" s="427"/>
      <c r="B110" s="428"/>
      <c r="C110" s="111" t="s">
        <v>543</v>
      </c>
      <c r="D110" s="128"/>
      <c r="E110" s="111"/>
      <c r="F110" s="114"/>
      <c r="G110" s="1060">
        <f>G109</f>
        <v>0</v>
      </c>
      <c r="H110" s="1120">
        <f>H109</f>
        <v>354922</v>
      </c>
      <c r="I110" s="1225">
        <f t="shared" si="7"/>
        <v>354922</v>
      </c>
      <c r="J110" s="1118">
        <f>J109</f>
        <v>230186</v>
      </c>
      <c r="K110" s="1225">
        <f t="shared" si="6"/>
        <v>585108</v>
      </c>
      <c r="L110" s="1118">
        <f>L109</f>
        <v>260847</v>
      </c>
      <c r="M110" s="1225">
        <f t="shared" si="6"/>
        <v>845955</v>
      </c>
    </row>
    <row r="111" spans="1:13" s="199" customFormat="1" x14ac:dyDescent="0.25">
      <c r="A111" s="428"/>
      <c r="B111" s="560"/>
      <c r="C111" s="110"/>
      <c r="D111" s="122"/>
      <c r="E111" s="110"/>
      <c r="F111" s="119"/>
      <c r="G111" s="1059"/>
      <c r="H111" s="1066"/>
      <c r="I111" s="336">
        <f t="shared" si="7"/>
        <v>0</v>
      </c>
      <c r="J111" s="1119"/>
      <c r="K111" s="336">
        <f t="shared" si="6"/>
        <v>0</v>
      </c>
      <c r="L111" s="1324"/>
      <c r="M111" s="336">
        <f t="shared" si="6"/>
        <v>0</v>
      </c>
    </row>
    <row r="112" spans="1:13" s="199" customFormat="1" ht="27.6" x14ac:dyDescent="0.25">
      <c r="A112" s="428"/>
      <c r="B112" s="560"/>
      <c r="C112" s="401" t="s">
        <v>332</v>
      </c>
      <c r="D112" s="122"/>
      <c r="E112" s="110"/>
      <c r="F112" s="119"/>
      <c r="G112" s="1060"/>
      <c r="H112" s="1066"/>
      <c r="I112" s="336">
        <f t="shared" si="7"/>
        <v>0</v>
      </c>
      <c r="J112" s="1119"/>
      <c r="K112" s="336">
        <f t="shared" si="6"/>
        <v>0</v>
      </c>
      <c r="L112" s="1324"/>
      <c r="M112" s="336">
        <f t="shared" si="6"/>
        <v>0</v>
      </c>
    </row>
    <row r="113" spans="1:14" s="199" customFormat="1" ht="14.4" x14ac:dyDescent="0.3">
      <c r="A113" s="427">
        <v>2</v>
      </c>
      <c r="B113" s="560" t="s">
        <v>625</v>
      </c>
      <c r="C113" s="125" t="s">
        <v>117</v>
      </c>
      <c r="D113" s="128"/>
      <c r="E113" s="111"/>
      <c r="F113" s="114"/>
      <c r="G113" s="1065">
        <f>G114+G115+G116+G117</f>
        <v>0</v>
      </c>
      <c r="H113" s="1066"/>
      <c r="I113" s="336">
        <f t="shared" si="7"/>
        <v>0</v>
      </c>
      <c r="J113" s="1119"/>
      <c r="K113" s="336">
        <f t="shared" si="6"/>
        <v>0</v>
      </c>
      <c r="L113" s="1324"/>
      <c r="M113" s="336">
        <f t="shared" si="6"/>
        <v>0</v>
      </c>
    </row>
    <row r="114" spans="1:14" s="199" customFormat="1" x14ac:dyDescent="0.25">
      <c r="A114" s="427">
        <v>2</v>
      </c>
      <c r="B114" s="560" t="s">
        <v>626</v>
      </c>
      <c r="C114" s="110" t="s">
        <v>73</v>
      </c>
      <c r="D114" s="128"/>
      <c r="E114" s="111"/>
      <c r="F114" s="114"/>
      <c r="G114" s="1059">
        <v>0</v>
      </c>
      <c r="H114" s="1066"/>
      <c r="I114" s="336">
        <f t="shared" si="7"/>
        <v>0</v>
      </c>
      <c r="J114" s="1119"/>
      <c r="K114" s="336">
        <f t="shared" si="6"/>
        <v>0</v>
      </c>
      <c r="L114" s="1324"/>
      <c r="M114" s="336">
        <f t="shared" si="6"/>
        <v>0</v>
      </c>
    </row>
    <row r="115" spans="1:14" s="199" customFormat="1" x14ac:dyDescent="0.25">
      <c r="A115" s="611">
        <v>2</v>
      </c>
      <c r="B115" s="560" t="s">
        <v>627</v>
      </c>
      <c r="C115" s="110" t="s">
        <v>75</v>
      </c>
      <c r="D115" s="122"/>
      <c r="E115" s="110"/>
      <c r="F115" s="107"/>
      <c r="G115" s="1059">
        <v>0</v>
      </c>
      <c r="H115" s="1066"/>
      <c r="I115" s="336">
        <f t="shared" si="7"/>
        <v>0</v>
      </c>
      <c r="J115" s="1119"/>
      <c r="K115" s="336">
        <f t="shared" si="6"/>
        <v>0</v>
      </c>
      <c r="L115" s="1324"/>
      <c r="M115" s="336">
        <f t="shared" si="6"/>
        <v>0</v>
      </c>
    </row>
    <row r="116" spans="1:14" s="199" customFormat="1" x14ac:dyDescent="0.25">
      <c r="A116" s="427">
        <v>2</v>
      </c>
      <c r="B116" s="560" t="s">
        <v>628</v>
      </c>
      <c r="C116" s="110" t="s">
        <v>76</v>
      </c>
      <c r="D116" s="122"/>
      <c r="E116" s="110"/>
      <c r="F116" s="119"/>
      <c r="G116" s="1059">
        <v>0</v>
      </c>
      <c r="H116" s="1066"/>
      <c r="I116" s="336">
        <f t="shared" si="7"/>
        <v>0</v>
      </c>
      <c r="J116" s="1119"/>
      <c r="K116" s="336">
        <f t="shared" si="6"/>
        <v>0</v>
      </c>
      <c r="L116" s="1324"/>
      <c r="M116" s="336">
        <f t="shared" si="6"/>
        <v>0</v>
      </c>
    </row>
    <row r="117" spans="1:14" s="199" customFormat="1" x14ac:dyDescent="0.25">
      <c r="A117" s="427">
        <v>2</v>
      </c>
      <c r="B117" s="560" t="s">
        <v>629</v>
      </c>
      <c r="C117" s="110" t="s">
        <v>77</v>
      </c>
      <c r="D117" s="122"/>
      <c r="E117" s="119"/>
      <c r="F117" s="130"/>
      <c r="G117" s="1059">
        <v>0</v>
      </c>
      <c r="H117" s="1066"/>
      <c r="I117" s="336">
        <f t="shared" si="7"/>
        <v>0</v>
      </c>
      <c r="J117" s="1119"/>
      <c r="K117" s="336">
        <f t="shared" si="6"/>
        <v>0</v>
      </c>
      <c r="L117" s="1324"/>
      <c r="M117" s="336">
        <f t="shared" si="6"/>
        <v>0</v>
      </c>
    </row>
    <row r="118" spans="1:14" s="199" customFormat="1" x14ac:dyDescent="0.25">
      <c r="A118" s="427">
        <v>2</v>
      </c>
      <c r="B118" s="560" t="s">
        <v>630</v>
      </c>
      <c r="C118" s="110" t="s">
        <v>331</v>
      </c>
      <c r="D118" s="122"/>
      <c r="E118" s="119"/>
      <c r="F118" s="130"/>
      <c r="G118" s="1059">
        <v>0</v>
      </c>
      <c r="H118" s="1066"/>
      <c r="I118" s="336">
        <f t="shared" si="7"/>
        <v>0</v>
      </c>
      <c r="J118" s="1119"/>
      <c r="K118" s="336">
        <f t="shared" si="6"/>
        <v>0</v>
      </c>
      <c r="L118" s="1324"/>
      <c r="M118" s="336">
        <f t="shared" si="6"/>
        <v>0</v>
      </c>
    </row>
    <row r="119" spans="1:14" s="199" customFormat="1" x14ac:dyDescent="0.25">
      <c r="A119" s="427">
        <v>2</v>
      </c>
      <c r="B119" s="560" t="s">
        <v>631</v>
      </c>
      <c r="C119" s="110" t="s">
        <v>97</v>
      </c>
      <c r="D119" s="122"/>
      <c r="E119" s="119"/>
      <c r="F119" s="130"/>
      <c r="G119" s="1059">
        <v>0</v>
      </c>
      <c r="H119" s="1066"/>
      <c r="I119" s="336">
        <f t="shared" si="7"/>
        <v>0</v>
      </c>
      <c r="J119" s="1119"/>
      <c r="K119" s="336">
        <f t="shared" si="6"/>
        <v>0</v>
      </c>
      <c r="L119" s="1324"/>
      <c r="M119" s="336">
        <f t="shared" si="6"/>
        <v>0</v>
      </c>
    </row>
    <row r="120" spans="1:14" s="199" customFormat="1" x14ac:dyDescent="0.25">
      <c r="A120" s="427">
        <v>2</v>
      </c>
      <c r="B120" s="560" t="s">
        <v>632</v>
      </c>
      <c r="C120" s="110" t="s">
        <v>96</v>
      </c>
      <c r="D120" s="131"/>
      <c r="E120" s="119"/>
      <c r="F120" s="135"/>
      <c r="G120" s="1059">
        <f>'[5]2b. tábla 2018 (2)'!E25</f>
        <v>342650441</v>
      </c>
      <c r="H120" s="1066"/>
      <c r="I120" s="336">
        <f t="shared" si="7"/>
        <v>342650441</v>
      </c>
      <c r="J120" s="1119"/>
      <c r="K120" s="336">
        <f t="shared" si="6"/>
        <v>342650441</v>
      </c>
      <c r="L120" s="1336"/>
      <c r="M120" s="336">
        <f t="shared" si="6"/>
        <v>342650441</v>
      </c>
    </row>
    <row r="121" spans="1:14" s="199" customFormat="1" x14ac:dyDescent="0.25">
      <c r="A121" s="427">
        <v>2</v>
      </c>
      <c r="B121" s="560" t="s">
        <v>612</v>
      </c>
      <c r="C121" s="110" t="s">
        <v>108</v>
      </c>
      <c r="D121" s="122"/>
      <c r="E121" s="122">
        <f>(264+389+78)/1091*24.73</f>
        <v>16.569780018331805</v>
      </c>
      <c r="F121" s="119">
        <v>1900000</v>
      </c>
      <c r="G121" s="1059">
        <f>E121*F121</f>
        <v>31482582.034830429</v>
      </c>
      <c r="H121" s="1066"/>
      <c r="I121" s="336">
        <f t="shared" si="7"/>
        <v>31482582.034830429</v>
      </c>
      <c r="J121" s="1119"/>
      <c r="K121" s="336">
        <f t="shared" si="6"/>
        <v>31482582.034830429</v>
      </c>
      <c r="L121" s="1336"/>
      <c r="M121" s="336">
        <f t="shared" si="6"/>
        <v>31482582.034830429</v>
      </c>
    </row>
    <row r="122" spans="1:14" s="199" customFormat="1" x14ac:dyDescent="0.25">
      <c r="A122" s="427">
        <v>2</v>
      </c>
      <c r="B122" s="560" t="s">
        <v>613</v>
      </c>
      <c r="C122" s="110" t="s">
        <v>107</v>
      </c>
      <c r="D122" s="122"/>
      <c r="E122" s="110"/>
      <c r="F122" s="119"/>
      <c r="G122" s="1059">
        <f>11319862+538543</f>
        <v>11858405</v>
      </c>
      <c r="H122" s="1066"/>
      <c r="I122" s="336">
        <f t="shared" si="7"/>
        <v>11858405</v>
      </c>
      <c r="J122" s="1119">
        <v>1334046</v>
      </c>
      <c r="K122" s="336">
        <f t="shared" si="6"/>
        <v>13192451</v>
      </c>
      <c r="L122" s="1336"/>
      <c r="M122" s="336">
        <f t="shared" si="6"/>
        <v>13192451</v>
      </c>
      <c r="N122" s="1178">
        <f>K122+K70+N59</f>
        <v>34701726</v>
      </c>
    </row>
    <row r="123" spans="1:14" s="199" customFormat="1" x14ac:dyDescent="0.25">
      <c r="A123" s="427">
        <v>2</v>
      </c>
      <c r="B123" s="560" t="s">
        <v>633</v>
      </c>
      <c r="C123" s="110" t="s">
        <v>634</v>
      </c>
      <c r="D123" s="122"/>
      <c r="E123" s="110">
        <v>1008</v>
      </c>
      <c r="F123" s="119">
        <v>342</v>
      </c>
      <c r="G123" s="1059">
        <f>E123*F123</f>
        <v>344736</v>
      </c>
      <c r="H123" s="1066"/>
      <c r="I123" s="336">
        <f t="shared" si="7"/>
        <v>344736</v>
      </c>
      <c r="J123" s="1119"/>
      <c r="K123" s="336">
        <f t="shared" si="6"/>
        <v>344736</v>
      </c>
      <c r="L123" s="1066">
        <v>-212382</v>
      </c>
      <c r="M123" s="336">
        <f t="shared" si="6"/>
        <v>132354</v>
      </c>
    </row>
    <row r="124" spans="1:14" s="199" customFormat="1" x14ac:dyDescent="0.25">
      <c r="A124" s="427"/>
      <c r="B124" s="560" t="s">
        <v>980</v>
      </c>
      <c r="C124" s="110" t="s">
        <v>994</v>
      </c>
      <c r="D124" s="122"/>
      <c r="E124" s="110"/>
      <c r="F124" s="119"/>
      <c r="G124" s="1059"/>
      <c r="H124" s="1066"/>
      <c r="I124" s="336">
        <f t="shared" si="7"/>
        <v>0</v>
      </c>
      <c r="J124" s="1119">
        <v>3313956</v>
      </c>
      <c r="K124" s="336">
        <f t="shared" si="6"/>
        <v>3313956</v>
      </c>
      <c r="L124" s="1336"/>
      <c r="M124" s="336">
        <f t="shared" si="6"/>
        <v>3313956</v>
      </c>
    </row>
    <row r="125" spans="1:14" s="199" customFormat="1" x14ac:dyDescent="0.25">
      <c r="A125" s="427">
        <v>2</v>
      </c>
      <c r="B125" s="427" t="s">
        <v>186</v>
      </c>
      <c r="C125" s="402" t="s">
        <v>614</v>
      </c>
      <c r="D125" s="122"/>
      <c r="E125" s="110"/>
      <c r="F125" s="119"/>
      <c r="G125" s="1059"/>
      <c r="H125" s="1066"/>
      <c r="I125" s="336">
        <f t="shared" si="7"/>
        <v>0</v>
      </c>
      <c r="J125" s="1119"/>
      <c r="K125" s="336">
        <f t="shared" si="6"/>
        <v>0</v>
      </c>
      <c r="L125" s="1336"/>
      <c r="M125" s="336">
        <f t="shared" si="6"/>
        <v>0</v>
      </c>
    </row>
    <row r="126" spans="1:14" s="199" customFormat="1" x14ac:dyDescent="0.25">
      <c r="A126" s="427">
        <v>3</v>
      </c>
      <c r="B126" s="560" t="s">
        <v>187</v>
      </c>
      <c r="C126" s="109" t="s">
        <v>610</v>
      </c>
      <c r="D126" s="122"/>
      <c r="E126" s="110"/>
      <c r="F126" s="119"/>
      <c r="G126" s="1059"/>
      <c r="H126" s="1066"/>
      <c r="I126" s="336">
        <f t="shared" si="7"/>
        <v>0</v>
      </c>
      <c r="J126" s="1119"/>
      <c r="K126" s="336">
        <f t="shared" si="6"/>
        <v>0</v>
      </c>
      <c r="L126" s="1066">
        <v>44819100</v>
      </c>
      <c r="M126" s="336">
        <f t="shared" si="6"/>
        <v>44819100</v>
      </c>
    </row>
    <row r="127" spans="1:14" s="199" customFormat="1" x14ac:dyDescent="0.25">
      <c r="A127" s="427">
        <v>3</v>
      </c>
      <c r="B127" s="560" t="s">
        <v>186</v>
      </c>
      <c r="C127" s="109" t="s">
        <v>185</v>
      </c>
      <c r="D127" s="122"/>
      <c r="E127" s="110"/>
      <c r="F127" s="119"/>
      <c r="G127" s="1059"/>
      <c r="H127" s="1066"/>
      <c r="I127" s="336">
        <f t="shared" si="7"/>
        <v>0</v>
      </c>
      <c r="J127" s="1119"/>
      <c r="K127" s="336">
        <f t="shared" si="6"/>
        <v>0</v>
      </c>
      <c r="L127" s="1066">
        <v>2015000</v>
      </c>
      <c r="M127" s="336">
        <f t="shared" si="6"/>
        <v>2015000</v>
      </c>
      <c r="N127" s="1178">
        <f>J124+J71+J60+J45+J30+J15</f>
        <v>4946000</v>
      </c>
    </row>
    <row r="128" spans="1:14" s="199" customFormat="1" x14ac:dyDescent="0.25">
      <c r="A128" s="427">
        <v>3</v>
      </c>
      <c r="B128" s="560" t="s">
        <v>635</v>
      </c>
      <c r="C128" s="400" t="s">
        <v>942</v>
      </c>
      <c r="D128" s="122"/>
      <c r="E128" s="110"/>
      <c r="F128" s="119"/>
      <c r="G128" s="1059"/>
      <c r="H128" s="1066">
        <v>2100000</v>
      </c>
      <c r="I128" s="336">
        <f t="shared" si="7"/>
        <v>2100000</v>
      </c>
      <c r="J128" s="1119"/>
      <c r="K128" s="336">
        <f t="shared" si="6"/>
        <v>2100000</v>
      </c>
      <c r="L128" s="1336"/>
      <c r="M128" s="336">
        <f t="shared" si="6"/>
        <v>2100000</v>
      </c>
      <c r="N128" s="1178">
        <f>J14+J29+J44+J59+J70+J122</f>
        <v>2516906</v>
      </c>
    </row>
    <row r="129" spans="1:14" s="199" customFormat="1" x14ac:dyDescent="0.25">
      <c r="A129" s="427">
        <v>3</v>
      </c>
      <c r="B129" s="560" t="s">
        <v>636</v>
      </c>
      <c r="C129" s="109" t="s">
        <v>941</v>
      </c>
      <c r="D129" s="122"/>
      <c r="E129" s="110"/>
      <c r="F129" s="119"/>
      <c r="G129" s="1059"/>
      <c r="H129" s="1066">
        <v>6489372</v>
      </c>
      <c r="I129" s="336">
        <f t="shared" si="7"/>
        <v>6489372</v>
      </c>
      <c r="J129" s="1119"/>
      <c r="K129" s="336">
        <f t="shared" si="6"/>
        <v>6489372</v>
      </c>
      <c r="L129" s="1336"/>
      <c r="M129" s="336">
        <f t="shared" si="6"/>
        <v>6489372</v>
      </c>
    </row>
    <row r="130" spans="1:14" s="199" customFormat="1" x14ac:dyDescent="0.25">
      <c r="A130" s="427" t="s">
        <v>982</v>
      </c>
      <c r="B130" s="560" t="s">
        <v>983</v>
      </c>
      <c r="C130" s="109" t="s">
        <v>985</v>
      </c>
      <c r="D130" s="122"/>
      <c r="E130" s="110"/>
      <c r="F130" s="119"/>
      <c r="G130" s="1059"/>
      <c r="H130" s="1066"/>
      <c r="I130" s="336">
        <f t="shared" si="7"/>
        <v>0</v>
      </c>
      <c r="J130" s="1119">
        <v>30000000</v>
      </c>
      <c r="K130" s="336">
        <f t="shared" si="6"/>
        <v>30000000</v>
      </c>
      <c r="L130" s="1336"/>
      <c r="M130" s="336">
        <f t="shared" si="6"/>
        <v>30000000</v>
      </c>
    </row>
    <row r="131" spans="1:14" s="199" customFormat="1" x14ac:dyDescent="0.25">
      <c r="A131" s="427"/>
      <c r="B131" s="560"/>
      <c r="C131" s="121" t="s">
        <v>1047</v>
      </c>
      <c r="D131" s="122"/>
      <c r="E131" s="110"/>
      <c r="F131" s="119"/>
      <c r="G131" s="1059"/>
      <c r="H131" s="1066"/>
      <c r="I131" s="1073"/>
      <c r="J131" s="1332"/>
      <c r="K131" s="1338"/>
      <c r="L131" s="1337">
        <v>2503000</v>
      </c>
      <c r="M131" s="1333">
        <v>2503000</v>
      </c>
      <c r="N131" s="1178"/>
    </row>
    <row r="132" spans="1:14" s="199" customFormat="1" x14ac:dyDescent="0.25">
      <c r="A132" s="427"/>
      <c r="B132" s="560"/>
      <c r="C132" s="109" t="s">
        <v>1049</v>
      </c>
      <c r="D132" s="122"/>
      <c r="E132" s="110"/>
      <c r="F132" s="119"/>
      <c r="G132" s="1059"/>
      <c r="H132" s="1331"/>
      <c r="I132" s="1338"/>
      <c r="J132" s="1332"/>
      <c r="K132" s="1338"/>
      <c r="L132" s="1337">
        <v>2000000</v>
      </c>
      <c r="M132" s="1335">
        <v>2000000</v>
      </c>
    </row>
    <row r="133" spans="1:14" s="199" customFormat="1" x14ac:dyDescent="0.25">
      <c r="A133" s="427"/>
      <c r="B133" s="560"/>
      <c r="C133" s="109"/>
      <c r="D133" s="122"/>
      <c r="E133" s="110"/>
      <c r="F133" s="119"/>
      <c r="G133" s="1059"/>
      <c r="H133" s="1331"/>
      <c r="I133" s="1338"/>
      <c r="J133" s="1332"/>
      <c r="K133" s="1338"/>
      <c r="L133" s="1334"/>
      <c r="M133" s="1335"/>
    </row>
    <row r="134" spans="1:14" s="199" customFormat="1" x14ac:dyDescent="0.25">
      <c r="A134" s="427"/>
      <c r="B134" s="430"/>
      <c r="C134" s="111" t="s">
        <v>118</v>
      </c>
      <c r="D134" s="131"/>
      <c r="E134" s="123"/>
      <c r="F134" s="123"/>
      <c r="G134" s="1060">
        <f>G113+G112+G111+G120+G123+G125+G121+G122+G130</f>
        <v>386336164.03483045</v>
      </c>
      <c r="H134" s="1120">
        <f>H113+H112+H111+H120+H123+H125+H121+H122+H130+H129+H126+H127+H128</f>
        <v>8589372</v>
      </c>
      <c r="I134" s="1225">
        <f t="shared" si="7"/>
        <v>394925536.03483045</v>
      </c>
      <c r="J134" s="1118">
        <f>SUM(J112:J130)</f>
        <v>34648002</v>
      </c>
      <c r="K134" s="1225">
        <f t="shared" si="6"/>
        <v>429573538.03483045</v>
      </c>
      <c r="L134" s="1118">
        <f>SUM(L112:L133)</f>
        <v>51124718</v>
      </c>
      <c r="M134" s="1225">
        <f t="shared" si="6"/>
        <v>480698256.03483045</v>
      </c>
    </row>
    <row r="135" spans="1:14" x14ac:dyDescent="0.25">
      <c r="A135" s="430"/>
      <c r="B135" s="560"/>
      <c r="C135" s="110"/>
      <c r="D135" s="122"/>
      <c r="E135" s="110"/>
      <c r="F135" s="119"/>
      <c r="G135" s="1059"/>
      <c r="H135" s="1066"/>
      <c r="I135" s="336">
        <f t="shared" si="7"/>
        <v>0</v>
      </c>
      <c r="J135" s="1119"/>
      <c r="K135" s="1226"/>
      <c r="L135" s="1323"/>
      <c r="M135" s="1226"/>
    </row>
    <row r="136" spans="1:14" ht="14.4" thickBot="1" x14ac:dyDescent="0.3">
      <c r="A136" s="431"/>
      <c r="B136" s="1237"/>
      <c r="C136" s="403" t="s">
        <v>119</v>
      </c>
      <c r="D136" s="136"/>
      <c r="E136" s="137"/>
      <c r="F136" s="138"/>
      <c r="G136" s="1062">
        <f>G17+G32+G47+G62+G94+G100+G134+G74+G107+G110</f>
        <v>1008634125.3333335</v>
      </c>
      <c r="H136" s="1121">
        <f>H17+H32+H47+H62+H94+H100+H134+H74+H107+H110</f>
        <v>20607715</v>
      </c>
      <c r="I136" s="1317">
        <f>G136+H136</f>
        <v>1029241840.3333335</v>
      </c>
      <c r="J136" s="1121">
        <f>J17+J32+J47+J62+J94+J100+J134+J74+J107+J110</f>
        <v>70687544</v>
      </c>
      <c r="K136" s="1228">
        <f>K17+K32+K47+K62+K94+K100+K134+K74+K107+K110</f>
        <v>1099929384.3333335</v>
      </c>
      <c r="L136" s="1121">
        <f>L17+L32+L47+L62+L94+L100+L134+L74+L107+L110</f>
        <v>57376253</v>
      </c>
      <c r="M136" s="1228">
        <f>M17+M32+M47+M62+M94+M100+M134+M74+M107+M110</f>
        <v>1157305637.3333335</v>
      </c>
    </row>
    <row r="137" spans="1:14" x14ac:dyDescent="0.25">
      <c r="F137" s="200"/>
      <c r="H137" s="917"/>
    </row>
    <row r="138" spans="1:14" x14ac:dyDescent="0.25">
      <c r="F138" s="200"/>
      <c r="H138" s="917"/>
      <c r="K138" s="917"/>
    </row>
    <row r="139" spans="1:14" x14ac:dyDescent="0.25">
      <c r="F139" s="200"/>
      <c r="H139" s="917"/>
    </row>
    <row r="140" spans="1:14" x14ac:dyDescent="0.25">
      <c r="F140" s="200"/>
      <c r="H140" s="917"/>
    </row>
  </sheetData>
  <mergeCells count="1">
    <mergeCell ref="C1:G1"/>
  </mergeCells>
  <pageMargins left="0.7" right="0.7" top="0.75" bottom="0.75" header="0.3" footer="0.3"/>
  <pageSetup paperSize="9" scale="43" orientation="portrait" r:id="rId1"/>
  <headerFooter alignWithMargins="0">
    <oddHeader>&amp;C2/c. melléklet a 31/2019. (XII.13.)  önkormányzati rendelethez
 az önkormányzat 2019. évi költségvetéséről szóló 6/2019. (II.28.) önkormányzati rendelet 
2/c. mellékletének helyébe a következő 2/c. melléklet lép:  
&amp;R&amp;P. oldal</oddHeader>
  </headerFooter>
  <rowBreaks count="2" manualBreakCount="2">
    <brk id="64" max="12" man="1"/>
    <brk id="13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J19"/>
  <sheetViews>
    <sheetView view="pageLayout" zoomScaleNormal="95" zoomScaleSheetLayoutView="89" workbookViewId="0">
      <selection activeCell="AF20" sqref="AF20"/>
    </sheetView>
  </sheetViews>
  <sheetFormatPr defaultColWidth="9.109375" defaultRowHeight="13.8" x14ac:dyDescent="0.25"/>
  <cols>
    <col min="1" max="1" width="24.88671875" style="613" customWidth="1"/>
    <col min="2" max="2" width="15.109375" style="613" customWidth="1"/>
    <col min="3" max="4" width="15.6640625" style="613" customWidth="1"/>
    <col min="5" max="5" width="14.5546875" style="613" customWidth="1"/>
    <col min="6" max="6" width="14.6640625" style="613" customWidth="1"/>
    <col min="7" max="8" width="16.109375" style="613" customWidth="1"/>
    <col min="9" max="9" width="16.6640625" style="613" customWidth="1"/>
    <col min="10" max="10" width="16" style="613" customWidth="1"/>
    <col min="11" max="12" width="14.5546875" style="613" customWidth="1"/>
    <col min="13" max="13" width="15.6640625" style="613" customWidth="1"/>
    <col min="14" max="14" width="15.109375" style="613" customWidth="1"/>
    <col min="15" max="15" width="16.33203125" style="613" customWidth="1"/>
    <col min="16" max="16" width="15" style="613" bestFit="1" customWidth="1"/>
    <col min="17" max="17" width="16.109375" style="613" customWidth="1"/>
    <col min="18" max="18" width="27.33203125" style="613" customWidth="1"/>
    <col min="19" max="19" width="15.88671875" style="613" customWidth="1"/>
    <col min="20" max="20" width="16.6640625" style="613" customWidth="1"/>
    <col min="21" max="21" width="15.109375" style="613" customWidth="1"/>
    <col min="22" max="23" width="16.33203125" style="613" bestFit="1" customWidth="1"/>
    <col min="24" max="24" width="16.6640625" style="613" customWidth="1"/>
    <col min="25" max="25" width="15.5546875" style="613" customWidth="1"/>
    <col min="26" max="26" width="15.88671875" style="613" customWidth="1"/>
    <col min="27" max="27" width="16" style="613" customWidth="1"/>
    <col min="28" max="28" width="16.88671875" style="613" customWidth="1"/>
    <col min="29" max="29" width="16.33203125" style="613" bestFit="1" customWidth="1"/>
    <col min="30" max="30" width="17.33203125" style="613" customWidth="1"/>
    <col min="31" max="32" width="18.6640625" style="613" customWidth="1"/>
    <col min="33" max="34" width="19" style="613" customWidth="1"/>
    <col min="35" max="35" width="17.6640625" style="613" customWidth="1"/>
    <col min="36" max="36" width="14.88671875" style="10" customWidth="1"/>
    <col min="37" max="37" width="12.109375" style="10" bestFit="1" customWidth="1"/>
    <col min="38" max="16384" width="9.109375" style="10"/>
  </cols>
  <sheetData>
    <row r="1" spans="1:62" ht="12.75" customHeight="1" x14ac:dyDescent="0.25">
      <c r="A1" s="1411"/>
      <c r="B1" s="1411"/>
      <c r="C1" s="1411"/>
      <c r="D1" s="1411"/>
      <c r="E1" s="1411"/>
      <c r="F1" s="1411"/>
      <c r="G1" s="1411"/>
      <c r="H1" s="1411"/>
      <c r="I1" s="1411"/>
      <c r="J1" s="1411"/>
      <c r="K1" s="1411"/>
      <c r="L1" s="1411"/>
      <c r="M1" s="1411"/>
      <c r="N1" s="1411"/>
      <c r="O1" s="612"/>
      <c r="P1" s="1177"/>
      <c r="Q1" s="612"/>
      <c r="R1" s="612"/>
      <c r="S1" s="1412"/>
      <c r="T1" s="1412"/>
      <c r="U1" s="1412"/>
      <c r="V1" s="1412"/>
      <c r="W1" s="1412"/>
      <c r="X1" s="1412"/>
      <c r="Y1" s="1412"/>
      <c r="Z1" s="1412"/>
      <c r="AA1" s="1412"/>
      <c r="AB1" s="1412"/>
      <c r="AC1" s="1412"/>
      <c r="AD1" s="1412"/>
    </row>
    <row r="2" spans="1:62" ht="12.75" customHeight="1" x14ac:dyDescent="0.25">
      <c r="A2" s="1411"/>
      <c r="B2" s="1411"/>
      <c r="C2" s="1411"/>
      <c r="D2" s="1411"/>
      <c r="E2" s="1411"/>
      <c r="F2" s="1411"/>
      <c r="G2" s="1411"/>
      <c r="H2" s="1411"/>
      <c r="I2" s="1411"/>
      <c r="J2" s="1411"/>
      <c r="K2" s="1411"/>
      <c r="L2" s="1411"/>
      <c r="M2" s="1411"/>
      <c r="N2" s="1411"/>
      <c r="O2" s="612"/>
      <c r="P2" s="1177"/>
      <c r="Q2" s="1411"/>
      <c r="R2" s="1411"/>
      <c r="S2" s="1411"/>
      <c r="T2" s="1411"/>
      <c r="U2" s="1411"/>
      <c r="V2" s="1411"/>
      <c r="W2" s="1411"/>
      <c r="X2" s="1411"/>
      <c r="Y2" s="1411"/>
      <c r="Z2" s="1411"/>
      <c r="AA2" s="1411"/>
      <c r="AB2" s="1411"/>
      <c r="AC2" s="1411"/>
      <c r="AD2" s="1411"/>
    </row>
    <row r="3" spans="1:62" x14ac:dyDescent="0.25">
      <c r="A3" s="1413" t="s">
        <v>637</v>
      </c>
      <c r="B3" s="1413"/>
      <c r="C3" s="1413"/>
      <c r="D3" s="1413"/>
      <c r="E3" s="1413"/>
      <c r="F3" s="1413"/>
      <c r="G3" s="1413"/>
      <c r="H3" s="1413"/>
      <c r="I3" s="1413"/>
      <c r="J3" s="1413"/>
      <c r="K3" s="1413"/>
      <c r="L3" s="1413"/>
      <c r="M3" s="1413"/>
      <c r="N3" s="1413"/>
      <c r="O3" s="1413"/>
      <c r="P3" s="1413"/>
      <c r="Q3" s="1413"/>
      <c r="R3" s="1413" t="s">
        <v>637</v>
      </c>
      <c r="S3" s="1413"/>
      <c r="T3" s="1413"/>
      <c r="U3" s="1413"/>
      <c r="V3" s="1413"/>
      <c r="W3" s="1413"/>
      <c r="X3" s="1413"/>
      <c r="Y3" s="1413"/>
      <c r="Z3" s="1413"/>
      <c r="AA3" s="1413"/>
      <c r="AB3" s="1413"/>
      <c r="AC3" s="1413"/>
      <c r="AD3" s="1413"/>
      <c r="AE3" s="1413"/>
      <c r="AF3" s="1413"/>
      <c r="AG3" s="1413"/>
      <c r="AH3" s="1413"/>
      <c r="AI3" s="1413"/>
    </row>
    <row r="4" spans="1:62" x14ac:dyDescent="0.25">
      <c r="N4" s="614"/>
      <c r="O4" s="614"/>
      <c r="P4" s="614"/>
      <c r="Q4" s="614"/>
      <c r="R4" s="614"/>
      <c r="AA4" s="614"/>
      <c r="AB4" s="614"/>
      <c r="AC4" s="614"/>
      <c r="AD4" s="614"/>
    </row>
    <row r="5" spans="1:62" ht="14.4" thickBot="1" x14ac:dyDescent="0.3">
      <c r="N5" s="614"/>
      <c r="O5" s="614"/>
      <c r="P5" s="614"/>
      <c r="Q5" s="614"/>
      <c r="R5" s="614"/>
      <c r="AA5" s="614"/>
      <c r="AB5" s="614"/>
      <c r="AC5" s="614"/>
      <c r="AD5" s="614"/>
    </row>
    <row r="6" spans="1:62" s="32" customFormat="1" ht="32.25" customHeight="1" thickBot="1" x14ac:dyDescent="0.3">
      <c r="A6" s="1402" t="s">
        <v>328</v>
      </c>
      <c r="B6" s="1405" t="s">
        <v>329</v>
      </c>
      <c r="C6" s="1406"/>
      <c r="D6" s="1406"/>
      <c r="E6" s="1407"/>
      <c r="F6" s="1405" t="s">
        <v>120</v>
      </c>
      <c r="G6" s="1406"/>
      <c r="H6" s="1406"/>
      <c r="I6" s="1407"/>
      <c r="J6" s="1405" t="s">
        <v>121</v>
      </c>
      <c r="K6" s="1406"/>
      <c r="L6" s="1406"/>
      <c r="M6" s="1407"/>
      <c r="N6" s="1405" t="s">
        <v>122</v>
      </c>
      <c r="O6" s="1406"/>
      <c r="P6" s="1406"/>
      <c r="Q6" s="1407"/>
      <c r="R6" s="570" t="s">
        <v>328</v>
      </c>
      <c r="S6" s="1405" t="s">
        <v>123</v>
      </c>
      <c r="T6" s="1406"/>
      <c r="U6" s="1406"/>
      <c r="V6" s="1407"/>
      <c r="W6" s="1405" t="s">
        <v>124</v>
      </c>
      <c r="X6" s="1406"/>
      <c r="Y6" s="1406"/>
      <c r="Z6" s="1407"/>
      <c r="AA6" s="1414" t="s">
        <v>125</v>
      </c>
      <c r="AB6" s="1415"/>
      <c r="AC6" s="1415"/>
      <c r="AD6" s="1416"/>
      <c r="AE6" s="1420" t="s">
        <v>640</v>
      </c>
      <c r="AF6" s="1421"/>
      <c r="AG6" s="1422"/>
      <c r="AH6" s="1423"/>
      <c r="AI6" s="1424"/>
    </row>
    <row r="7" spans="1:62" s="32" customFormat="1" ht="32.25" customHeight="1" thickBot="1" x14ac:dyDescent="0.3">
      <c r="A7" s="1403"/>
      <c r="B7" s="1408"/>
      <c r="C7" s="1409"/>
      <c r="D7" s="1409"/>
      <c r="E7" s="1410"/>
      <c r="F7" s="1408"/>
      <c r="G7" s="1409"/>
      <c r="H7" s="1409"/>
      <c r="I7" s="1410"/>
      <c r="J7" s="1408"/>
      <c r="K7" s="1409"/>
      <c r="L7" s="1409"/>
      <c r="M7" s="1410"/>
      <c r="N7" s="1408"/>
      <c r="O7" s="1409"/>
      <c r="P7" s="1409"/>
      <c r="Q7" s="1410"/>
      <c r="R7" s="615"/>
      <c r="S7" s="1408"/>
      <c r="T7" s="1409"/>
      <c r="U7" s="1409"/>
      <c r="V7" s="1410"/>
      <c r="W7" s="1408"/>
      <c r="X7" s="1409"/>
      <c r="Y7" s="1409"/>
      <c r="Z7" s="1410"/>
      <c r="AA7" s="1417"/>
      <c r="AB7" s="1418"/>
      <c r="AC7" s="1418"/>
      <c r="AD7" s="1419"/>
      <c r="AE7" s="1425" t="s">
        <v>561</v>
      </c>
      <c r="AF7" s="1427" t="s">
        <v>562</v>
      </c>
      <c r="AG7" s="1428"/>
      <c r="AH7" s="1427" t="s">
        <v>638</v>
      </c>
      <c r="AI7" s="1428"/>
    </row>
    <row r="8" spans="1:62" s="33" customFormat="1" ht="90" customHeight="1" thickBot="1" x14ac:dyDescent="0.3">
      <c r="A8" s="1404"/>
      <c r="B8" s="965" t="s">
        <v>591</v>
      </c>
      <c r="C8" s="550" t="s">
        <v>978</v>
      </c>
      <c r="D8" s="550" t="s">
        <v>1044</v>
      </c>
      <c r="E8" s="999" t="s">
        <v>934</v>
      </c>
      <c r="F8" s="965" t="s">
        <v>591</v>
      </c>
      <c r="G8" s="550" t="s">
        <v>978</v>
      </c>
      <c r="H8" s="550" t="s">
        <v>1044</v>
      </c>
      <c r="I8" s="999" t="s">
        <v>934</v>
      </c>
      <c r="J8" s="965" t="s">
        <v>591</v>
      </c>
      <c r="K8" s="550" t="s">
        <v>978</v>
      </c>
      <c r="L8" s="550" t="s">
        <v>1044</v>
      </c>
      <c r="M8" s="999" t="s">
        <v>934</v>
      </c>
      <c r="N8" s="1258" t="s">
        <v>591</v>
      </c>
      <c r="O8" s="550" t="s">
        <v>978</v>
      </c>
      <c r="P8" s="550" t="s">
        <v>1044</v>
      </c>
      <c r="Q8" s="966" t="s">
        <v>934</v>
      </c>
      <c r="R8" s="571"/>
      <c r="S8" s="965" t="s">
        <v>591</v>
      </c>
      <c r="T8" s="550" t="s">
        <v>978</v>
      </c>
      <c r="U8" s="550" t="s">
        <v>1044</v>
      </c>
      <c r="V8" s="999" t="s">
        <v>934</v>
      </c>
      <c r="W8" s="965" t="s">
        <v>591</v>
      </c>
      <c r="X8" s="550" t="s">
        <v>978</v>
      </c>
      <c r="Y8" s="550" t="s">
        <v>1044</v>
      </c>
      <c r="Z8" s="999" t="s">
        <v>934</v>
      </c>
      <c r="AA8" s="965" t="s">
        <v>591</v>
      </c>
      <c r="AB8" s="550" t="s">
        <v>978</v>
      </c>
      <c r="AC8" s="550" t="s">
        <v>1044</v>
      </c>
      <c r="AD8" s="999" t="s">
        <v>934</v>
      </c>
      <c r="AE8" s="1426"/>
      <c r="AF8" s="616" t="s">
        <v>639</v>
      </c>
      <c r="AG8" s="617" t="s">
        <v>560</v>
      </c>
      <c r="AH8" s="616" t="s">
        <v>639</v>
      </c>
      <c r="AI8" s="617" t="s">
        <v>560</v>
      </c>
    </row>
    <row r="9" spans="1:62" s="37" customFormat="1" ht="27.6" x14ac:dyDescent="0.25">
      <c r="A9" s="618" t="s">
        <v>225</v>
      </c>
      <c r="B9" s="619">
        <f>'2c. tábla 2019. (2)'!G107</f>
        <v>16659280</v>
      </c>
      <c r="C9" s="619">
        <f>'2c. tábla 2019. (2)'!K107</f>
        <v>18871213</v>
      </c>
      <c r="D9" s="619">
        <f>'2c. tábla 2019. (2)'!M107</f>
        <v>19745502</v>
      </c>
      <c r="E9" s="621">
        <f>D9-C9</f>
        <v>874289</v>
      </c>
      <c r="F9" s="324">
        <f>'2.a tábla ÚJ '!B50-'3.sz. tábla  (2)'!B9</f>
        <v>35769169</v>
      </c>
      <c r="G9" s="323">
        <f>'2.a tábla ÚJ '!C50-'3.sz. tábla  (2)'!C9</f>
        <v>36126493</v>
      </c>
      <c r="H9" s="323">
        <f>'2.a tábla ÚJ '!D50-'3.sz. tábla  (2)'!D9</f>
        <v>34832747</v>
      </c>
      <c r="I9" s="621">
        <f>H9-G9</f>
        <v>-1293746</v>
      </c>
      <c r="J9" s="1112">
        <f t="shared" ref="J9:L13" si="0">B9+F9</f>
        <v>52428449</v>
      </c>
      <c r="K9" s="620">
        <f>C9+G9</f>
        <v>54997706</v>
      </c>
      <c r="L9" s="620">
        <f>D9+H9</f>
        <v>54578249</v>
      </c>
      <c r="M9" s="627">
        <f t="shared" ref="M9:M10" si="1">L9-K9</f>
        <v>-419457</v>
      </c>
      <c r="N9" s="324">
        <f>'2.a tábla ÚJ '!B44</f>
        <v>3863750</v>
      </c>
      <c r="O9" s="302">
        <f>'2.a tábla ÚJ '!C44</f>
        <v>3363750</v>
      </c>
      <c r="P9" s="302">
        <f>'2.a tábla ÚJ '!D44</f>
        <v>3163750</v>
      </c>
      <c r="Q9" s="621">
        <f>P9-O9</f>
        <v>-200000</v>
      </c>
      <c r="R9" s="202" t="s">
        <v>225</v>
      </c>
      <c r="S9" s="302">
        <f>'2.a tábla ÚJ '!B46</f>
        <v>0</v>
      </c>
      <c r="T9" s="302">
        <f>'2.a tábla ÚJ '!C46</f>
        <v>3317009</v>
      </c>
      <c r="U9" s="302">
        <f>'2.a tábla ÚJ '!D46</f>
        <v>3317009</v>
      </c>
      <c r="V9" s="621">
        <f>U9-T9</f>
        <v>0</v>
      </c>
      <c r="W9" s="322"/>
      <c r="X9" s="323"/>
      <c r="Y9" s="323"/>
      <c r="Z9" s="621">
        <f>X9-W9</f>
        <v>0</v>
      </c>
      <c r="AA9" s="325">
        <f t="shared" ref="AA9:AD13" si="2">J9+N9+S9+W9</f>
        <v>56292199</v>
      </c>
      <c r="AB9" s="326">
        <f t="shared" si="2"/>
        <v>61678465</v>
      </c>
      <c r="AC9" s="326">
        <f t="shared" si="2"/>
        <v>61059008</v>
      </c>
      <c r="AD9" s="421">
        <f t="shared" si="2"/>
        <v>-619457</v>
      </c>
      <c r="AE9" s="622">
        <f>AC9</f>
        <v>61059008</v>
      </c>
      <c r="AF9" s="623"/>
      <c r="AG9" s="623"/>
      <c r="AH9" s="624"/>
      <c r="AI9" s="545"/>
      <c r="AJ9" s="555">
        <f>SUM(AE9:AG9)</f>
        <v>61059008</v>
      </c>
      <c r="AK9" s="35"/>
      <c r="AL9" s="36"/>
      <c r="AM9" s="35"/>
      <c r="AN9" s="35"/>
      <c r="AO9" s="35"/>
      <c r="AP9" s="36"/>
      <c r="AQ9" s="36"/>
      <c r="AR9" s="36"/>
      <c r="AS9" s="36"/>
      <c r="AT9" s="36"/>
      <c r="AV9" s="34"/>
      <c r="AW9" s="36"/>
      <c r="AX9" s="36"/>
      <c r="AY9" s="34"/>
      <c r="AZ9" s="36"/>
      <c r="BA9" s="36"/>
      <c r="BB9" s="36"/>
      <c r="BC9" s="36"/>
      <c r="BD9" s="36"/>
      <c r="BE9" s="36"/>
      <c r="BF9" s="36"/>
      <c r="BG9" s="36"/>
      <c r="BH9" s="36"/>
    </row>
    <row r="10" spans="1:62" ht="27.6" x14ac:dyDescent="0.25">
      <c r="A10" s="625" t="s">
        <v>543</v>
      </c>
      <c r="B10" s="626">
        <f>'2c. tábla 2019. (2)'!G110</f>
        <v>0</v>
      </c>
      <c r="C10" s="626">
        <f>'2c. tábla 2019. (2)'!K110</f>
        <v>585108</v>
      </c>
      <c r="D10" s="626">
        <f>'2c. tábla 2019. (2)'!M110</f>
        <v>845955</v>
      </c>
      <c r="E10" s="627">
        <f>D10-C10</f>
        <v>260847</v>
      </c>
      <c r="F10" s="276">
        <f>'2.a tábla ÚJ '!F50-'3.sz. tábla  (2)'!B10</f>
        <v>62794500</v>
      </c>
      <c r="G10" s="168">
        <f>'2.a tábla ÚJ '!G50-'3.sz. tábla  (2)'!C10</f>
        <v>61776463</v>
      </c>
      <c r="H10" s="168">
        <f>'2.a tábla ÚJ '!H50-'3.sz. tábla  (2)'!D10</f>
        <v>61929850</v>
      </c>
      <c r="I10" s="627">
        <f>H10-G10</f>
        <v>153387</v>
      </c>
      <c r="J10" s="276">
        <f t="shared" si="0"/>
        <v>62794500</v>
      </c>
      <c r="K10" s="84">
        <f t="shared" si="0"/>
        <v>62361571</v>
      </c>
      <c r="L10" s="84">
        <f t="shared" si="0"/>
        <v>62775805</v>
      </c>
      <c r="M10" s="627">
        <f t="shared" si="1"/>
        <v>414234</v>
      </c>
      <c r="N10" s="276">
        <f>'2.a tábla ÚJ '!F44</f>
        <v>162707500</v>
      </c>
      <c r="O10" s="84">
        <f>'2.a tábla ÚJ '!G44</f>
        <v>167290000</v>
      </c>
      <c r="P10" s="84">
        <f>'2.a tábla ÚJ '!H44</f>
        <v>167602424</v>
      </c>
      <c r="Q10" s="627">
        <f t="shared" ref="Q10:Q11" si="3">P10-O10</f>
        <v>312424</v>
      </c>
      <c r="R10" s="184" t="s">
        <v>543</v>
      </c>
      <c r="S10" s="84">
        <f>'2.a tábla ÚJ '!F46</f>
        <v>0</v>
      </c>
      <c r="T10" s="84">
        <f>'2.a tábla ÚJ '!G46</f>
        <v>7051405</v>
      </c>
      <c r="U10" s="84">
        <f>'2.a tábla ÚJ '!H46</f>
        <v>7051405</v>
      </c>
      <c r="V10" s="627">
        <f t="shared" ref="V10:V11" si="4">U10-T10</f>
        <v>0</v>
      </c>
      <c r="W10" s="163"/>
      <c r="X10" s="168"/>
      <c r="Y10" s="168"/>
      <c r="Z10" s="627">
        <f>X10-W10</f>
        <v>0</v>
      </c>
      <c r="AA10" s="165">
        <f t="shared" si="2"/>
        <v>225502000</v>
      </c>
      <c r="AB10" s="85">
        <f t="shared" si="2"/>
        <v>236702976</v>
      </c>
      <c r="AC10" s="85">
        <f t="shared" si="2"/>
        <v>237429634</v>
      </c>
      <c r="AD10" s="422">
        <f t="shared" si="2"/>
        <v>726658</v>
      </c>
      <c r="AE10" s="622">
        <f>123284540+535460+1674000+326000+3230016+853000-200000+3507500+600000-23900+223500-12055-400000+39113-300000-410000+900000</f>
        <v>133827174</v>
      </c>
      <c r="AF10" s="624">
        <f>78162000+1000000+75000+175665+86386+85659+300000</f>
        <v>79884710</v>
      </c>
      <c r="AG10" s="623">
        <f>24055460-175665+200000-86386-600000-85659+410000</f>
        <v>23717750</v>
      </c>
      <c r="AH10" s="626"/>
      <c r="AI10" s="422"/>
      <c r="AJ10" s="555">
        <f>SUM(AE10:AG10)</f>
        <v>237429634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V10" s="16"/>
      <c r="AW10" s="38"/>
      <c r="AX10" s="38"/>
      <c r="AY10" s="16"/>
      <c r="AZ10" s="38"/>
      <c r="BA10" s="38"/>
      <c r="BB10" s="38"/>
      <c r="BC10" s="38"/>
      <c r="BD10" s="38"/>
      <c r="BE10" s="38"/>
      <c r="BF10" s="38"/>
      <c r="BG10" s="38"/>
      <c r="BH10" s="38"/>
    </row>
    <row r="11" spans="1:62" s="41" customFormat="1" ht="28.5" customHeight="1" x14ac:dyDescent="0.25">
      <c r="A11" s="628" t="s">
        <v>544</v>
      </c>
      <c r="B11" s="626">
        <f>'2c. tábla 2019. (2)'!G74</f>
        <v>46030642.796516955</v>
      </c>
      <c r="C11" s="626">
        <f>'2c. tábla 2019. (2)'!K74</f>
        <v>47310870.796516955</v>
      </c>
      <c r="D11" s="626">
        <f>'2c. tábla 2019. (2)'!M74</f>
        <v>47603311.796516955</v>
      </c>
      <c r="E11" s="624">
        <f>D11-C11</f>
        <v>292441</v>
      </c>
      <c r="F11" s="276">
        <f>'2.a tábla ÚJ '!J50-'3.sz. tábla  (2)'!B11</f>
        <v>20123165.203483045</v>
      </c>
      <c r="G11" s="168">
        <f>'2.a tábla ÚJ '!K50-'3.sz. tábla  (2)'!C11</f>
        <v>17655166.203483045</v>
      </c>
      <c r="H11" s="168">
        <f>'2.a tábla ÚJ '!L50-'3.sz. tábla  (2)'!D11</f>
        <v>17303157.203483045</v>
      </c>
      <c r="I11" s="624">
        <f>H11-G11</f>
        <v>-352009</v>
      </c>
      <c r="J11" s="306">
        <f t="shared" si="0"/>
        <v>66153808</v>
      </c>
      <c r="K11" s="347">
        <f t="shared" si="0"/>
        <v>64966037</v>
      </c>
      <c r="L11" s="347">
        <f t="shared" si="0"/>
        <v>64906469</v>
      </c>
      <c r="M11" s="627">
        <f>L11-K11</f>
        <v>-59568</v>
      </c>
      <c r="N11" s="276">
        <f>'2.a tábla ÚJ '!J44</f>
        <v>3996975</v>
      </c>
      <c r="O11" s="84">
        <f>'2.a tábla ÚJ '!K44</f>
        <v>3996975</v>
      </c>
      <c r="P11" s="84">
        <f>'2.a tábla ÚJ '!L44</f>
        <v>3996975</v>
      </c>
      <c r="Q11" s="1098">
        <f t="shared" si="3"/>
        <v>0</v>
      </c>
      <c r="R11" s="203" t="s">
        <v>544</v>
      </c>
      <c r="S11" s="84">
        <f>'2.a tábla ÚJ '!J46</f>
        <v>176276</v>
      </c>
      <c r="T11" s="84">
        <f>'2.a tábla ÚJ '!K46</f>
        <v>3996184</v>
      </c>
      <c r="U11" s="84">
        <f>'2.a tábla ÚJ '!L46</f>
        <v>3996184</v>
      </c>
      <c r="V11" s="1098">
        <f t="shared" si="4"/>
        <v>0</v>
      </c>
      <c r="W11" s="163"/>
      <c r="X11" s="168"/>
      <c r="Y11" s="168"/>
      <c r="Z11" s="627">
        <f>X11-W11</f>
        <v>0</v>
      </c>
      <c r="AA11" s="165">
        <f t="shared" si="2"/>
        <v>70327059</v>
      </c>
      <c r="AB11" s="85">
        <f t="shared" si="2"/>
        <v>72959196</v>
      </c>
      <c r="AC11" s="85">
        <f t="shared" si="2"/>
        <v>72899628</v>
      </c>
      <c r="AD11" s="422">
        <f t="shared" si="2"/>
        <v>-59568</v>
      </c>
      <c r="AE11" s="622">
        <f>66649134+662000+129001+566043+250469+728000+296624-59568</f>
        <v>69221703</v>
      </c>
      <c r="AF11" s="626"/>
      <c r="AG11" s="623">
        <v>3677925</v>
      </c>
      <c r="AH11" s="304"/>
      <c r="AI11" s="546"/>
      <c r="AJ11" s="555">
        <f t="shared" ref="AJ11" si="5">SUM(AE11:AG11)</f>
        <v>72899628</v>
      </c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V11" s="39"/>
      <c r="AW11" s="40"/>
      <c r="AX11" s="40"/>
      <c r="AY11" s="39"/>
      <c r="AZ11" s="40"/>
      <c r="BA11" s="40"/>
      <c r="BB11" s="40"/>
      <c r="BC11" s="40"/>
      <c r="BD11" s="40"/>
      <c r="BE11" s="40"/>
      <c r="BF11" s="40"/>
      <c r="BG11" s="40"/>
      <c r="BH11" s="40"/>
    </row>
    <row r="12" spans="1:62" s="13" customFormat="1" ht="27.75" customHeight="1" x14ac:dyDescent="0.25">
      <c r="A12" s="629" t="s">
        <v>127</v>
      </c>
      <c r="B12" s="140">
        <f t="shared" ref="B12:D12" si="6">B9+B10+B11</f>
        <v>62689922.796516955</v>
      </c>
      <c r="C12" s="140">
        <f t="shared" ref="C12" si="7">C9+C10+C11</f>
        <v>66767191.796516955</v>
      </c>
      <c r="D12" s="140">
        <f t="shared" si="6"/>
        <v>68194768.796516955</v>
      </c>
      <c r="E12" s="140">
        <f t="shared" ref="E12" si="8">E9+E10+E11</f>
        <v>1427577</v>
      </c>
      <c r="F12" s="259">
        <f t="shared" ref="F12:I12" si="9">F9+F10+F11</f>
        <v>118686834.20348305</v>
      </c>
      <c r="G12" s="140">
        <f t="shared" ref="G12" si="10">G9+G10+G11</f>
        <v>115558122.20348305</v>
      </c>
      <c r="H12" s="140">
        <f t="shared" si="9"/>
        <v>114065754.20348305</v>
      </c>
      <c r="I12" s="140">
        <f t="shared" si="9"/>
        <v>-1492368</v>
      </c>
      <c r="J12" s="1113">
        <f t="shared" si="0"/>
        <v>181376757</v>
      </c>
      <c r="K12" s="630">
        <f t="shared" si="0"/>
        <v>182325314</v>
      </c>
      <c r="L12" s="630">
        <f t="shared" si="0"/>
        <v>182260523</v>
      </c>
      <c r="M12" s="206">
        <f t="shared" ref="M12" si="11">M9+M10+M11</f>
        <v>-64791</v>
      </c>
      <c r="N12" s="259">
        <f>N9+N10+N11</f>
        <v>170568225</v>
      </c>
      <c r="O12" s="87">
        <f>O9+O10+O11</f>
        <v>174650725</v>
      </c>
      <c r="P12" s="87">
        <f>P9+P10+P11</f>
        <v>174763149</v>
      </c>
      <c r="Q12" s="206">
        <f t="shared" ref="Q12" si="12">Q9+Q10+Q11</f>
        <v>112424</v>
      </c>
      <c r="R12" s="185" t="s">
        <v>127</v>
      </c>
      <c r="S12" s="87">
        <f>S9+S10+S11</f>
        <v>176276</v>
      </c>
      <c r="T12" s="87">
        <f>T9+T10+T11</f>
        <v>14364598</v>
      </c>
      <c r="U12" s="87">
        <f>U9+U10+U11</f>
        <v>14364598</v>
      </c>
      <c r="V12" s="206">
        <f t="shared" ref="V12" si="13">V9+V10+V11</f>
        <v>0</v>
      </c>
      <c r="W12" s="164"/>
      <c r="X12" s="140"/>
      <c r="Y12" s="140"/>
      <c r="Z12" s="206">
        <f t="shared" ref="Z12" si="14">Z9+Z10+Z11</f>
        <v>0</v>
      </c>
      <c r="AA12" s="164">
        <f>AA9+AA10+AA11</f>
        <v>352121258</v>
      </c>
      <c r="AB12" s="87">
        <f>AB9+AB10+AB11</f>
        <v>371340637</v>
      </c>
      <c r="AC12" s="87">
        <f>AC9+AC10+AC11</f>
        <v>371388270</v>
      </c>
      <c r="AD12" s="206">
        <f>AD9+AD10+AD11</f>
        <v>47633</v>
      </c>
      <c r="AE12" s="259">
        <f>SUM(AE9:AE11)</f>
        <v>264107885</v>
      </c>
      <c r="AF12" s="140">
        <f t="shared" ref="AF12:AG12" si="15">SUM(AF9:AF11)</f>
        <v>79884710</v>
      </c>
      <c r="AG12" s="87">
        <f t="shared" si="15"/>
        <v>27395675</v>
      </c>
      <c r="AH12" s="140"/>
      <c r="AI12" s="206">
        <f>SUM(AI9:AI11)</f>
        <v>0</v>
      </c>
      <c r="AJ12" s="555">
        <f>SUM(AE12:AG12)</f>
        <v>371388270</v>
      </c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V12" s="12"/>
      <c r="AW12" s="42"/>
      <c r="AX12" s="42"/>
      <c r="AY12" s="12"/>
      <c r="AZ12" s="42"/>
      <c r="BA12" s="42"/>
      <c r="BB12" s="42"/>
      <c r="BC12" s="42"/>
      <c r="BD12" s="42"/>
      <c r="BE12" s="42"/>
      <c r="BF12" s="42"/>
      <c r="BG12" s="42"/>
      <c r="BH12" s="42"/>
    </row>
    <row r="13" spans="1:62" s="43" customFormat="1" ht="27.6" x14ac:dyDescent="0.25">
      <c r="A13" s="632" t="s">
        <v>224</v>
      </c>
      <c r="B13" s="626">
        <f>'2c. tábla 2019. (2)'!G100</f>
        <v>179444400</v>
      </c>
      <c r="C13" s="626">
        <f>'2c. tábla 2019. (2)'!K100</f>
        <v>185599893</v>
      </c>
      <c r="D13" s="626">
        <f>'2c. tábla 2019. (2)'!M100</f>
        <v>185644308</v>
      </c>
      <c r="E13" s="626">
        <f>D13-C13</f>
        <v>44415</v>
      </c>
      <c r="F13" s="276">
        <f>'2.a tábla ÚJ '!S50-'3.sz. tábla  (2)'!B13</f>
        <v>233845252</v>
      </c>
      <c r="G13" s="168">
        <f>'2.a tábla ÚJ '!T50-'3.sz. tábla  (2)'!C13</f>
        <v>225110831</v>
      </c>
      <c r="H13" s="168">
        <f>'2.a tábla ÚJ '!U50-'3.sz. tábla  (2)'!D13</f>
        <v>226254884</v>
      </c>
      <c r="I13" s="626">
        <f>H13-G13</f>
        <v>1144053</v>
      </c>
      <c r="J13" s="276">
        <f t="shared" si="0"/>
        <v>413289652</v>
      </c>
      <c r="K13" s="84">
        <f t="shared" si="0"/>
        <v>410710724</v>
      </c>
      <c r="L13" s="84">
        <f t="shared" si="0"/>
        <v>411899192</v>
      </c>
      <c r="M13" s="627">
        <f>L13-K13</f>
        <v>1188468</v>
      </c>
      <c r="N13" s="276">
        <f>'2.a tábla ÚJ '!S44</f>
        <v>60062625</v>
      </c>
      <c r="O13" s="84">
        <f>'2.a tábla ÚJ '!T44</f>
        <v>64792081</v>
      </c>
      <c r="P13" s="84">
        <f>'2.a tábla ÚJ '!U44</f>
        <v>70667116</v>
      </c>
      <c r="Q13" s="627">
        <f>P13-O13</f>
        <v>5875035</v>
      </c>
      <c r="R13" s="204" t="s">
        <v>224</v>
      </c>
      <c r="S13" s="84">
        <f>'2.a tábla ÚJ '!S46</f>
        <v>0</v>
      </c>
      <c r="T13" s="84">
        <f>'2.a tábla ÚJ '!T46</f>
        <v>23685448</v>
      </c>
      <c r="U13" s="84">
        <f>'2.a tábla ÚJ '!U46</f>
        <v>23685448</v>
      </c>
      <c r="V13" s="627">
        <f>U13-T13</f>
        <v>0</v>
      </c>
      <c r="W13" s="163"/>
      <c r="X13" s="168"/>
      <c r="Y13" s="168"/>
      <c r="Z13" s="627">
        <f>X13-W13</f>
        <v>0</v>
      </c>
      <c r="AA13" s="165">
        <f>J13+N13+S13+W13</f>
        <v>473352277</v>
      </c>
      <c r="AB13" s="85">
        <f>K13+O13+T13+X13</f>
        <v>499188253</v>
      </c>
      <c r="AC13" s="85">
        <f>L13+P13+U13+Y13</f>
        <v>506251756</v>
      </c>
      <c r="AD13" s="422">
        <f t="shared" si="2"/>
        <v>7063503</v>
      </c>
      <c r="AE13" s="633">
        <f>'4.sz.tábla '!AW10</f>
        <v>391790399</v>
      </c>
      <c r="AF13" s="634"/>
      <c r="AG13" s="635">
        <f>'4.sz.tábla '!AX10-AF13</f>
        <v>6188192</v>
      </c>
      <c r="AH13" s="634">
        <f>'9. sz. tábla (2)'!C84+'9. sz. tábla (2)'!C93</f>
        <v>57056284.625299998</v>
      </c>
      <c r="AI13" s="636">
        <f>'4.sz.tábla '!AY10-'3.sz. tábla  (2)'!AH13</f>
        <v>51216880.374700002</v>
      </c>
      <c r="AJ13" s="555">
        <f>SUM(AE13:AI13)</f>
        <v>506251756</v>
      </c>
      <c r="AK13" s="43">
        <f>SUM(AH13:AI13)</f>
        <v>108273165</v>
      </c>
    </row>
    <row r="14" spans="1:62" s="13" customFormat="1" ht="28.2" thickBot="1" x14ac:dyDescent="0.3">
      <c r="A14" s="637" t="s">
        <v>126</v>
      </c>
      <c r="B14" s="412">
        <f t="shared" ref="B14:D14" si="16">SUM(B12:B13)</f>
        <v>242134322.79651695</v>
      </c>
      <c r="C14" s="412">
        <f t="shared" ref="C14" si="17">SUM(C12:C13)</f>
        <v>252367084.79651695</v>
      </c>
      <c r="D14" s="412">
        <f t="shared" si="16"/>
        <v>253839076.79651695</v>
      </c>
      <c r="E14" s="412">
        <f t="shared" ref="E14:P14" si="18">SUM(E12:E13)</f>
        <v>1471992</v>
      </c>
      <c r="F14" s="535">
        <f t="shared" ref="F14:K14" si="19">SUM(F12:F13)</f>
        <v>352532086.20348305</v>
      </c>
      <c r="G14" s="540">
        <f t="shared" ref="G14" si="20">SUM(G12:G13)</f>
        <v>340668953.20348305</v>
      </c>
      <c r="H14" s="540">
        <f t="shared" si="19"/>
        <v>340320638.20348305</v>
      </c>
      <c r="I14" s="412">
        <f t="shared" si="19"/>
        <v>-348315</v>
      </c>
      <c r="J14" s="439">
        <f t="shared" si="19"/>
        <v>594666409</v>
      </c>
      <c r="K14" s="405">
        <f t="shared" si="19"/>
        <v>593036038</v>
      </c>
      <c r="L14" s="405">
        <f t="shared" si="18"/>
        <v>594159715</v>
      </c>
      <c r="M14" s="406">
        <f t="shared" si="18"/>
        <v>1123677</v>
      </c>
      <c r="N14" s="535">
        <f t="shared" si="18"/>
        <v>230630850</v>
      </c>
      <c r="O14" s="529">
        <f t="shared" ref="O14" si="21">SUM(O12:O13)</f>
        <v>239442806</v>
      </c>
      <c r="P14" s="529">
        <f t="shared" si="18"/>
        <v>245430265</v>
      </c>
      <c r="Q14" s="406">
        <f t="shared" ref="Q14" si="22">SUM(Q12:Q13)</f>
        <v>5987459</v>
      </c>
      <c r="R14" s="534" t="s">
        <v>126</v>
      </c>
      <c r="S14" s="529">
        <f>SUM(S12:S13)</f>
        <v>176276</v>
      </c>
      <c r="T14" s="529">
        <f>SUM(T12:T13)</f>
        <v>38050046</v>
      </c>
      <c r="U14" s="529">
        <f>SUM(U12:U13)</f>
        <v>38050046</v>
      </c>
      <c r="V14" s="406">
        <f t="shared" ref="V14" si="23">SUM(V12:V13)</f>
        <v>0</v>
      </c>
      <c r="W14" s="404"/>
      <c r="X14" s="412"/>
      <c r="Y14" s="412"/>
      <c r="Z14" s="406">
        <f t="shared" ref="Z14" si="24">SUM(Z12:Z13)</f>
        <v>0</v>
      </c>
      <c r="AA14" s="404">
        <f t="shared" ref="AA14:AI14" si="25">SUM(AA12:AA13)</f>
        <v>825473535</v>
      </c>
      <c r="AB14" s="405">
        <f t="shared" ref="AB14" si="26">SUM(AB12:AB13)</f>
        <v>870528890</v>
      </c>
      <c r="AC14" s="405">
        <f t="shared" si="25"/>
        <v>877640026</v>
      </c>
      <c r="AD14" s="406">
        <f>SUM(AD12:AD13)</f>
        <v>7111136</v>
      </c>
      <c r="AE14" s="535">
        <f t="shared" si="25"/>
        <v>655898284</v>
      </c>
      <c r="AF14" s="540">
        <f t="shared" si="25"/>
        <v>79884710</v>
      </c>
      <c r="AG14" s="405">
        <f t="shared" si="25"/>
        <v>33583867</v>
      </c>
      <c r="AH14" s="405">
        <f t="shared" si="25"/>
        <v>57056284.625299998</v>
      </c>
      <c r="AI14" s="406">
        <f t="shared" si="25"/>
        <v>51216880.374700002</v>
      </c>
      <c r="AJ14" s="555">
        <f>SUM(AE14:AI14)</f>
        <v>877640026</v>
      </c>
      <c r="AK14" s="43">
        <f>SUM(AH14:AI14)</f>
        <v>108273165</v>
      </c>
      <c r="AL14" s="42"/>
      <c r="AM14" s="42"/>
      <c r="AN14" s="42"/>
      <c r="AO14" s="42"/>
      <c r="AP14" s="42"/>
      <c r="AQ14" s="42"/>
      <c r="AR14" s="42"/>
      <c r="AS14" s="42"/>
      <c r="AT14" s="42"/>
      <c r="AV14" s="12"/>
      <c r="AW14" s="42"/>
      <c r="AX14" s="42"/>
      <c r="AY14" s="12"/>
      <c r="AZ14" s="42"/>
      <c r="BA14" s="42"/>
      <c r="BB14" s="42"/>
      <c r="BC14" s="42"/>
      <c r="BD14" s="42"/>
      <c r="BE14" s="42"/>
      <c r="BF14" s="42"/>
      <c r="BG14" s="42"/>
      <c r="BH14" s="42"/>
    </row>
    <row r="15" spans="1:62" ht="14.4" thickBot="1" x14ac:dyDescent="0.3">
      <c r="A15" s="436" t="s">
        <v>423</v>
      </c>
      <c r="B15" s="538">
        <f>B18-B14</f>
        <v>766499802.5368166</v>
      </c>
      <c r="C15" s="538">
        <f>C18-C14</f>
        <v>847562299.5368166</v>
      </c>
      <c r="D15" s="538">
        <f>D18-D14</f>
        <v>903466560.5368166</v>
      </c>
      <c r="E15" s="538">
        <f>E18-E14</f>
        <v>55904261</v>
      </c>
      <c r="F15" s="639">
        <f>-F14</f>
        <v>-352532086.20348305</v>
      </c>
      <c r="G15" s="541">
        <f>-G14</f>
        <v>-340668953.20348305</v>
      </c>
      <c r="H15" s="541">
        <f>-H14</f>
        <v>-340320638.20348305</v>
      </c>
      <c r="I15" s="1285">
        <f>H15-G15</f>
        <v>348315</v>
      </c>
      <c r="J15" s="1114"/>
      <c r="K15" s="538"/>
      <c r="L15" s="538"/>
      <c r="M15" s="532"/>
      <c r="N15" s="701">
        <f>'2.sz.tábla   (2)'!B92-'2.sz.tábla   (2)'!B75-'2.sz.tábla   (2)'!B8</f>
        <v>4975640905.999999</v>
      </c>
      <c r="O15" s="700">
        <f>'2.sz.tábla   (2)'!C92-'2.sz.tábla   (2)'!C75-'2.sz.tábla   (2)'!C8-'2.sz.tábla   (2)'!C23</f>
        <v>5327051773.999999</v>
      </c>
      <c r="P15" s="700">
        <f>'2.sz.tábla   (2)'!D92-'2.sz.tábla   (2)'!D75-'2.sz.tábla   (2)'!D8-'2.sz.tábla   (2)'!D23</f>
        <v>6468613033.999999</v>
      </c>
      <c r="Q15" s="532">
        <f>P15-O15</f>
        <v>1141561260</v>
      </c>
      <c r="R15" s="536" t="s">
        <v>423</v>
      </c>
      <c r="S15" s="441">
        <f>'2.sz.tábla   (2)'!B76</f>
        <v>4089724642</v>
      </c>
      <c r="T15" s="441">
        <f>'2.sz.tábla   (2)'!C76</f>
        <v>4108698593</v>
      </c>
      <c r="U15" s="441">
        <f>'2.sz.tábla   (2)'!D76</f>
        <v>4108698593</v>
      </c>
      <c r="V15" s="532">
        <f>U15-T15</f>
        <v>0</v>
      </c>
      <c r="W15" s="537">
        <f>'2.sz.tábla   (2)'!B79</f>
        <v>1567650796</v>
      </c>
      <c r="X15" s="538">
        <f>'2.sz.tábla   (2)'!C79</f>
        <v>1709004901</v>
      </c>
      <c r="Y15" s="538">
        <f>'2.sz.tábla   (2)'!D79</f>
        <v>1735004901</v>
      </c>
      <c r="Z15" s="532">
        <f>Y15-X15</f>
        <v>26000000</v>
      </c>
      <c r="AA15" s="639">
        <f>J15+N15+S15+W15+F15+B15</f>
        <v>11046984060.333332</v>
      </c>
      <c r="AB15" s="541">
        <f>K15+O15+T15+X15+G15+C15</f>
        <v>11651648614.333332</v>
      </c>
      <c r="AC15" s="541">
        <f>L15+P15+U15+Y15+H15+D15</f>
        <v>12875462450.333332</v>
      </c>
      <c r="AD15" s="539">
        <f>M15+Q15+V15+Z15+I15+E15</f>
        <v>1223813836</v>
      </c>
      <c r="AE15" s="639"/>
      <c r="AF15" s="541"/>
      <c r="AG15" s="533"/>
      <c r="AH15" s="541"/>
      <c r="AI15" s="539"/>
      <c r="AJ15" s="555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V15" s="16"/>
      <c r="AW15" s="38"/>
      <c r="AX15" s="38"/>
      <c r="AY15" s="16"/>
      <c r="AZ15" s="38"/>
      <c r="BA15" s="38"/>
      <c r="BB15" s="38"/>
      <c r="BC15" s="38"/>
      <c r="BD15" s="38"/>
      <c r="BE15" s="38"/>
      <c r="BF15" s="38"/>
      <c r="BG15" s="38"/>
      <c r="BH15" s="38"/>
    </row>
    <row r="16" spans="1:62" s="13" customFormat="1" ht="14.4" thickBot="1" x14ac:dyDescent="0.3">
      <c r="A16" s="413" t="s">
        <v>128</v>
      </c>
      <c r="B16" s="640">
        <f t="shared" ref="B16:D16" si="27">SUM(B14:B15)</f>
        <v>1008634125.3333335</v>
      </c>
      <c r="C16" s="640">
        <f t="shared" ref="C16" si="28">SUM(C14:C15)</f>
        <v>1099929384.3333335</v>
      </c>
      <c r="D16" s="640">
        <f t="shared" si="27"/>
        <v>1157305637.3333335</v>
      </c>
      <c r="E16" s="640">
        <f t="shared" ref="E16:P16" si="29">SUM(E14:E15)</f>
        <v>57376253</v>
      </c>
      <c r="F16" s="641">
        <f t="shared" ref="F16" si="30">SUM(F14:F15)</f>
        <v>0</v>
      </c>
      <c r="G16" s="640"/>
      <c r="H16" s="640"/>
      <c r="I16" s="640">
        <f t="shared" ref="I16:K16" si="31">SUM(I14:I15)</f>
        <v>0</v>
      </c>
      <c r="J16" s="641">
        <f t="shared" si="31"/>
        <v>594666409</v>
      </c>
      <c r="K16" s="414">
        <f t="shared" si="31"/>
        <v>593036038</v>
      </c>
      <c r="L16" s="414">
        <f t="shared" si="29"/>
        <v>594159715</v>
      </c>
      <c r="M16" s="531">
        <f t="shared" si="29"/>
        <v>1123677</v>
      </c>
      <c r="N16" s="328">
        <f t="shared" si="29"/>
        <v>5206271755.999999</v>
      </c>
      <c r="O16" s="187">
        <f t="shared" ref="O16" si="32">SUM(O14:O15)</f>
        <v>5566494579.999999</v>
      </c>
      <c r="P16" s="187">
        <f t="shared" si="29"/>
        <v>6714043298.999999</v>
      </c>
      <c r="Q16" s="531">
        <f t="shared" ref="Q16" si="33">SUM(Q14:Q15)</f>
        <v>1147548719</v>
      </c>
      <c r="R16" s="413" t="s">
        <v>128</v>
      </c>
      <c r="S16" s="187">
        <f t="shared" ref="S16" si="34">SUM(S14:S15)</f>
        <v>4089900918</v>
      </c>
      <c r="T16" s="187">
        <f>SUM(T14:T15)</f>
        <v>4146748639</v>
      </c>
      <c r="U16" s="187">
        <f>SUM(U14:U15)</f>
        <v>4146748639</v>
      </c>
      <c r="V16" s="531">
        <f t="shared" ref="V16" si="35">SUM(V14:V15)</f>
        <v>0</v>
      </c>
      <c r="W16" s="187">
        <f t="shared" ref="W16:AC16" si="36">SUM(W14:W15)</f>
        <v>1567650796</v>
      </c>
      <c r="X16" s="187">
        <f t="shared" ref="X16" si="37">SUM(X14:X15)</f>
        <v>1709004901</v>
      </c>
      <c r="Y16" s="187">
        <f t="shared" si="36"/>
        <v>1735004901</v>
      </c>
      <c r="Z16" s="531">
        <f t="shared" ref="Z16" si="38">SUM(Z14:Z15)</f>
        <v>26000000</v>
      </c>
      <c r="AA16" s="328">
        <f t="shared" si="36"/>
        <v>11872457595.333332</v>
      </c>
      <c r="AB16" s="350">
        <f t="shared" ref="AB16" si="39">SUM(AB14:AB15)</f>
        <v>12522177504.333332</v>
      </c>
      <c r="AC16" s="350">
        <f t="shared" si="36"/>
        <v>13753102476.333332</v>
      </c>
      <c r="AD16" s="329">
        <f>SUM(AD14:AD15)</f>
        <v>1230924972</v>
      </c>
      <c r="AE16" s="641"/>
      <c r="AF16" s="640"/>
      <c r="AG16" s="642"/>
      <c r="AH16" s="643"/>
      <c r="AI16" s="644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X16" s="12"/>
      <c r="AY16" s="42"/>
      <c r="AZ16" s="42"/>
      <c r="BA16" s="12"/>
      <c r="BB16" s="42"/>
      <c r="BC16" s="42"/>
      <c r="BD16" s="42"/>
      <c r="BE16" s="42"/>
      <c r="BF16" s="42"/>
      <c r="BG16" s="42"/>
      <c r="BH16" s="42"/>
      <c r="BI16" s="42"/>
      <c r="BJ16" s="42"/>
    </row>
    <row r="17" spans="2:34" x14ac:dyDescent="0.25">
      <c r="C17" s="645"/>
      <c r="D17" s="645"/>
      <c r="AD17" s="645"/>
      <c r="AF17" s="645"/>
      <c r="AH17" s="645"/>
    </row>
    <row r="18" spans="2:34" x14ac:dyDescent="0.25">
      <c r="B18" s="645">
        <f>'2c. tábla 2019. (2)'!G136</f>
        <v>1008634125.3333335</v>
      </c>
      <c r="C18" s="645">
        <f>'2c. tábla 2019. (2)'!K136</f>
        <v>1099929384.3333335</v>
      </c>
      <c r="D18" s="645">
        <f>'2c. tábla 2019. (2)'!M136</f>
        <v>1157305637.3333335</v>
      </c>
      <c r="E18" s="645">
        <f>'2c. tábla 2019. (2)'!L136</f>
        <v>57376253</v>
      </c>
    </row>
    <row r="19" spans="2:34" x14ac:dyDescent="0.25">
      <c r="O19" s="29"/>
      <c r="P19" s="29"/>
    </row>
  </sheetData>
  <sheetProtection selectLockedCells="1" selectUnlockedCells="1"/>
  <mergeCells count="18">
    <mergeCell ref="S6:V7"/>
    <mergeCell ref="W6:Z7"/>
    <mergeCell ref="AA6:AD7"/>
    <mergeCell ref="AE6:AI6"/>
    <mergeCell ref="AE7:AE8"/>
    <mergeCell ref="AF7:AG7"/>
    <mergeCell ref="AH7:AI7"/>
    <mergeCell ref="A1:N1"/>
    <mergeCell ref="S1:AD1"/>
    <mergeCell ref="A2:N2"/>
    <mergeCell ref="Q2:AD2"/>
    <mergeCell ref="A3:Q3"/>
    <mergeCell ref="R3:AI3"/>
    <mergeCell ref="A6:A8"/>
    <mergeCell ref="B6:E7"/>
    <mergeCell ref="F6:I7"/>
    <mergeCell ref="J6:M7"/>
    <mergeCell ref="N6:Q7"/>
  </mergeCells>
  <printOptions horizontalCentered="1"/>
  <pageMargins left="0.25" right="0.25" top="0.75" bottom="0.75" header="0.3" footer="0.3"/>
  <pageSetup paperSize="9" scale="45" firstPageNumber="0" fitToWidth="0" fitToHeight="0" orientation="landscape" r:id="rId1"/>
  <headerFooter alignWithMargins="0">
    <oddHeader xml:space="preserve">&amp;C
3. melléklet a 31/2019. (XII.13.)  önkormányzati rendelethez
 az önkormányzat 2019. évi költségvetéséről szóló 6/2019. (II.28.) önkormányzati rendelet 
3. mellékletének helyébe a következő 3. melléklet lép:  
&amp;R
&amp;P. oldal
</oddHeader>
  </headerFooter>
  <colBreaks count="1" manualBreakCount="1">
    <brk id="17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Z40"/>
  <sheetViews>
    <sheetView view="pageLayout" topLeftCell="AN1" zoomScaleNormal="100" zoomScaleSheetLayoutView="89" workbookViewId="0">
      <selection activeCell="AU7" sqref="AU7"/>
    </sheetView>
  </sheetViews>
  <sheetFormatPr defaultColWidth="9.109375" defaultRowHeight="13.2" x14ac:dyDescent="0.25"/>
  <cols>
    <col min="1" max="1" width="23.33203125" style="10" customWidth="1"/>
    <col min="2" max="5" width="13.33203125" style="10" customWidth="1"/>
    <col min="6" max="6" width="15.33203125" style="10" customWidth="1"/>
    <col min="7" max="7" width="14.6640625" style="10" customWidth="1"/>
    <col min="8" max="8" width="14.88671875" style="10" customWidth="1"/>
    <col min="9" max="9" width="15" style="10" customWidth="1"/>
    <col min="10" max="10" width="16.109375" style="10" customWidth="1"/>
    <col min="11" max="11" width="14.6640625" style="10" customWidth="1"/>
    <col min="12" max="12" width="14.33203125" style="10" bestFit="1" customWidth="1"/>
    <col min="13" max="13" width="15" style="10" bestFit="1" customWidth="1"/>
    <col min="14" max="14" width="18.6640625" style="10" customWidth="1"/>
    <col min="15" max="15" width="14" style="10" customWidth="1"/>
    <col min="16" max="16" width="13.5546875" style="10" customWidth="1"/>
    <col min="17" max="17" width="12" style="10" customWidth="1"/>
    <col min="18" max="18" width="11.6640625" style="10" customWidth="1"/>
    <col min="19" max="19" width="14" style="10" customWidth="1"/>
    <col min="20" max="20" width="14.33203125" style="10" customWidth="1"/>
    <col min="21" max="21" width="14.33203125" style="10" bestFit="1" customWidth="1"/>
    <col min="22" max="22" width="15.6640625" style="17" customWidth="1"/>
    <col min="23" max="23" width="15.109375" style="10" customWidth="1"/>
    <col min="24" max="24" width="15.33203125" style="10" customWidth="1"/>
    <col min="25" max="25" width="14.88671875" style="10" customWidth="1"/>
    <col min="26" max="26" width="14.6640625" style="10" customWidth="1"/>
    <col min="27" max="27" width="16.109375" style="10" customWidth="1"/>
    <col min="28" max="28" width="13" style="10" customWidth="1"/>
    <col min="29" max="29" width="12.33203125" style="10" customWidth="1"/>
    <col min="30" max="30" width="12.5546875" style="10" customWidth="1"/>
    <col min="31" max="31" width="14.109375" style="10" customWidth="1"/>
    <col min="32" max="32" width="12.5546875" style="10" customWidth="1"/>
    <col min="33" max="33" width="13.33203125" style="10" customWidth="1"/>
    <col min="34" max="34" width="14" style="10" customWidth="1"/>
    <col min="35" max="35" width="18.33203125" style="10" customWidth="1"/>
    <col min="36" max="36" width="13" style="10" customWidth="1"/>
    <col min="37" max="37" width="12.33203125" style="10" customWidth="1"/>
    <col min="38" max="38" width="12.5546875" style="10" customWidth="1"/>
    <col min="39" max="39" width="13" style="10" customWidth="1"/>
    <col min="40" max="40" width="16.44140625" style="10" customWidth="1"/>
    <col min="41" max="41" width="13" style="10" customWidth="1"/>
    <col min="42" max="42" width="12.6640625" style="10" customWidth="1"/>
    <col min="43" max="43" width="11.109375" style="10" customWidth="1"/>
    <col min="44" max="44" width="14.44140625" style="10" customWidth="1"/>
    <col min="45" max="45" width="15.5546875" style="10" customWidth="1"/>
    <col min="46" max="46" width="15.109375" style="10" customWidth="1"/>
    <col min="47" max="47" width="15.44140625" style="10" bestFit="1" customWidth="1"/>
    <col min="48" max="48" width="20.109375" style="10" customWidth="1"/>
    <col min="49" max="49" width="14.33203125" style="10" customWidth="1"/>
    <col min="50" max="50" width="12.6640625" style="10" customWidth="1"/>
    <col min="51" max="51" width="15" style="10" customWidth="1"/>
    <col min="52" max="52" width="12.6640625" style="10" customWidth="1"/>
    <col min="53" max="16384" width="9.109375" style="10"/>
  </cols>
  <sheetData>
    <row r="1" spans="1:52" s="1343" customFormat="1" x14ac:dyDescent="0.25">
      <c r="A1" s="1343" t="s">
        <v>553</v>
      </c>
    </row>
    <row r="2" spans="1:52" ht="77.25" customHeight="1" x14ac:dyDescent="0.3">
      <c r="A2" s="1357" t="s">
        <v>1078</v>
      </c>
      <c r="B2" s="1357"/>
      <c r="C2" s="1357"/>
      <c r="D2" s="1357"/>
      <c r="E2" s="1357"/>
      <c r="F2" s="1357"/>
      <c r="G2" s="1357"/>
      <c r="H2" s="1357"/>
      <c r="I2" s="1357"/>
      <c r="J2" s="1357"/>
      <c r="K2" s="1357"/>
      <c r="L2" s="1357"/>
      <c r="M2" s="1357"/>
      <c r="N2" s="1435" t="s">
        <v>1078</v>
      </c>
      <c r="O2" s="1435"/>
      <c r="P2" s="1435"/>
      <c r="Q2" s="1435"/>
      <c r="R2" s="1435"/>
      <c r="S2" s="1435"/>
      <c r="T2" s="1435"/>
      <c r="U2" s="1435"/>
      <c r="V2" s="1435"/>
      <c r="W2" s="1435"/>
      <c r="X2" s="1435"/>
      <c r="Y2" s="1435"/>
      <c r="Z2" s="1435"/>
      <c r="AA2" s="1435" t="s">
        <v>1078</v>
      </c>
      <c r="AB2" s="1435"/>
      <c r="AC2" s="1435"/>
      <c r="AD2" s="1435"/>
      <c r="AE2" s="1435"/>
      <c r="AF2" s="1435"/>
      <c r="AG2" s="1435"/>
      <c r="AH2" s="1435"/>
      <c r="AI2" s="1435"/>
      <c r="AJ2" s="1435"/>
      <c r="AK2" s="1435"/>
      <c r="AL2" s="1435"/>
      <c r="AM2" s="1435"/>
      <c r="AN2" s="1435" t="s">
        <v>1078</v>
      </c>
      <c r="AO2" s="1435"/>
      <c r="AP2" s="1435"/>
      <c r="AQ2" s="1435"/>
      <c r="AR2" s="1435"/>
      <c r="AS2" s="1435"/>
      <c r="AT2" s="1435"/>
      <c r="AU2" s="1435"/>
      <c r="AV2" s="1435"/>
      <c r="AW2" s="1435"/>
      <c r="AX2" s="1435"/>
      <c r="AY2" s="1435"/>
    </row>
    <row r="3" spans="1:52" ht="13.8" thickBot="1" x14ac:dyDescent="0.3">
      <c r="W3" s="1344"/>
      <c r="X3" s="1344"/>
      <c r="Y3" s="1344"/>
      <c r="Z3" s="1344"/>
      <c r="AA3" s="1344"/>
      <c r="AB3" s="1344"/>
      <c r="AC3" s="1344"/>
    </row>
    <row r="4" spans="1:52" s="646" customFormat="1" ht="46.5" customHeight="1" thickBot="1" x14ac:dyDescent="0.3">
      <c r="A4" s="1341" t="s">
        <v>328</v>
      </c>
      <c r="B4" s="1437" t="s">
        <v>129</v>
      </c>
      <c r="C4" s="1438"/>
      <c r="D4" s="1438"/>
      <c r="E4" s="1439"/>
      <c r="F4" s="1429" t="s">
        <v>130</v>
      </c>
      <c r="G4" s="1430"/>
      <c r="H4" s="1430"/>
      <c r="I4" s="1431"/>
      <c r="J4" s="1437" t="s">
        <v>131</v>
      </c>
      <c r="K4" s="1438"/>
      <c r="L4" s="1438"/>
      <c r="M4" s="1439"/>
      <c r="N4" s="1341" t="s">
        <v>328</v>
      </c>
      <c r="O4" s="1429" t="s">
        <v>132</v>
      </c>
      <c r="P4" s="1430"/>
      <c r="Q4" s="1430"/>
      <c r="R4" s="1431"/>
      <c r="S4" s="1440" t="s">
        <v>133</v>
      </c>
      <c r="T4" s="1441"/>
      <c r="U4" s="1441"/>
      <c r="V4" s="1442"/>
      <c r="W4" s="1432" t="s">
        <v>134</v>
      </c>
      <c r="X4" s="1433"/>
      <c r="Y4" s="1433"/>
      <c r="Z4" s="1434"/>
      <c r="AA4" s="1341" t="s">
        <v>328</v>
      </c>
      <c r="AB4" s="1432" t="s">
        <v>135</v>
      </c>
      <c r="AC4" s="1433"/>
      <c r="AD4" s="1433"/>
      <c r="AE4" s="1434"/>
      <c r="AF4" s="1379" t="s">
        <v>136</v>
      </c>
      <c r="AG4" s="1380"/>
      <c r="AH4" s="1380"/>
      <c r="AI4" s="1381"/>
      <c r="AJ4" s="1432" t="s">
        <v>137</v>
      </c>
      <c r="AK4" s="1433"/>
      <c r="AL4" s="1433"/>
      <c r="AM4" s="1434"/>
      <c r="AN4" s="1341" t="s">
        <v>328</v>
      </c>
      <c r="AO4" s="1432" t="s">
        <v>349</v>
      </c>
      <c r="AP4" s="1433"/>
      <c r="AQ4" s="1433"/>
      <c r="AR4" s="1434"/>
      <c r="AS4" s="1432" t="s">
        <v>138</v>
      </c>
      <c r="AT4" s="1433"/>
      <c r="AU4" s="1433"/>
      <c r="AV4" s="1434"/>
      <c r="AW4" s="1427" t="s">
        <v>640</v>
      </c>
      <c r="AX4" s="1436"/>
      <c r="AY4" s="1428"/>
    </row>
    <row r="5" spans="1:52" s="44" customFormat="1" ht="52.5" customHeight="1" thickBot="1" x14ac:dyDescent="0.25">
      <c r="A5" s="1342"/>
      <c r="B5" s="1086" t="s">
        <v>591</v>
      </c>
      <c r="C5" s="550" t="s">
        <v>978</v>
      </c>
      <c r="D5" s="550" t="s">
        <v>1044</v>
      </c>
      <c r="E5" s="936" t="s">
        <v>934</v>
      </c>
      <c r="F5" s="1086" t="s">
        <v>591</v>
      </c>
      <c r="G5" s="550" t="s">
        <v>978</v>
      </c>
      <c r="H5" s="550" t="s">
        <v>1044</v>
      </c>
      <c r="I5" s="936" t="s">
        <v>934</v>
      </c>
      <c r="J5" s="1086" t="s">
        <v>591</v>
      </c>
      <c r="K5" s="550" t="s">
        <v>978</v>
      </c>
      <c r="L5" s="550" t="s">
        <v>1044</v>
      </c>
      <c r="M5" s="936" t="s">
        <v>934</v>
      </c>
      <c r="N5" s="1342"/>
      <c r="O5" s="1345" t="s">
        <v>591</v>
      </c>
      <c r="P5" s="550" t="s">
        <v>935</v>
      </c>
      <c r="Q5" s="550" t="s">
        <v>978</v>
      </c>
      <c r="R5" s="966" t="s">
        <v>934</v>
      </c>
      <c r="S5" s="1345" t="s">
        <v>591</v>
      </c>
      <c r="T5" s="550" t="s">
        <v>978</v>
      </c>
      <c r="U5" s="550" t="s">
        <v>1044</v>
      </c>
      <c r="V5" s="966" t="s">
        <v>934</v>
      </c>
      <c r="W5" s="1345" t="s">
        <v>591</v>
      </c>
      <c r="X5" s="550" t="s">
        <v>978</v>
      </c>
      <c r="Y5" s="550" t="s">
        <v>1044</v>
      </c>
      <c r="Z5" s="966" t="s">
        <v>934</v>
      </c>
      <c r="AA5" s="1342"/>
      <c r="AB5" s="1345" t="s">
        <v>591</v>
      </c>
      <c r="AC5" s="550" t="s">
        <v>978</v>
      </c>
      <c r="AD5" s="550" t="s">
        <v>1044</v>
      </c>
      <c r="AE5" s="966" t="s">
        <v>934</v>
      </c>
      <c r="AF5" s="1345" t="s">
        <v>591</v>
      </c>
      <c r="AG5" s="550" t="s">
        <v>978</v>
      </c>
      <c r="AH5" s="550" t="s">
        <v>1044</v>
      </c>
      <c r="AI5" s="966" t="s">
        <v>934</v>
      </c>
      <c r="AJ5" s="1345" t="s">
        <v>591</v>
      </c>
      <c r="AK5" s="550" t="s">
        <v>978</v>
      </c>
      <c r="AL5" s="550" t="s">
        <v>1044</v>
      </c>
      <c r="AM5" s="966" t="s">
        <v>934</v>
      </c>
      <c r="AN5" s="1342"/>
      <c r="AO5" s="1345" t="s">
        <v>591</v>
      </c>
      <c r="AP5" s="550" t="s">
        <v>978</v>
      </c>
      <c r="AQ5" s="550" t="s">
        <v>1044</v>
      </c>
      <c r="AR5" s="966" t="s">
        <v>934</v>
      </c>
      <c r="AS5" s="1345" t="s">
        <v>591</v>
      </c>
      <c r="AT5" s="550" t="s">
        <v>978</v>
      </c>
      <c r="AU5" s="550" t="s">
        <v>1044</v>
      </c>
      <c r="AV5" s="966" t="s">
        <v>934</v>
      </c>
      <c r="AW5" s="542" t="s">
        <v>561</v>
      </c>
      <c r="AX5" s="543" t="s">
        <v>562</v>
      </c>
      <c r="AY5" s="544" t="s">
        <v>638</v>
      </c>
    </row>
    <row r="6" spans="1:52" s="37" customFormat="1" ht="28.5" customHeight="1" x14ac:dyDescent="0.25">
      <c r="A6" s="568" t="s">
        <v>225</v>
      </c>
      <c r="B6" s="619">
        <v>36029164</v>
      </c>
      <c r="C6" s="323">
        <v>36322156</v>
      </c>
      <c r="D6" s="323">
        <v>35992170</v>
      </c>
      <c r="E6" s="621">
        <f>D6-C6</f>
        <v>-329986</v>
      </c>
      <c r="F6" s="619">
        <v>6854035</v>
      </c>
      <c r="G6" s="323">
        <v>6909980</v>
      </c>
      <c r="H6" s="323">
        <v>6820509</v>
      </c>
      <c r="I6" s="621">
        <f>H6-G6</f>
        <v>-89471</v>
      </c>
      <c r="J6" s="619">
        <v>10338000</v>
      </c>
      <c r="K6" s="323">
        <v>13972701</v>
      </c>
      <c r="L6" s="323">
        <v>13772701</v>
      </c>
      <c r="M6" s="621">
        <f>L6-K6</f>
        <v>-200000</v>
      </c>
      <c r="N6" s="568" t="s">
        <v>225</v>
      </c>
      <c r="O6" s="321"/>
      <c r="P6" s="647"/>
      <c r="Q6" s="647"/>
      <c r="R6" s="1098">
        <f>P6-O6</f>
        <v>0</v>
      </c>
      <c r="S6" s="306"/>
      <c r="T6" s="1209"/>
      <c r="U6" s="1209"/>
      <c r="V6" s="1098">
        <f>U6-T6</f>
        <v>0</v>
      </c>
      <c r="W6" s="1107">
        <f>'4a. sz. tábla  (3)'!C5</f>
        <v>3071000</v>
      </c>
      <c r="X6" s="323">
        <f>'4a. sz. tábla  (3)'!D5</f>
        <v>4473628</v>
      </c>
      <c r="Y6" s="302">
        <f>'4a. sz. tábla  (3)'!E5</f>
        <v>4473628</v>
      </c>
      <c r="Z6" s="1098">
        <f>Y6-X6</f>
        <v>0</v>
      </c>
      <c r="AA6" s="568" t="s">
        <v>225</v>
      </c>
      <c r="AB6" s="351"/>
      <c r="AC6" s="173"/>
      <c r="AD6" s="173"/>
      <c r="AE6" s="1098">
        <f>AD6-AC6</f>
        <v>0</v>
      </c>
      <c r="AF6" s="324"/>
      <c r="AG6" s="173"/>
      <c r="AH6" s="173"/>
      <c r="AI6" s="1098">
        <f>AH6-AG6</f>
        <v>0</v>
      </c>
      <c r="AJ6" s="323"/>
      <c r="AK6" s="173"/>
      <c r="AL6" s="173"/>
      <c r="AM6" s="1098">
        <f>AL6-AK6</f>
        <v>0</v>
      </c>
      <c r="AN6" s="568" t="s">
        <v>225</v>
      </c>
      <c r="AO6" s="324"/>
      <c r="AP6" s="173"/>
      <c r="AQ6" s="173"/>
      <c r="AR6" s="1098">
        <f>AP6-AO6</f>
        <v>0</v>
      </c>
      <c r="AS6" s="327">
        <f t="shared" ref="AS6:AV8" si="0">SUM(AB6,AF6,AJ6,W6,S6,O6,J6,F6,B6)</f>
        <v>56292199</v>
      </c>
      <c r="AT6" s="648">
        <f t="shared" si="0"/>
        <v>61678465</v>
      </c>
      <c r="AU6" s="648">
        <f t="shared" si="0"/>
        <v>61059008</v>
      </c>
      <c r="AV6" s="649">
        <f t="shared" si="0"/>
        <v>-619457</v>
      </c>
      <c r="AW6" s="622">
        <v>61059008</v>
      </c>
      <c r="AX6" s="650"/>
      <c r="AY6" s="545"/>
      <c r="AZ6" s="651">
        <f t="shared" ref="AZ6:AZ9" si="1">SUM(AW6:AY6)</f>
        <v>61059008</v>
      </c>
    </row>
    <row r="7" spans="1:52" ht="39" customHeight="1" x14ac:dyDescent="0.25">
      <c r="A7" s="184" t="s">
        <v>543</v>
      </c>
      <c r="B7" s="301">
        <v>111536000</v>
      </c>
      <c r="C7" s="168">
        <v>117245500</v>
      </c>
      <c r="D7" s="168">
        <v>117445100</v>
      </c>
      <c r="E7" s="627">
        <f t="shared" ref="E7:E8" si="2">D7-C7</f>
        <v>199600</v>
      </c>
      <c r="F7" s="301">
        <v>22040000</v>
      </c>
      <c r="G7" s="168">
        <v>22438000</v>
      </c>
      <c r="H7" s="168">
        <v>22065058</v>
      </c>
      <c r="I7" s="1098">
        <f t="shared" ref="I7:I8" si="3">H7-G7</f>
        <v>-372942</v>
      </c>
      <c r="J7" s="301">
        <v>91426000</v>
      </c>
      <c r="K7" s="1207">
        <v>94931016</v>
      </c>
      <c r="L7" s="1207">
        <v>94931016</v>
      </c>
      <c r="M7" s="627">
        <f t="shared" ref="M7:M8" si="4">L7-K7</f>
        <v>0</v>
      </c>
      <c r="N7" s="184" t="s">
        <v>543</v>
      </c>
      <c r="O7" s="276"/>
      <c r="P7" s="85"/>
      <c r="Q7" s="301"/>
      <c r="R7" s="627">
        <f>P7-O7</f>
        <v>0</v>
      </c>
      <c r="S7" s="258"/>
      <c r="T7" s="1210"/>
      <c r="U7" s="1210"/>
      <c r="V7" s="1098">
        <f t="shared" ref="V7:V8" si="5">U7-T7</f>
        <v>0</v>
      </c>
      <c r="W7" s="652">
        <f>'4a. sz. tábla  (3)'!C17</f>
        <v>500000</v>
      </c>
      <c r="X7" s="84">
        <v>2088460</v>
      </c>
      <c r="Y7" s="84">
        <v>2988460</v>
      </c>
      <c r="Z7" s="1098">
        <f t="shared" ref="Z7:Z8" si="6">Y7-X7</f>
        <v>900000</v>
      </c>
      <c r="AA7" s="184" t="s">
        <v>543</v>
      </c>
      <c r="AB7" s="652"/>
      <c r="AC7" s="173"/>
      <c r="AD7" s="173"/>
      <c r="AE7" s="1098">
        <f t="shared" ref="AE7:AE8" si="7">AD7-AC7</f>
        <v>0</v>
      </c>
      <c r="AF7" s="276"/>
      <c r="AG7" s="301"/>
      <c r="AH7" s="301"/>
      <c r="AI7" s="1098">
        <f t="shared" ref="AI7:AI8" si="8">AH7-AG7</f>
        <v>0</v>
      </c>
      <c r="AJ7" s="168"/>
      <c r="AK7" s="301"/>
      <c r="AL7" s="301"/>
      <c r="AM7" s="1098">
        <f t="shared" ref="AM7:AM8" si="9">AL7-AK7</f>
        <v>0</v>
      </c>
      <c r="AN7" s="184" t="s">
        <v>543</v>
      </c>
      <c r="AO7" s="306"/>
      <c r="AP7" s="173"/>
      <c r="AQ7" s="173"/>
      <c r="AR7" s="627">
        <f>AP7-AO7</f>
        <v>0</v>
      </c>
      <c r="AS7" s="258">
        <f t="shared" si="0"/>
        <v>225502000</v>
      </c>
      <c r="AT7" s="85">
        <f t="shared" si="0"/>
        <v>236702976</v>
      </c>
      <c r="AU7" s="85">
        <f t="shared" si="0"/>
        <v>237429634</v>
      </c>
      <c r="AV7" s="422">
        <f>SUM(AE7,AI7,AM7,Z7,V7,R7,M7,I7,E7)</f>
        <v>726658</v>
      </c>
      <c r="AW7" s="622">
        <f>123284540+1674000+326000+3230016+535460+853000-200000+3507500+500000+100000+900000+262613-400000-35955-300000-410000</f>
        <v>133827174</v>
      </c>
      <c r="AX7" s="623">
        <f>102217460+1000000+75000+200000-600000+300000+410000</f>
        <v>103602460</v>
      </c>
      <c r="AY7" s="422"/>
      <c r="AZ7" s="651">
        <f>SUM(AW7:AY7)</f>
        <v>237429634</v>
      </c>
    </row>
    <row r="8" spans="1:52" s="41" customFormat="1" ht="29.25" customHeight="1" x14ac:dyDescent="0.25">
      <c r="A8" s="203" t="s">
        <v>544</v>
      </c>
      <c r="B8" s="301">
        <v>46407000</v>
      </c>
      <c r="C8" s="303">
        <v>47801884</v>
      </c>
      <c r="D8" s="303">
        <v>47759038</v>
      </c>
      <c r="E8" s="1098">
        <f t="shared" si="2"/>
        <v>-42846</v>
      </c>
      <c r="F8" s="301">
        <v>8992000</v>
      </c>
      <c r="G8" s="303">
        <v>9109405</v>
      </c>
      <c r="H8" s="303">
        <v>9092683</v>
      </c>
      <c r="I8" s="1098">
        <f t="shared" si="3"/>
        <v>-16722</v>
      </c>
      <c r="J8" s="301">
        <v>14628059</v>
      </c>
      <c r="K8" s="1207">
        <v>15390726</v>
      </c>
      <c r="L8" s="1207">
        <v>15390726</v>
      </c>
      <c r="M8" s="1098">
        <f t="shared" si="4"/>
        <v>0</v>
      </c>
      <c r="N8" s="203" t="s">
        <v>544</v>
      </c>
      <c r="O8" s="276"/>
      <c r="P8" s="85"/>
      <c r="Q8" s="301"/>
      <c r="R8" s="627">
        <f>P8-O8</f>
        <v>0</v>
      </c>
      <c r="S8" s="258"/>
      <c r="T8" s="1211">
        <v>6712</v>
      </c>
      <c r="U8" s="1211">
        <v>6712</v>
      </c>
      <c r="V8" s="1098">
        <f t="shared" si="5"/>
        <v>0</v>
      </c>
      <c r="W8" s="652">
        <f>'4a. sz. tábla  (3)'!C12</f>
        <v>300000</v>
      </c>
      <c r="X8" s="84">
        <v>650469</v>
      </c>
      <c r="Y8" s="84">
        <v>650469</v>
      </c>
      <c r="Z8" s="1098">
        <f t="shared" si="6"/>
        <v>0</v>
      </c>
      <c r="AA8" s="203" t="s">
        <v>544</v>
      </c>
      <c r="AB8" s="652"/>
      <c r="AC8" s="174"/>
      <c r="AD8" s="174"/>
      <c r="AE8" s="1098">
        <f t="shared" si="7"/>
        <v>0</v>
      </c>
      <c r="AF8" s="276"/>
      <c r="AG8" s="304"/>
      <c r="AH8" s="304"/>
      <c r="AI8" s="1098">
        <f t="shared" si="8"/>
        <v>0</v>
      </c>
      <c r="AJ8" s="168"/>
      <c r="AK8" s="304"/>
      <c r="AL8" s="304"/>
      <c r="AM8" s="1098">
        <f t="shared" si="9"/>
        <v>0</v>
      </c>
      <c r="AN8" s="203" t="s">
        <v>544</v>
      </c>
      <c r="AO8" s="306"/>
      <c r="AP8" s="174"/>
      <c r="AQ8" s="174"/>
      <c r="AR8" s="627">
        <f>AP8-AO8</f>
        <v>0</v>
      </c>
      <c r="AS8" s="258">
        <f t="shared" si="0"/>
        <v>70327059</v>
      </c>
      <c r="AT8" s="653">
        <f>SUM(AC8,AG8,AK8,X8,T8,P8,K8,G8,C8)</f>
        <v>72959196</v>
      </c>
      <c r="AU8" s="653">
        <f>SUM(AD8,AH8,AL8,Y8,U8,Q8,L8,H8,D8)</f>
        <v>72899628</v>
      </c>
      <c r="AV8" s="654">
        <f t="shared" si="0"/>
        <v>-59568</v>
      </c>
      <c r="AW8" s="622">
        <f>66649134+662000+129001+566043+250469+728000+296624-59568</f>
        <v>69221703</v>
      </c>
      <c r="AX8" s="623">
        <v>3677925</v>
      </c>
      <c r="AY8" s="546"/>
      <c r="AZ8" s="651">
        <f t="shared" si="1"/>
        <v>72899628</v>
      </c>
    </row>
    <row r="9" spans="1:52" s="13" customFormat="1" ht="28.2" customHeight="1" x14ac:dyDescent="0.25">
      <c r="A9" s="185" t="s">
        <v>127</v>
      </c>
      <c r="B9" s="140">
        <f t="shared" ref="B9:C9" si="10">B6+B7+B8</f>
        <v>193972164</v>
      </c>
      <c r="C9" s="87">
        <f t="shared" si="10"/>
        <v>201369540</v>
      </c>
      <c r="D9" s="87">
        <f t="shared" ref="D9:Q9" si="11">D6+D7+D8</f>
        <v>201196308</v>
      </c>
      <c r="E9" s="631">
        <f>D9-C9</f>
        <v>-173232</v>
      </c>
      <c r="F9" s="140">
        <f t="shared" ref="F9:G9" si="12">F6+F7+F8</f>
        <v>37886035</v>
      </c>
      <c r="G9" s="87">
        <f t="shared" si="12"/>
        <v>38457385</v>
      </c>
      <c r="H9" s="87">
        <f t="shared" si="11"/>
        <v>37978250</v>
      </c>
      <c r="I9" s="631">
        <f>H9-G9</f>
        <v>-479135</v>
      </c>
      <c r="J9" s="166">
        <f t="shared" ref="J9:K9" si="13">J6+J7+J8</f>
        <v>116392059</v>
      </c>
      <c r="K9" s="1102">
        <f t="shared" si="13"/>
        <v>124294443</v>
      </c>
      <c r="L9" s="1102">
        <f t="shared" si="11"/>
        <v>124094443</v>
      </c>
      <c r="M9" s="631">
        <f>L9-K9</f>
        <v>-200000</v>
      </c>
      <c r="N9" s="185" t="s">
        <v>127</v>
      </c>
      <c r="O9" s="259">
        <f t="shared" si="11"/>
        <v>0</v>
      </c>
      <c r="P9" s="87">
        <f t="shared" si="11"/>
        <v>0</v>
      </c>
      <c r="Q9" s="87">
        <f t="shared" si="11"/>
        <v>0</v>
      </c>
      <c r="R9" s="631">
        <f>Q9-P9</f>
        <v>0</v>
      </c>
      <c r="S9" s="259">
        <f t="shared" ref="S9:T9" si="14">S6+S7+S8</f>
        <v>0</v>
      </c>
      <c r="T9" s="87">
        <f t="shared" si="14"/>
        <v>6712</v>
      </c>
      <c r="U9" s="87">
        <f t="shared" ref="U9:AI9" si="15">U6+U7+U8</f>
        <v>6712</v>
      </c>
      <c r="V9" s="631">
        <f>U9-T9</f>
        <v>0</v>
      </c>
      <c r="W9" s="702">
        <f t="shared" si="15"/>
        <v>3871000</v>
      </c>
      <c r="X9" s="87">
        <f t="shared" ref="X9" si="16">X6+X7+X8</f>
        <v>7212557</v>
      </c>
      <c r="Y9" s="87">
        <f t="shared" si="15"/>
        <v>8112557</v>
      </c>
      <c r="Z9" s="631">
        <f>Y9-X9</f>
        <v>900000</v>
      </c>
      <c r="AA9" s="185" t="s">
        <v>127</v>
      </c>
      <c r="AB9" s="139">
        <f t="shared" si="15"/>
        <v>0</v>
      </c>
      <c r="AC9" s="87">
        <f t="shared" ref="AC9" si="17">AC6+AC7+AC8</f>
        <v>0</v>
      </c>
      <c r="AD9" s="87">
        <f t="shared" si="15"/>
        <v>0</v>
      </c>
      <c r="AE9" s="87">
        <f t="shared" si="15"/>
        <v>0</v>
      </c>
      <c r="AF9" s="259">
        <f t="shared" si="15"/>
        <v>0</v>
      </c>
      <c r="AG9" s="87">
        <f t="shared" ref="AG9" si="18">AG6+AG7+AG8</f>
        <v>0</v>
      </c>
      <c r="AH9" s="87">
        <f t="shared" si="15"/>
        <v>0</v>
      </c>
      <c r="AI9" s="87">
        <f t="shared" si="15"/>
        <v>0</v>
      </c>
      <c r="AJ9" s="140">
        <f>AJ6+AJ7+AJ8</f>
        <v>0</v>
      </c>
      <c r="AK9" s="87">
        <f t="shared" ref="AK9" si="19">AK6+AK7+AK8</f>
        <v>0</v>
      </c>
      <c r="AL9" s="87">
        <f t="shared" ref="AL9:AR9" si="20">AL6+AL7+AL8</f>
        <v>0</v>
      </c>
      <c r="AM9" s="631">
        <f>AL9-AK9</f>
        <v>0</v>
      </c>
      <c r="AN9" s="185" t="s">
        <v>127</v>
      </c>
      <c r="AO9" s="259">
        <f>AO6+AO7+AO8</f>
        <v>0</v>
      </c>
      <c r="AP9" s="87">
        <f t="shared" ref="AP9" si="21">AP6+AP7+AP8</f>
        <v>0</v>
      </c>
      <c r="AQ9" s="87">
        <f t="shared" si="20"/>
        <v>0</v>
      </c>
      <c r="AR9" s="87">
        <f t="shared" si="20"/>
        <v>0</v>
      </c>
      <c r="AS9" s="259">
        <f>AS6+AS7+AS8</f>
        <v>352121258</v>
      </c>
      <c r="AT9" s="87">
        <f>AT6+AT7+AT8</f>
        <v>371340637</v>
      </c>
      <c r="AU9" s="87">
        <f>AU6+AU7+AU8</f>
        <v>371388270</v>
      </c>
      <c r="AV9" s="206">
        <f>AV6+AV7+AV8</f>
        <v>47633</v>
      </c>
      <c r="AW9" s="259">
        <f>SUM(AW6:AW8)</f>
        <v>264107885</v>
      </c>
      <c r="AX9" s="87">
        <f>SUM(AX6:AX8)</f>
        <v>107280385</v>
      </c>
      <c r="AY9" s="206">
        <f>SUM(AY6:AY8)</f>
        <v>0</v>
      </c>
      <c r="AZ9" s="651">
        <f t="shared" si="1"/>
        <v>371388270</v>
      </c>
    </row>
    <row r="10" spans="1:52" s="45" customFormat="1" ht="27" customHeight="1" x14ac:dyDescent="0.25">
      <c r="A10" s="204" t="s">
        <v>224</v>
      </c>
      <c r="B10" s="168">
        <f>'5.tábla (2)'!B7</f>
        <v>317071498</v>
      </c>
      <c r="C10" s="84">
        <f>'5.tábla (2)'!C7</f>
        <v>324239853</v>
      </c>
      <c r="D10" s="84">
        <f>'5.tábla (2)'!D7</f>
        <v>329975352</v>
      </c>
      <c r="E10" s="1098">
        <f>D10-C10</f>
        <v>5735499</v>
      </c>
      <c r="F10" s="168">
        <f>'5.tábla (2)'!B12</f>
        <v>67932755</v>
      </c>
      <c r="G10" s="84">
        <f>'5.tábla (2)'!C12</f>
        <v>69704757</v>
      </c>
      <c r="H10" s="84">
        <f>'5.tábla (2)'!D12</f>
        <v>70790270</v>
      </c>
      <c r="I10" s="1098">
        <f>H10-G10</f>
        <v>1085513</v>
      </c>
      <c r="J10" s="168">
        <f>'5.tábla (2)'!B17</f>
        <v>77752024</v>
      </c>
      <c r="K10" s="84">
        <f>'5.tábla (2)'!C17</f>
        <v>83154904</v>
      </c>
      <c r="L10" s="84">
        <f>'5.tábla (2)'!D17</f>
        <v>83397395</v>
      </c>
      <c r="M10" s="1098">
        <f>L10-K10</f>
        <v>242491</v>
      </c>
      <c r="N10" s="204" t="s">
        <v>224</v>
      </c>
      <c r="O10" s="258">
        <f>'5.tábla (2)'!B23+'5.tábla (2)'!B25</f>
        <v>1596000</v>
      </c>
      <c r="P10" s="85">
        <f>'5.tábla (2)'!C23+'5.tábla (2)'!C25</f>
        <v>1596000</v>
      </c>
      <c r="Q10" s="85">
        <f>'5.tábla (2)'!D23+'5.tábla (2)'!D25</f>
        <v>1596000</v>
      </c>
      <c r="R10" s="1098">
        <f>Q10-P10</f>
        <v>0</v>
      </c>
      <c r="S10" s="1105">
        <f>'5.tábla (2)'!B27</f>
        <v>0</v>
      </c>
      <c r="T10" s="86">
        <f>'5.tábla (2)'!C27</f>
        <v>2318668</v>
      </c>
      <c r="U10" s="86">
        <f>'5.tábla (2)'!D27</f>
        <v>2318668</v>
      </c>
      <c r="V10" s="1098">
        <f>U10-T10</f>
        <v>0</v>
      </c>
      <c r="W10" s="168">
        <f>'5.tábla (2)'!B29</f>
        <v>9000000</v>
      </c>
      <c r="X10" s="84">
        <f>'5.tábla (2)'!C29</f>
        <v>18174071</v>
      </c>
      <c r="Y10" s="84">
        <f>'5.tábla (2)'!D29</f>
        <v>18174071</v>
      </c>
      <c r="Z10" s="1098">
        <f>Y10-X10</f>
        <v>0</v>
      </c>
      <c r="AA10" s="204" t="s">
        <v>224</v>
      </c>
      <c r="AB10" s="652"/>
      <c r="AC10" s="173"/>
      <c r="AD10" s="173"/>
      <c r="AE10" s="1098">
        <f>AD10-AC10</f>
        <v>0</v>
      </c>
      <c r="AF10" s="276"/>
      <c r="AG10" s="173"/>
      <c r="AH10" s="173"/>
      <c r="AI10" s="1098">
        <f>AH10-AG10</f>
        <v>0</v>
      </c>
      <c r="AJ10" s="168"/>
      <c r="AK10" s="1220"/>
      <c r="AL10" s="1220"/>
      <c r="AM10" s="1098">
        <f>AL10-AK10</f>
        <v>0</v>
      </c>
      <c r="AN10" s="204" t="s">
        <v>224</v>
      </c>
      <c r="AO10" s="276"/>
      <c r="AP10" s="1220"/>
      <c r="AQ10" s="1220"/>
      <c r="AR10" s="1098">
        <f>AP10-AO10</f>
        <v>0</v>
      </c>
      <c r="AS10" s="258">
        <f>SUM(AB10,AF10,AJ10,W10,S10,O10,J10,F10,B10)</f>
        <v>473352277</v>
      </c>
      <c r="AT10" s="85">
        <f>SUM(AC10,AG10,AK10,X10,T10,P10,K10,G10,C10)</f>
        <v>499188253</v>
      </c>
      <c r="AU10" s="85">
        <f>SUM(AD10,AH10,AL10,Y10,U10,Q10,L10,H10,D10)</f>
        <v>506251756</v>
      </c>
      <c r="AV10" s="422">
        <f>SUM(AE10,AI10,AM10,Z10,V10,R10,M10,I10,E10)</f>
        <v>7063503</v>
      </c>
      <c r="AW10" s="633">
        <f>AU10-AX10-AY10</f>
        <v>391790399</v>
      </c>
      <c r="AX10" s="635">
        <f>'9. sz. tábla (2)'!H51</f>
        <v>6188192</v>
      </c>
      <c r="AY10" s="636">
        <f>'9. sz. tábla (2)'!H84+'9. sz. tábla (2)'!H93</f>
        <v>108273165</v>
      </c>
      <c r="AZ10" s="651">
        <f>SUM(AW10:AY10)</f>
        <v>506251756</v>
      </c>
    </row>
    <row r="11" spans="1:52" s="13" customFormat="1" ht="42" thickBot="1" x14ac:dyDescent="0.3">
      <c r="A11" s="438" t="s">
        <v>126</v>
      </c>
      <c r="B11" s="412">
        <f t="shared" ref="B11:C11" si="22">SUM(B9:B10)</f>
        <v>511043662</v>
      </c>
      <c r="C11" s="405">
        <f t="shared" si="22"/>
        <v>525609393</v>
      </c>
      <c r="D11" s="405">
        <f t="shared" ref="D11:Q11" si="23">SUM(D9:D10)</f>
        <v>531171660</v>
      </c>
      <c r="E11" s="1099">
        <f>D11-C11</f>
        <v>5562267</v>
      </c>
      <c r="F11" s="540">
        <f t="shared" ref="F11:G11" si="24">SUM(F9:F10)</f>
        <v>105818790</v>
      </c>
      <c r="G11" s="529">
        <f t="shared" si="24"/>
        <v>108162142</v>
      </c>
      <c r="H11" s="529">
        <f t="shared" ref="H11" si="25">SUM(H9:H10)</f>
        <v>108768520</v>
      </c>
      <c r="I11" s="1099">
        <f>H11-G11</f>
        <v>606378</v>
      </c>
      <c r="J11" s="412">
        <f t="shared" ref="J11:K11" si="26">SUM(J9:J10)</f>
        <v>194144083</v>
      </c>
      <c r="K11" s="405">
        <f t="shared" si="26"/>
        <v>207449347</v>
      </c>
      <c r="L11" s="405">
        <f t="shared" si="23"/>
        <v>207491838</v>
      </c>
      <c r="M11" s="1099">
        <f>L11-K11</f>
        <v>42491</v>
      </c>
      <c r="N11" s="438" t="s">
        <v>126</v>
      </c>
      <c r="O11" s="528">
        <f>SUM(O9:O10)</f>
        <v>1596000</v>
      </c>
      <c r="P11" s="540">
        <f t="shared" si="23"/>
        <v>1596000</v>
      </c>
      <c r="Q11" s="540">
        <f t="shared" si="23"/>
        <v>1596000</v>
      </c>
      <c r="R11" s="1099">
        <f>Q11-P11</f>
        <v>0</v>
      </c>
      <c r="S11" s="439">
        <f t="shared" ref="S11:T11" si="27">SUM(S9:S10)</f>
        <v>0</v>
      </c>
      <c r="T11" s="405">
        <f t="shared" si="27"/>
        <v>2325380</v>
      </c>
      <c r="U11" s="405">
        <f t="shared" ref="U11:AI11" si="28">SUM(U9:U10)</f>
        <v>2325380</v>
      </c>
      <c r="V11" s="1099">
        <f>U11-T11</f>
        <v>0</v>
      </c>
      <c r="W11" s="704">
        <f t="shared" si="28"/>
        <v>12871000</v>
      </c>
      <c r="X11" s="405">
        <f t="shared" ref="X11" si="29">SUM(X9:X10)</f>
        <v>25386628</v>
      </c>
      <c r="Y11" s="405">
        <f t="shared" si="28"/>
        <v>26286628</v>
      </c>
      <c r="Z11" s="1099">
        <f>Y11-X11</f>
        <v>900000</v>
      </c>
      <c r="AA11" s="438" t="s">
        <v>126</v>
      </c>
      <c r="AB11" s="638">
        <f t="shared" si="28"/>
        <v>0</v>
      </c>
      <c r="AC11" s="1208"/>
      <c r="AD11" s="1208"/>
      <c r="AE11" s="1099">
        <f>AD11-AC11</f>
        <v>0</v>
      </c>
      <c r="AF11" s="404">
        <f t="shared" si="28"/>
        <v>0</v>
      </c>
      <c r="AG11" s="405">
        <f t="shared" ref="AG11" si="30">SUM(AG9:AG10)</f>
        <v>0</v>
      </c>
      <c r="AH11" s="405">
        <f t="shared" si="28"/>
        <v>0</v>
      </c>
      <c r="AI11" s="405">
        <f t="shared" si="28"/>
        <v>0</v>
      </c>
      <c r="AJ11" s="405">
        <f t="shared" ref="AJ11:AY11" si="31">SUM(AJ9:AJ10)</f>
        <v>0</v>
      </c>
      <c r="AK11" s="405">
        <f t="shared" ref="AK11" si="32">SUM(AK9:AK10)</f>
        <v>0</v>
      </c>
      <c r="AL11" s="405">
        <f t="shared" si="31"/>
        <v>0</v>
      </c>
      <c r="AM11" s="1099">
        <f>AK11-AJ11</f>
        <v>0</v>
      </c>
      <c r="AN11" s="438" t="s">
        <v>126</v>
      </c>
      <c r="AO11" s="404">
        <f t="shared" si="31"/>
        <v>0</v>
      </c>
      <c r="AP11" s="405">
        <f t="shared" ref="AP11" si="33">SUM(AP9:AP10)</f>
        <v>0</v>
      </c>
      <c r="AQ11" s="405">
        <f t="shared" si="31"/>
        <v>0</v>
      </c>
      <c r="AR11" s="405">
        <f t="shared" si="31"/>
        <v>0</v>
      </c>
      <c r="AS11" s="439">
        <f t="shared" si="31"/>
        <v>825473535</v>
      </c>
      <c r="AT11" s="405">
        <f t="shared" ref="AT11" si="34">SUM(AT9:AT10)</f>
        <v>870528890</v>
      </c>
      <c r="AU11" s="405">
        <f t="shared" si="31"/>
        <v>877640026</v>
      </c>
      <c r="AV11" s="406">
        <f t="shared" si="31"/>
        <v>7111136</v>
      </c>
      <c r="AW11" s="535">
        <f t="shared" si="31"/>
        <v>655898284</v>
      </c>
      <c r="AX11" s="405">
        <f t="shared" si="31"/>
        <v>113468577</v>
      </c>
      <c r="AY11" s="530">
        <f t="shared" si="31"/>
        <v>108273165</v>
      </c>
      <c r="AZ11" s="651">
        <f>SUM(AW11:AY11)</f>
        <v>877640026</v>
      </c>
    </row>
    <row r="12" spans="1:52" ht="14.4" thickBot="1" x14ac:dyDescent="0.3">
      <c r="A12" s="436" t="s">
        <v>423</v>
      </c>
      <c r="B12" s="538">
        <f>'5.tábla (2)'!B37</f>
        <v>160977192</v>
      </c>
      <c r="C12" s="532">
        <f>'5.tábla (2)'!C37</f>
        <v>173112087</v>
      </c>
      <c r="D12" s="532">
        <f>'5.tábla (2)'!D37</f>
        <v>174712087</v>
      </c>
      <c r="E12" s="621">
        <f>D12-C12</f>
        <v>1600000</v>
      </c>
      <c r="F12" s="538">
        <f>'5.tábla (2)'!B57</f>
        <v>29657574</v>
      </c>
      <c r="G12" s="441">
        <f>'5.tábla (2)'!C57</f>
        <v>31364528</v>
      </c>
      <c r="H12" s="441">
        <f>'5.tábla (2)'!D57</f>
        <v>32564528</v>
      </c>
      <c r="I12" s="621">
        <f>H12-G12</f>
        <v>1200000</v>
      </c>
      <c r="J12" s="434">
        <f>'5.tábla (2)'!B76</f>
        <v>1047384650</v>
      </c>
      <c r="K12" s="1103">
        <f>'5.tábla (2)'!C76</f>
        <v>1143364020</v>
      </c>
      <c r="L12" s="1103">
        <f>'5.tábla (2)'!D76</f>
        <v>1234264730</v>
      </c>
      <c r="M12" s="621">
        <f>L12-K12</f>
        <v>90900710</v>
      </c>
      <c r="N12" s="436" t="s">
        <v>423</v>
      </c>
      <c r="O12" s="703">
        <f>'5.tábla (2)'!B129</f>
        <v>28100000</v>
      </c>
      <c r="P12" s="539">
        <f>'5.tábla (2)'!C129</f>
        <v>28100000</v>
      </c>
      <c r="Q12" s="539">
        <f>'5.tábla (2)'!D129</f>
        <v>28100000</v>
      </c>
      <c r="R12" s="621">
        <f>Q12-P12</f>
        <v>0</v>
      </c>
      <c r="S12" s="435">
        <f>'5.tábla (2)'!B139</f>
        <v>1327110133</v>
      </c>
      <c r="T12" s="1106">
        <f>'5.tábla (2)'!C139</f>
        <v>1329576429</v>
      </c>
      <c r="U12" s="1106">
        <f>'5.tábla (2)'!D139</f>
        <v>1386891511</v>
      </c>
      <c r="V12" s="621">
        <f>U12-T12</f>
        <v>57315082</v>
      </c>
      <c r="W12" s="700">
        <f>'7. sz. tábla 1'!B142</f>
        <v>7902103500</v>
      </c>
      <c r="X12" s="532">
        <f>'7. sz. tábla 1'!C142</f>
        <v>8282599260</v>
      </c>
      <c r="Y12" s="532">
        <f>'7. sz. tábla 1'!D142</f>
        <v>8755358772</v>
      </c>
      <c r="Z12" s="621">
        <f>Y12-X12</f>
        <v>472759512</v>
      </c>
      <c r="AA12" s="436" t="s">
        <v>423</v>
      </c>
      <c r="AB12" s="537">
        <f>'7. sz. tábla 1'!B223</f>
        <v>86073257</v>
      </c>
      <c r="AC12" s="537">
        <f>'7. sz. tábla 1'!C223</f>
        <v>93407357</v>
      </c>
      <c r="AD12" s="537">
        <f>'7. sz. tábla 1'!D223</f>
        <v>90593955</v>
      </c>
      <c r="AE12" s="621">
        <f>AD12-AC12</f>
        <v>-2813402</v>
      </c>
      <c r="AF12" s="435">
        <f>'7. sz. tábla 1'!B211</f>
        <v>215391539</v>
      </c>
      <c r="AG12" s="655">
        <f>'7. sz. tábla 1'!C211</f>
        <v>392000355</v>
      </c>
      <c r="AH12" s="655">
        <f>'7. sz. tábla 1'!D211</f>
        <v>998982028</v>
      </c>
      <c r="AI12" s="621">
        <f>AH12-AG12</f>
        <v>606981673</v>
      </c>
      <c r="AJ12" s="433">
        <f>'7. sz. tábla 1'!B218</f>
        <v>123837273</v>
      </c>
      <c r="AK12" s="433">
        <f>'7. sz. tábla 1'!C218</f>
        <v>123837273</v>
      </c>
      <c r="AL12" s="433">
        <f>'7. sz. tábla 1'!D218</f>
        <v>123837273</v>
      </c>
      <c r="AM12" s="621">
        <f>AL12-AK12</f>
        <v>0</v>
      </c>
      <c r="AN12" s="436" t="s">
        <v>423</v>
      </c>
      <c r="AO12" s="432">
        <f>'1.sz.tábla   (2)'!B30</f>
        <v>126348942</v>
      </c>
      <c r="AP12" s="441">
        <f>'1.sz.tábla   (2)'!C30</f>
        <v>54287305</v>
      </c>
      <c r="AQ12" s="441">
        <f>'1.sz.tábla   (2)'!D30</f>
        <v>50157566</v>
      </c>
      <c r="AR12" s="621">
        <f>AQ12-AP12</f>
        <v>-4129739</v>
      </c>
      <c r="AS12" s="437">
        <f>SUM(AB12,AF12,AJ12,W12,S12,O12,J12,F12,B12,AO12)</f>
        <v>11046984060</v>
      </c>
      <c r="AT12" s="437">
        <f>SUM(AC12,AG12,AK12,X12,T12,P12,K12,G12,C12,AP12)</f>
        <v>11651648614</v>
      </c>
      <c r="AU12" s="437">
        <f>SUM(AD12,AH12,AL12,Y12,U12,Q12,L12,H12,D12,AQ12)</f>
        <v>12875462450</v>
      </c>
      <c r="AV12" s="656">
        <f>SUM(AE12,AI12,AM12,Z12,V12,R12,M12,I12,E12,AR12)</f>
        <v>1223813836</v>
      </c>
      <c r="AW12" s="639"/>
      <c r="AX12" s="533"/>
      <c r="AY12" s="539"/>
      <c r="AZ12" s="651"/>
    </row>
    <row r="13" spans="1:52" s="13" customFormat="1" ht="14.4" thickBot="1" x14ac:dyDescent="0.3">
      <c r="A13" s="413" t="s">
        <v>128</v>
      </c>
      <c r="B13" s="350">
        <f t="shared" ref="B13:C13" si="35">SUM(B11:B12)</f>
        <v>672020854</v>
      </c>
      <c r="C13" s="350">
        <f t="shared" si="35"/>
        <v>698721480</v>
      </c>
      <c r="D13" s="350">
        <f t="shared" ref="D13" si="36">SUM(D11:D12)</f>
        <v>705883747</v>
      </c>
      <c r="E13" s="1100">
        <f>D13-C13</f>
        <v>7162267</v>
      </c>
      <c r="F13" s="640">
        <f t="shared" ref="F13:G13" si="37">SUM(F11:F12)</f>
        <v>135476364</v>
      </c>
      <c r="G13" s="414">
        <f t="shared" si="37"/>
        <v>139526670</v>
      </c>
      <c r="H13" s="414">
        <f t="shared" ref="H13:Q13" si="38">SUM(H11:H12)</f>
        <v>141333048</v>
      </c>
      <c r="I13" s="1100">
        <f>H13-G13</f>
        <v>1806378</v>
      </c>
      <c r="J13" s="1101">
        <f t="shared" ref="J13:K13" si="39">SUM(J11:J12)</f>
        <v>1241528733</v>
      </c>
      <c r="K13" s="1104">
        <f t="shared" si="39"/>
        <v>1350813367</v>
      </c>
      <c r="L13" s="1104">
        <f t="shared" si="38"/>
        <v>1441756568</v>
      </c>
      <c r="M13" s="1100">
        <f>L13-K13</f>
        <v>90943201</v>
      </c>
      <c r="N13" s="413" t="s">
        <v>128</v>
      </c>
      <c r="O13" s="328">
        <f t="shared" si="38"/>
        <v>29696000</v>
      </c>
      <c r="P13" s="640">
        <f t="shared" si="38"/>
        <v>29696000</v>
      </c>
      <c r="Q13" s="640">
        <f t="shared" si="38"/>
        <v>29696000</v>
      </c>
      <c r="R13" s="1100">
        <f>Q13-P13</f>
        <v>0</v>
      </c>
      <c r="S13" s="328">
        <f>SUM(S11:S12)</f>
        <v>1327110133</v>
      </c>
      <c r="T13" s="187">
        <f>SUM(T11:T12)</f>
        <v>1331901809</v>
      </c>
      <c r="U13" s="187">
        <f>SUM(U11:U12)</f>
        <v>1389216891</v>
      </c>
      <c r="V13" s="1100">
        <f>U13-T13</f>
        <v>57315082</v>
      </c>
      <c r="W13" s="188">
        <f t="shared" ref="W13:Y13" si="40">SUM(W11:W12)</f>
        <v>7914974500</v>
      </c>
      <c r="X13" s="187">
        <f t="shared" ref="X13" si="41">SUM(X11:X12)</f>
        <v>8307985888</v>
      </c>
      <c r="Y13" s="187">
        <f t="shared" si="40"/>
        <v>8781645400</v>
      </c>
      <c r="Z13" s="1100">
        <f>Y13-X13</f>
        <v>473659512</v>
      </c>
      <c r="AA13" s="413" t="s">
        <v>128</v>
      </c>
      <c r="AB13" s="188">
        <f>SUM(AB11:AB12)</f>
        <v>86073257</v>
      </c>
      <c r="AC13" s="187">
        <f t="shared" ref="AC13" si="42">SUM(AC11:AC12)</f>
        <v>93407357</v>
      </c>
      <c r="AD13" s="187">
        <f t="shared" ref="AD13" si="43">SUM(AD11:AD12)</f>
        <v>90593955</v>
      </c>
      <c r="AE13" s="1100">
        <f>AD13-AC13</f>
        <v>-2813402</v>
      </c>
      <c r="AF13" s="186">
        <f>SUM(AF11:AF12)</f>
        <v>215391539</v>
      </c>
      <c r="AG13" s="187">
        <f t="shared" ref="AG13" si="44">SUM(AG11:AG12)</f>
        <v>392000355</v>
      </c>
      <c r="AH13" s="187">
        <f t="shared" ref="AH13" si="45">SUM(AH11:AH12)</f>
        <v>998982028</v>
      </c>
      <c r="AI13" s="1100">
        <f>AH13-AG13</f>
        <v>606981673</v>
      </c>
      <c r="AJ13" s="414">
        <f>SUM(AJ11:AJ12)</f>
        <v>123837273</v>
      </c>
      <c r="AK13" s="414">
        <f t="shared" ref="AK13" si="46">SUM(AK11:AK12)</f>
        <v>123837273</v>
      </c>
      <c r="AL13" s="414">
        <f t="shared" ref="AL13" si="47">SUM(AL11:AL12)</f>
        <v>123837273</v>
      </c>
      <c r="AM13" s="1100">
        <f>AL13-AK13</f>
        <v>0</v>
      </c>
      <c r="AN13" s="413" t="s">
        <v>128</v>
      </c>
      <c r="AO13" s="350">
        <f>SUM(AO11:AO12)</f>
        <v>126348942</v>
      </c>
      <c r="AP13" s="350">
        <f t="shared" ref="AP13" si="48">SUM(AP11:AP12)</f>
        <v>54287305</v>
      </c>
      <c r="AQ13" s="350">
        <f t="shared" ref="AQ13" si="49">SUM(AQ11:AQ12)</f>
        <v>50157566</v>
      </c>
      <c r="AR13" s="1100">
        <f>AQ13-AP13</f>
        <v>-4129739</v>
      </c>
      <c r="AS13" s="186">
        <f>SUM(AS11:AS12)</f>
        <v>11872457595</v>
      </c>
      <c r="AT13" s="350">
        <f>SUM(AT11:AT12)</f>
        <v>12522177504</v>
      </c>
      <c r="AU13" s="350">
        <f>SUM(AU11:AU12)</f>
        <v>13753102476</v>
      </c>
      <c r="AV13" s="329">
        <f>SUM(AV11:AV12)</f>
        <v>1230924972</v>
      </c>
      <c r="AW13" s="328"/>
      <c r="AX13" s="657"/>
      <c r="AY13" s="658"/>
    </row>
    <row r="14" spans="1:52" ht="13.8" x14ac:dyDescent="0.25">
      <c r="Q14" s="352"/>
      <c r="R14" s="16"/>
      <c r="S14" s="352"/>
    </row>
    <row r="15" spans="1:52" ht="13.8" x14ac:dyDescent="0.25">
      <c r="Q15" s="16"/>
      <c r="R15" s="16"/>
      <c r="S15" s="352"/>
    </row>
    <row r="39" spans="18:18" ht="13.8" x14ac:dyDescent="0.25">
      <c r="R39" s="96" t="e">
        <f>Q39-#REF!</f>
        <v>#REF!</v>
      </c>
    </row>
    <row r="40" spans="18:18" ht="13.8" x14ac:dyDescent="0.25">
      <c r="R40" s="96" t="e">
        <f>Q40-#REF!</f>
        <v>#REF!</v>
      </c>
    </row>
  </sheetData>
  <sheetProtection selectLockedCells="1" selectUnlockedCells="1"/>
  <mergeCells count="16">
    <mergeCell ref="O4:R4"/>
    <mergeCell ref="AB4:AE4"/>
    <mergeCell ref="A2:M2"/>
    <mergeCell ref="N2:Z2"/>
    <mergeCell ref="AW4:AY4"/>
    <mergeCell ref="AA2:AM2"/>
    <mergeCell ref="B4:E4"/>
    <mergeCell ref="F4:I4"/>
    <mergeCell ref="J4:M4"/>
    <mergeCell ref="S4:V4"/>
    <mergeCell ref="W4:Z4"/>
    <mergeCell ref="AN2:AY2"/>
    <mergeCell ref="AF4:AI4"/>
    <mergeCell ref="AJ4:AM4"/>
    <mergeCell ref="AS4:AV4"/>
    <mergeCell ref="AO4:AR4"/>
  </mergeCells>
  <printOptions horizontalCentered="1"/>
  <pageMargins left="0.7" right="0.7" top="0.75" bottom="0.75" header="0.3" footer="0.3"/>
  <pageSetup paperSize="9" scale="39" firstPageNumber="0" orientation="landscape" r:id="rId1"/>
  <headerFooter alignWithMargins="0">
    <oddHeader xml:space="preserve">&amp;C
 4. melléklet a 31/2019. (XII.13.)  önkormányzati rendelethez
 az önkormányzat 2019. évi költségvetéséről szóló 6/2019. (II.28.) önkormányzati rendelet 
4. mellékletének helyébe a következő 4. melléklet lép:  
&amp;R
&amp;P. oldal
</oddHeader>
  </headerFooter>
  <colBreaks count="3" manualBreakCount="3">
    <brk id="13" max="12" man="1"/>
    <brk id="26" max="12" man="1"/>
    <brk id="39" max="1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F29"/>
  <sheetViews>
    <sheetView view="pageLayout" zoomScaleNormal="100" zoomScaleSheetLayoutView="85" workbookViewId="0">
      <selection activeCell="E28" sqref="E28"/>
    </sheetView>
  </sheetViews>
  <sheetFormatPr defaultColWidth="9.109375" defaultRowHeight="13.8" x14ac:dyDescent="0.25"/>
  <cols>
    <col min="1" max="1" width="22.33203125" style="231" customWidth="1"/>
    <col min="2" max="2" width="39" style="251" bestFit="1" customWidth="1"/>
    <col min="3" max="6" width="12.33203125" style="253" customWidth="1"/>
    <col min="7" max="7" width="9.109375" style="231"/>
    <col min="8" max="8" width="9.6640625" style="231" bestFit="1" customWidth="1"/>
    <col min="9" max="16384" width="9.109375" style="231"/>
  </cols>
  <sheetData>
    <row r="1" spans="1:6" ht="6.75" customHeight="1" x14ac:dyDescent="0.25">
      <c r="A1" s="235"/>
      <c r="B1" s="236"/>
      <c r="C1" s="252"/>
      <c r="D1" s="252"/>
      <c r="E1" s="252"/>
      <c r="F1" s="252"/>
    </row>
    <row r="2" spans="1:6" ht="19.5" customHeight="1" thickBot="1" x14ac:dyDescent="0.3">
      <c r="A2" s="1443" t="s">
        <v>933</v>
      </c>
      <c r="B2" s="1443"/>
      <c r="C2" s="1443"/>
      <c r="D2" s="1443"/>
      <c r="E2" s="1443"/>
      <c r="F2" s="1443"/>
    </row>
    <row r="3" spans="1:6" ht="51.75" customHeight="1" thickBot="1" x14ac:dyDescent="0.3">
      <c r="A3" s="237" t="s">
        <v>25</v>
      </c>
      <c r="B3" s="238" t="s">
        <v>101</v>
      </c>
      <c r="C3" s="550" t="s">
        <v>591</v>
      </c>
      <c r="D3" s="550" t="s">
        <v>978</v>
      </c>
      <c r="E3" s="550" t="s">
        <v>1044</v>
      </c>
      <c r="F3" s="966" t="s">
        <v>934</v>
      </c>
    </row>
    <row r="4" spans="1:6" s="232" customFormat="1" ht="6" customHeight="1" thickBot="1" x14ac:dyDescent="0.3">
      <c r="A4" s="249"/>
      <c r="B4" s="246"/>
      <c r="C4" s="692"/>
      <c r="D4" s="693"/>
      <c r="E4" s="693"/>
      <c r="F4" s="694"/>
    </row>
    <row r="5" spans="1:6" s="232" customFormat="1" x14ac:dyDescent="0.25">
      <c r="A5" s="247" t="s">
        <v>226</v>
      </c>
      <c r="B5" s="1048"/>
      <c r="C5" s="695">
        <f>SUM(C6:C10)</f>
        <v>3071000</v>
      </c>
      <c r="D5" s="696">
        <f>SUM(D6:D10)</f>
        <v>4473628</v>
      </c>
      <c r="E5" s="696">
        <f>SUM(E6:E10)</f>
        <v>4473628</v>
      </c>
      <c r="F5" s="697">
        <f>E5-D5</f>
        <v>0</v>
      </c>
    </row>
    <row r="6" spans="1:6" x14ac:dyDescent="0.25">
      <c r="A6" s="248"/>
      <c r="B6" s="1049" t="s">
        <v>536</v>
      </c>
      <c r="C6" s="239">
        <v>2544000</v>
      </c>
      <c r="D6" s="1217">
        <v>3157650</v>
      </c>
      <c r="E6" s="1217">
        <v>3185022</v>
      </c>
      <c r="F6" s="240">
        <f>E6-D6</f>
        <v>27372</v>
      </c>
    </row>
    <row r="7" spans="1:6" ht="14.25" customHeight="1" x14ac:dyDescent="0.25">
      <c r="A7" s="248"/>
      <c r="B7" s="1049" t="s">
        <v>535</v>
      </c>
      <c r="C7" s="239">
        <v>127000</v>
      </c>
      <c r="D7" s="1217">
        <v>100000</v>
      </c>
      <c r="E7" s="1217">
        <v>129980</v>
      </c>
      <c r="F7" s="240">
        <f t="shared" ref="F7:F11" si="0">E7-D7</f>
        <v>29980</v>
      </c>
    </row>
    <row r="8" spans="1:6" x14ac:dyDescent="0.25">
      <c r="A8" s="248"/>
      <c r="B8" s="1049" t="s">
        <v>27</v>
      </c>
      <c r="C8" s="239"/>
      <c r="D8" s="1218"/>
      <c r="E8" s="1218"/>
      <c r="F8" s="240">
        <f t="shared" si="0"/>
        <v>0</v>
      </c>
    </row>
    <row r="9" spans="1:6" x14ac:dyDescent="0.25">
      <c r="A9" s="248"/>
      <c r="B9" s="1139" t="s">
        <v>711</v>
      </c>
      <c r="C9" s="239">
        <v>400000</v>
      </c>
      <c r="D9" s="1219"/>
      <c r="E9" s="1219"/>
      <c r="F9" s="240">
        <f t="shared" si="0"/>
        <v>0</v>
      </c>
    </row>
    <row r="10" spans="1:6" x14ac:dyDescent="0.25">
      <c r="A10" s="248"/>
      <c r="B10" s="1049" t="s">
        <v>26</v>
      </c>
      <c r="C10" s="239"/>
      <c r="D10" s="1217">
        <v>1215978</v>
      </c>
      <c r="E10" s="1217">
        <v>1158626</v>
      </c>
      <c r="F10" s="240">
        <f t="shared" si="0"/>
        <v>-57352</v>
      </c>
    </row>
    <row r="11" spans="1:6" ht="13.65" customHeight="1" x14ac:dyDescent="0.25">
      <c r="A11" s="248"/>
      <c r="B11" s="1049"/>
      <c r="C11" s="239"/>
      <c r="D11" s="1217"/>
      <c r="E11" s="1217"/>
      <c r="F11" s="240">
        <f t="shared" si="0"/>
        <v>0</v>
      </c>
    </row>
    <row r="12" spans="1:6" s="232" customFormat="1" x14ac:dyDescent="0.25">
      <c r="A12" s="244" t="s">
        <v>541</v>
      </c>
      <c r="B12" s="1048"/>
      <c r="C12" s="243">
        <f>SUM(C13:C15)</f>
        <v>300000</v>
      </c>
      <c r="D12" s="233">
        <f>SUM(D13:D15)</f>
        <v>650469</v>
      </c>
      <c r="E12" s="233">
        <f>SUM(E13:E15)</f>
        <v>650469</v>
      </c>
      <c r="F12" s="1131">
        <f>E12-D12</f>
        <v>0</v>
      </c>
    </row>
    <row r="13" spans="1:6" x14ac:dyDescent="0.25">
      <c r="A13" s="241"/>
      <c r="B13" s="1050" t="s">
        <v>494</v>
      </c>
      <c r="C13" s="239"/>
      <c r="D13" s="1217">
        <v>84000</v>
      </c>
      <c r="E13" s="1217">
        <v>84000</v>
      </c>
      <c r="F13" s="240">
        <f>E13-D13</f>
        <v>0</v>
      </c>
    </row>
    <row r="14" spans="1:6" x14ac:dyDescent="0.25">
      <c r="A14" s="242"/>
      <c r="B14" s="1051" t="s">
        <v>493</v>
      </c>
      <c r="C14" s="239"/>
      <c r="D14" s="1217"/>
      <c r="E14" s="1217"/>
      <c r="F14" s="240">
        <f t="shared" ref="F14:F16" si="1">E14-D14</f>
        <v>0</v>
      </c>
    </row>
    <row r="15" spans="1:6" x14ac:dyDescent="0.25">
      <c r="A15" s="245"/>
      <c r="B15" s="1052" t="s">
        <v>28</v>
      </c>
      <c r="C15" s="239">
        <v>300000</v>
      </c>
      <c r="D15" s="1217">
        <v>566469</v>
      </c>
      <c r="E15" s="1217">
        <v>566469</v>
      </c>
      <c r="F15" s="240">
        <f t="shared" si="1"/>
        <v>0</v>
      </c>
    </row>
    <row r="16" spans="1:6" ht="11.25" customHeight="1" x14ac:dyDescent="0.25">
      <c r="A16" s="245"/>
      <c r="B16" s="1052"/>
      <c r="C16" s="239"/>
      <c r="D16" s="1217"/>
      <c r="E16" s="1217"/>
      <c r="F16" s="240">
        <f t="shared" si="1"/>
        <v>0</v>
      </c>
    </row>
    <row r="17" spans="1:6" s="232" customFormat="1" x14ac:dyDescent="0.25">
      <c r="A17" s="247" t="s">
        <v>542</v>
      </c>
      <c r="B17" s="1053"/>
      <c r="C17" s="243">
        <f>SUM(C18:C20)</f>
        <v>500000</v>
      </c>
      <c r="D17" s="233">
        <f>SUM(D18:D22)</f>
        <v>2088460</v>
      </c>
      <c r="E17" s="233">
        <f>SUM(E18:E22)</f>
        <v>2988460</v>
      </c>
      <c r="F17" s="1131">
        <f>E17-D17</f>
        <v>900000</v>
      </c>
    </row>
    <row r="18" spans="1:6" x14ac:dyDescent="0.25">
      <c r="A18" s="247"/>
      <c r="B18" s="1054" t="s">
        <v>29</v>
      </c>
      <c r="C18" s="239"/>
      <c r="D18" s="1217"/>
      <c r="E18" s="1217">
        <v>910000</v>
      </c>
      <c r="F18" s="240">
        <f>E18-D18</f>
        <v>910000</v>
      </c>
    </row>
    <row r="19" spans="1:6" x14ac:dyDescent="0.25">
      <c r="A19" s="247"/>
      <c r="B19" s="1049" t="s">
        <v>30</v>
      </c>
      <c r="C19" s="239"/>
      <c r="D19" s="1217">
        <v>1150000</v>
      </c>
      <c r="E19" s="1217">
        <v>1150000</v>
      </c>
      <c r="F19" s="240">
        <f t="shared" ref="F19:F23" si="2">E19-D19</f>
        <v>0</v>
      </c>
    </row>
    <row r="20" spans="1:6" x14ac:dyDescent="0.25">
      <c r="A20" s="247"/>
      <c r="B20" s="1049" t="s">
        <v>28</v>
      </c>
      <c r="C20" s="239">
        <v>500000</v>
      </c>
      <c r="D20" s="1217">
        <v>147460</v>
      </c>
      <c r="E20" s="1217">
        <v>137460</v>
      </c>
      <c r="F20" s="240">
        <f t="shared" si="2"/>
        <v>-10000</v>
      </c>
    </row>
    <row r="21" spans="1:6" ht="12" customHeight="1" x14ac:dyDescent="0.25">
      <c r="A21" s="698"/>
      <c r="B21" s="1049" t="s">
        <v>973</v>
      </c>
      <c r="C21" s="239"/>
      <c r="D21" s="1217">
        <v>791000</v>
      </c>
      <c r="E21" s="1217">
        <v>791000</v>
      </c>
      <c r="F21" s="240">
        <f t="shared" si="2"/>
        <v>0</v>
      </c>
    </row>
    <row r="22" spans="1:6" ht="12" customHeight="1" x14ac:dyDescent="0.25">
      <c r="A22" s="698"/>
      <c r="B22" s="1049" t="s">
        <v>977</v>
      </c>
      <c r="C22" s="239"/>
      <c r="D22" s="1217">
        <v>0</v>
      </c>
      <c r="E22" s="1217">
        <v>0</v>
      </c>
      <c r="F22" s="240">
        <f t="shared" si="2"/>
        <v>0</v>
      </c>
    </row>
    <row r="23" spans="1:6" ht="12" customHeight="1" x14ac:dyDescent="0.25">
      <c r="A23" s="698"/>
      <c r="B23" s="1055"/>
      <c r="C23" s="239"/>
      <c r="D23" s="1217"/>
      <c r="E23" s="1217"/>
      <c r="F23" s="240">
        <f t="shared" si="2"/>
        <v>0</v>
      </c>
    </row>
    <row r="24" spans="1:6" s="232" customFormat="1" ht="23.25" customHeight="1" x14ac:dyDescent="0.25">
      <c r="A24" s="1444" t="s">
        <v>223</v>
      </c>
      <c r="B24" s="1445"/>
      <c r="C24" s="243">
        <f>SUM(C25:C27)</f>
        <v>9000000</v>
      </c>
      <c r="D24" s="233">
        <f>SUM(D25:D27)</f>
        <v>18174071</v>
      </c>
      <c r="E24" s="233">
        <f>SUM(E25:E27)</f>
        <v>18174071</v>
      </c>
      <c r="F24" s="1131">
        <f>E24-D24</f>
        <v>0</v>
      </c>
    </row>
    <row r="25" spans="1:6" x14ac:dyDescent="0.25">
      <c r="A25" s="246"/>
      <c r="B25" s="1049" t="s">
        <v>27</v>
      </c>
      <c r="C25" s="239">
        <v>8000000</v>
      </c>
      <c r="D25" s="1217">
        <v>16390675</v>
      </c>
      <c r="E25" s="1217">
        <v>16390675</v>
      </c>
      <c r="F25" s="240">
        <f>E25-D25</f>
        <v>0</v>
      </c>
    </row>
    <row r="26" spans="1:6" x14ac:dyDescent="0.25">
      <c r="A26" s="246"/>
      <c r="B26" s="1049" t="s">
        <v>999</v>
      </c>
      <c r="C26" s="239"/>
      <c r="D26" s="1217">
        <v>450000</v>
      </c>
      <c r="E26" s="1217">
        <v>450000</v>
      </c>
      <c r="F26" s="240">
        <f>E26-D26</f>
        <v>0</v>
      </c>
    </row>
    <row r="27" spans="1:6" x14ac:dyDescent="0.25">
      <c r="A27" s="247"/>
      <c r="B27" s="1049" t="s">
        <v>28</v>
      </c>
      <c r="C27" s="239">
        <v>1000000</v>
      </c>
      <c r="D27" s="1217">
        <v>1333396</v>
      </c>
      <c r="E27" s="1217">
        <v>1333396</v>
      </c>
      <c r="F27" s="240">
        <f>E27-D27</f>
        <v>0</v>
      </c>
    </row>
    <row r="28" spans="1:6" s="232" customFormat="1" ht="14.4" thickBot="1" x14ac:dyDescent="0.3">
      <c r="A28" s="250" t="s">
        <v>31</v>
      </c>
      <c r="B28" s="1056"/>
      <c r="C28" s="699">
        <f>SUM(C5+C12+C17+C24)</f>
        <v>12871000</v>
      </c>
      <c r="D28" s="1057">
        <f>SUM(D5+D12+D17+D24)</f>
        <v>25386628</v>
      </c>
      <c r="E28" s="1057">
        <f>SUM(E5+E12+E17+E24)</f>
        <v>26286628</v>
      </c>
      <c r="F28" s="295">
        <f>SUM(F5+F12+F17+F24)</f>
        <v>900000</v>
      </c>
    </row>
    <row r="29" spans="1:6" ht="13.2" x14ac:dyDescent="0.25">
      <c r="C29" s="234"/>
      <c r="D29" s="234"/>
      <c r="E29" s="234"/>
      <c r="F29" s="234"/>
    </row>
  </sheetData>
  <sheetProtection selectLockedCells="1" selectUnlockedCells="1"/>
  <mergeCells count="2">
    <mergeCell ref="A2:F2"/>
    <mergeCell ref="A24:B24"/>
  </mergeCells>
  <pageMargins left="1.2" right="0.25" top="0.75" bottom="0.75" header="0.3" footer="0.3"/>
  <pageSetup paperSize="9" scale="65" firstPageNumber="0" fitToWidth="0" fitToHeight="0" orientation="portrait" r:id="rId1"/>
  <headerFooter alignWithMargins="0">
    <oddHeader>&amp;C
4/a. melléklet a 31/2019. (XII.13.)  önkormányzati rendelethez
 az önkormányzat 2019. évi költségvetéséről szóló 6/2019. (II.28.) önkormányzati rendelet 
4/a. mellékletének helyébe a következő 4/a. melléklet lép:  
&amp;R
ezer forint
&amp;P. oldal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L152"/>
  <sheetViews>
    <sheetView view="pageLayout" zoomScaleNormal="100" zoomScaleSheetLayoutView="80" workbookViewId="0">
      <selection activeCell="A102" sqref="A102"/>
    </sheetView>
  </sheetViews>
  <sheetFormatPr defaultColWidth="9.109375" defaultRowHeight="13.2" x14ac:dyDescent="0.25"/>
  <cols>
    <col min="1" max="1" width="58" style="9" customWidth="1"/>
    <col min="2" max="2" width="18.109375" style="207" customWidth="1"/>
    <col min="3" max="4" width="19" style="207" customWidth="1"/>
    <col min="5" max="5" width="18.109375" style="207" customWidth="1"/>
    <col min="6" max="6" width="11.6640625" style="9" customWidth="1"/>
    <col min="7" max="7" width="12" style="9" bestFit="1" customWidth="1"/>
    <col min="8" max="8" width="10.6640625" style="9" customWidth="1"/>
    <col min="9" max="16384" width="9.109375" style="9"/>
  </cols>
  <sheetData>
    <row r="3" spans="1:5" ht="15.6" x14ac:dyDescent="0.3">
      <c r="A3" s="1446" t="s">
        <v>641</v>
      </c>
      <c r="B3" s="1446"/>
      <c r="C3" s="1446"/>
      <c r="D3" s="1446"/>
      <c r="E3" s="1446"/>
    </row>
    <row r="4" spans="1:5" ht="13.8" thickBot="1" x14ac:dyDescent="0.3"/>
    <row r="5" spans="1:5" ht="51.75" customHeight="1" thickBot="1" x14ac:dyDescent="0.3">
      <c r="A5" s="88" t="s">
        <v>328</v>
      </c>
      <c r="B5" s="550" t="s">
        <v>591</v>
      </c>
      <c r="C5" s="550" t="s">
        <v>978</v>
      </c>
      <c r="D5" s="550" t="s">
        <v>1045</v>
      </c>
      <c r="E5" s="964" t="s">
        <v>934</v>
      </c>
    </row>
    <row r="6" spans="1:5" s="1" customFormat="1" ht="30.75" customHeight="1" x14ac:dyDescent="0.3">
      <c r="A6" s="1039" t="s">
        <v>227</v>
      </c>
      <c r="B6" s="1040"/>
      <c r="C6" s="1197"/>
      <c r="D6" s="1197"/>
      <c r="E6" s="659"/>
    </row>
    <row r="7" spans="1:5" s="1" customFormat="1" ht="19.2" customHeight="1" x14ac:dyDescent="0.3">
      <c r="A7" s="1044" t="s">
        <v>140</v>
      </c>
      <c r="B7" s="1043">
        <v>317071498</v>
      </c>
      <c r="C7" s="1198">
        <v>324239853</v>
      </c>
      <c r="D7" s="1198">
        <v>329975352</v>
      </c>
      <c r="E7" s="1045">
        <f>D7-C7</f>
        <v>5735499</v>
      </c>
    </row>
    <row r="8" spans="1:5" s="1" customFormat="1" ht="30" x14ac:dyDescent="0.3">
      <c r="A8" s="1022" t="s">
        <v>1011</v>
      </c>
      <c r="B8" s="1043"/>
      <c r="C8" s="1199">
        <v>487741</v>
      </c>
      <c r="D8" s="1199">
        <v>487741</v>
      </c>
      <c r="E8" s="1042">
        <f t="shared" ref="E8:E11" si="0">D8-C8</f>
        <v>0</v>
      </c>
    </row>
    <row r="9" spans="1:5" s="1" customFormat="1" ht="38.25" customHeight="1" x14ac:dyDescent="0.3">
      <c r="A9" s="1022" t="s">
        <v>1009</v>
      </c>
      <c r="B9" s="1043"/>
      <c r="C9" s="1199">
        <v>2297872</v>
      </c>
      <c r="D9" s="1199">
        <v>2297872</v>
      </c>
      <c r="E9" s="1042">
        <f t="shared" si="0"/>
        <v>0</v>
      </c>
    </row>
    <row r="10" spans="1:5" s="1" customFormat="1" ht="45" x14ac:dyDescent="0.3">
      <c r="A10" s="1022" t="s">
        <v>1050</v>
      </c>
      <c r="B10" s="1043"/>
      <c r="C10" s="1199"/>
      <c r="D10" s="1199">
        <v>1100336</v>
      </c>
      <c r="E10" s="1042">
        <f t="shared" si="0"/>
        <v>1100336</v>
      </c>
    </row>
    <row r="11" spans="1:5" s="1" customFormat="1" ht="30" x14ac:dyDescent="0.3">
      <c r="A11" s="1022" t="s">
        <v>1009</v>
      </c>
      <c r="B11" s="1043"/>
      <c r="C11" s="1199"/>
      <c r="D11" s="1199">
        <v>1845600</v>
      </c>
      <c r="E11" s="1042">
        <f t="shared" si="0"/>
        <v>1845600</v>
      </c>
    </row>
    <row r="12" spans="1:5" s="1" customFormat="1" ht="19.2" customHeight="1" x14ac:dyDescent="0.3">
      <c r="A12" s="1044" t="s">
        <v>141</v>
      </c>
      <c r="B12" s="1043">
        <v>67932755</v>
      </c>
      <c r="C12" s="1198">
        <v>69704757</v>
      </c>
      <c r="D12" s="1198">
        <v>70790270</v>
      </c>
      <c r="E12" s="1045">
        <f t="shared" ref="E12:E17" si="1">D12-C12</f>
        <v>1085513</v>
      </c>
    </row>
    <row r="13" spans="1:5" s="1" customFormat="1" ht="30" x14ac:dyDescent="0.3">
      <c r="A13" s="1022" t="s">
        <v>1008</v>
      </c>
      <c r="B13" s="1043"/>
      <c r="C13" s="1199">
        <v>95109</v>
      </c>
      <c r="D13" s="1199">
        <v>95109</v>
      </c>
      <c r="E13" s="1042">
        <f t="shared" si="1"/>
        <v>0</v>
      </c>
    </row>
    <row r="14" spans="1:5" s="1" customFormat="1" ht="30" x14ac:dyDescent="0.3">
      <c r="A14" s="1022" t="s">
        <v>1009</v>
      </c>
      <c r="B14" s="1043"/>
      <c r="C14" s="1199">
        <v>402128</v>
      </c>
      <c r="D14" s="1199">
        <v>402128</v>
      </c>
      <c r="E14" s="1042">
        <f t="shared" si="1"/>
        <v>0</v>
      </c>
    </row>
    <row r="15" spans="1:5" s="1" customFormat="1" ht="45" x14ac:dyDescent="0.3">
      <c r="A15" s="1022" t="s">
        <v>1050</v>
      </c>
      <c r="B15" s="1043"/>
      <c r="C15" s="1199"/>
      <c r="D15" s="1199">
        <v>182364</v>
      </c>
      <c r="E15" s="1042">
        <f t="shared" si="1"/>
        <v>182364</v>
      </c>
    </row>
    <row r="16" spans="1:5" s="1" customFormat="1" ht="30" x14ac:dyDescent="0.3">
      <c r="A16" s="1022" t="s">
        <v>1009</v>
      </c>
      <c r="B16" s="1043"/>
      <c r="C16" s="1199"/>
      <c r="D16" s="1199">
        <v>359892</v>
      </c>
      <c r="E16" s="1042">
        <f t="shared" si="1"/>
        <v>359892</v>
      </c>
    </row>
    <row r="17" spans="1:11" s="1" customFormat="1" ht="19.2" customHeight="1" x14ac:dyDescent="0.3">
      <c r="A17" s="1044" t="s">
        <v>142</v>
      </c>
      <c r="B17" s="91">
        <f>SUM(B18:B22)</f>
        <v>77752024</v>
      </c>
      <c r="C17" s="91">
        <f>SUM(C18:C22)</f>
        <v>83154904</v>
      </c>
      <c r="D17" s="91">
        <f>SUM(D18:D22)</f>
        <v>83397395</v>
      </c>
      <c r="E17" s="1045">
        <f t="shared" si="1"/>
        <v>242491</v>
      </c>
    </row>
    <row r="18" spans="1:11" ht="19.2" customHeight="1" x14ac:dyDescent="0.25">
      <c r="A18" s="1046" t="s">
        <v>143</v>
      </c>
      <c r="B18" s="1038">
        <f>57000000+3375024</f>
        <v>60375024</v>
      </c>
      <c r="C18" s="92">
        <v>65777904</v>
      </c>
      <c r="D18" s="92">
        <v>66020395</v>
      </c>
      <c r="E18" s="1042">
        <f>D18-C18</f>
        <v>242491</v>
      </c>
    </row>
    <row r="19" spans="1:11" ht="19.2" customHeight="1" x14ac:dyDescent="0.25">
      <c r="A19" s="1046" t="s">
        <v>144</v>
      </c>
      <c r="B19" s="1038">
        <v>1400000</v>
      </c>
      <c r="C19" s="92">
        <v>1400000</v>
      </c>
      <c r="D19" s="92">
        <v>1400000</v>
      </c>
      <c r="E19" s="1042">
        <f t="shared" ref="E19:E24" si="2">D19-C19</f>
        <v>0</v>
      </c>
    </row>
    <row r="20" spans="1:11" ht="19.2" customHeight="1" x14ac:dyDescent="0.25">
      <c r="A20" s="1022" t="s">
        <v>80</v>
      </c>
      <c r="B20" s="1038">
        <v>403000</v>
      </c>
      <c r="C20" s="92">
        <v>403000</v>
      </c>
      <c r="D20" s="92">
        <v>403000</v>
      </c>
      <c r="E20" s="1042">
        <f t="shared" si="2"/>
        <v>0</v>
      </c>
    </row>
    <row r="21" spans="1:11" ht="19.2" customHeight="1" x14ac:dyDescent="0.25">
      <c r="A21" s="1022" t="s">
        <v>81</v>
      </c>
      <c r="B21" s="1038">
        <v>10000000</v>
      </c>
      <c r="C21" s="92">
        <v>10000000</v>
      </c>
      <c r="D21" s="92">
        <v>10000000</v>
      </c>
      <c r="E21" s="1042">
        <f t="shared" si="2"/>
        <v>0</v>
      </c>
    </row>
    <row r="22" spans="1:11" ht="19.2" customHeight="1" x14ac:dyDescent="0.25">
      <c r="A22" s="1022" t="s">
        <v>82</v>
      </c>
      <c r="B22" s="1038">
        <v>5574000</v>
      </c>
      <c r="C22" s="92">
        <v>5574000</v>
      </c>
      <c r="D22" s="92">
        <v>5574000</v>
      </c>
      <c r="E22" s="1042">
        <f t="shared" si="2"/>
        <v>0</v>
      </c>
    </row>
    <row r="23" spans="1:11" s="1" customFormat="1" ht="15.6" x14ac:dyDescent="0.3">
      <c r="A23" s="1044" t="s">
        <v>145</v>
      </c>
      <c r="B23" s="91">
        <f>B24</f>
        <v>1500000</v>
      </c>
      <c r="C23" s="91">
        <f>C24</f>
        <v>1500000</v>
      </c>
      <c r="D23" s="91">
        <f>D24</f>
        <v>1500000</v>
      </c>
      <c r="E23" s="1042">
        <f t="shared" si="2"/>
        <v>0</v>
      </c>
    </row>
    <row r="24" spans="1:11" ht="29.25" customHeight="1" x14ac:dyDescent="0.25">
      <c r="A24" s="1022" t="s">
        <v>146</v>
      </c>
      <c r="B24" s="1038">
        <v>1500000</v>
      </c>
      <c r="C24" s="1199">
        <v>1500000</v>
      </c>
      <c r="D24" s="1199">
        <v>1500000</v>
      </c>
      <c r="E24" s="1042">
        <f t="shared" si="2"/>
        <v>0</v>
      </c>
    </row>
    <row r="25" spans="1:11" s="1" customFormat="1" ht="15.6" x14ac:dyDescent="0.3">
      <c r="A25" s="1044" t="s">
        <v>147</v>
      </c>
      <c r="B25" s="91">
        <f>SUM(B26:B26)</f>
        <v>96000</v>
      </c>
      <c r="C25" s="91">
        <f>SUM(C26:C26)</f>
        <v>96000</v>
      </c>
      <c r="D25" s="91">
        <f>SUM(D26:D26)</f>
        <v>96000</v>
      </c>
      <c r="E25" s="1045">
        <f>D25-C25</f>
        <v>0</v>
      </c>
      <c r="F25" s="2"/>
      <c r="H25" s="46"/>
      <c r="I25" s="47"/>
      <c r="J25" s="47"/>
      <c r="K25" s="47"/>
    </row>
    <row r="26" spans="1:11" s="1" customFormat="1" ht="15.6" x14ac:dyDescent="0.3">
      <c r="A26" s="1022" t="s">
        <v>146</v>
      </c>
      <c r="B26" s="1038">
        <v>96000</v>
      </c>
      <c r="C26" s="1199">
        <v>96000</v>
      </c>
      <c r="D26" s="1199">
        <v>96000</v>
      </c>
      <c r="E26" s="1042">
        <f>D26-C26</f>
        <v>0</v>
      </c>
      <c r="H26" s="46"/>
      <c r="I26" s="47"/>
      <c r="J26" s="47"/>
      <c r="K26" s="47"/>
    </row>
    <row r="27" spans="1:11" s="1" customFormat="1" ht="15.6" x14ac:dyDescent="0.3">
      <c r="A27" s="1044" t="s">
        <v>502</v>
      </c>
      <c r="B27" s="91">
        <v>0</v>
      </c>
      <c r="C27" s="1198">
        <v>2318668</v>
      </c>
      <c r="D27" s="1198">
        <v>2318668</v>
      </c>
      <c r="E27" s="1045">
        <f>D27-C27</f>
        <v>0</v>
      </c>
      <c r="H27" s="46"/>
      <c r="I27" s="47"/>
      <c r="J27" s="47"/>
      <c r="K27" s="47"/>
    </row>
    <row r="28" spans="1:11" s="1" customFormat="1" ht="15.6" x14ac:dyDescent="0.3">
      <c r="A28" s="1044" t="s">
        <v>404</v>
      </c>
      <c r="B28" s="91">
        <f>B27+B25+B23+B17+B12+B7</f>
        <v>464352277</v>
      </c>
      <c r="C28" s="91">
        <f>C27+C25+C23+C17+C12+C7</f>
        <v>481014182</v>
      </c>
      <c r="D28" s="91">
        <f>D27+D25+D23+D17+D12+D7</f>
        <v>488077685</v>
      </c>
      <c r="E28" s="1045">
        <f t="shared" ref="E28:E29" si="3">D28-C28</f>
        <v>7063503</v>
      </c>
      <c r="H28" s="46"/>
      <c r="I28" s="47"/>
      <c r="J28" s="47"/>
      <c r="K28" s="47"/>
    </row>
    <row r="29" spans="1:11" s="1" customFormat="1" ht="19.2" customHeight="1" x14ac:dyDescent="0.3">
      <c r="A29" s="1044" t="s">
        <v>149</v>
      </c>
      <c r="B29" s="91">
        <f>SUM(B30:B32)</f>
        <v>9000000</v>
      </c>
      <c r="C29" s="91">
        <f>SUM(C30:C32)</f>
        <v>18174071</v>
      </c>
      <c r="D29" s="91">
        <f>SUM(D30:D32)</f>
        <v>18174071</v>
      </c>
      <c r="E29" s="1045">
        <f t="shared" si="3"/>
        <v>0</v>
      </c>
      <c r="F29" s="2"/>
      <c r="H29" s="48"/>
      <c r="I29" s="49"/>
      <c r="J29" s="49"/>
      <c r="K29" s="49"/>
    </row>
    <row r="30" spans="1:11" ht="15.6" x14ac:dyDescent="0.3">
      <c r="A30" s="1022" t="s">
        <v>250</v>
      </c>
      <c r="B30" s="1038">
        <v>8000000</v>
      </c>
      <c r="C30" s="92">
        <v>16390675</v>
      </c>
      <c r="D30" s="92">
        <v>16390675</v>
      </c>
      <c r="E30" s="1042">
        <f>D30-C30</f>
        <v>0</v>
      </c>
      <c r="H30" s="48"/>
      <c r="I30" s="49"/>
      <c r="J30" s="49"/>
      <c r="K30" s="49"/>
    </row>
    <row r="31" spans="1:11" ht="19.2" customHeight="1" x14ac:dyDescent="0.3">
      <c r="A31" s="1022" t="s">
        <v>642</v>
      </c>
      <c r="B31" s="1038">
        <v>1000000</v>
      </c>
      <c r="C31" s="92">
        <f>1783396-C32</f>
        <v>1333396</v>
      </c>
      <c r="D31" s="92">
        <f>1783396-D32</f>
        <v>1333396</v>
      </c>
      <c r="E31" s="1042">
        <f t="shared" ref="E31:E32" si="4">D31-C31</f>
        <v>0</v>
      </c>
      <c r="H31" s="48"/>
      <c r="I31" s="49"/>
      <c r="J31" s="49"/>
      <c r="K31" s="49"/>
    </row>
    <row r="32" spans="1:11" ht="19.2" customHeight="1" x14ac:dyDescent="0.3">
      <c r="A32" s="1022" t="s">
        <v>1000</v>
      </c>
      <c r="B32" s="1038"/>
      <c r="C32" s="1199">
        <v>450000</v>
      </c>
      <c r="D32" s="1199">
        <v>450000</v>
      </c>
      <c r="E32" s="1042">
        <f t="shared" si="4"/>
        <v>0</v>
      </c>
      <c r="H32" s="48"/>
      <c r="I32" s="49"/>
      <c r="J32" s="49"/>
      <c r="K32" s="49"/>
    </row>
    <row r="33" spans="1:11" s="1" customFormat="1" ht="30.15" customHeight="1" thickBot="1" x14ac:dyDescent="0.35">
      <c r="A33" s="1027" t="s">
        <v>643</v>
      </c>
      <c r="B33" s="1028">
        <f>B29+B28</f>
        <v>473352277</v>
      </c>
      <c r="C33" s="1028">
        <f>C29+C28</f>
        <v>499188253</v>
      </c>
      <c r="D33" s="1028">
        <f>D29+D28</f>
        <v>506251756</v>
      </c>
      <c r="E33" s="1047">
        <f>D33-C33</f>
        <v>7063503</v>
      </c>
      <c r="F33" s="2"/>
      <c r="H33" s="48"/>
      <c r="I33" s="49"/>
      <c r="J33" s="49"/>
      <c r="K33" s="49"/>
    </row>
    <row r="34" spans="1:11" s="1" customFormat="1" ht="30.15" customHeight="1" thickBot="1" x14ac:dyDescent="0.35">
      <c r="A34" s="46"/>
      <c r="B34" s="296"/>
      <c r="C34" s="49"/>
      <c r="D34" s="49"/>
      <c r="E34" s="296"/>
      <c r="F34" s="2"/>
      <c r="H34" s="48"/>
      <c r="I34" s="49"/>
      <c r="J34" s="49"/>
      <c r="K34" s="49"/>
    </row>
    <row r="35" spans="1:11" ht="58.65" customHeight="1" thickBot="1" x14ac:dyDescent="0.3">
      <c r="A35" s="88" t="s">
        <v>328</v>
      </c>
      <c r="B35" s="550" t="s">
        <v>591</v>
      </c>
      <c r="C35" s="550" t="s">
        <v>978</v>
      </c>
      <c r="D35" s="550" t="s">
        <v>1044</v>
      </c>
      <c r="E35" s="1141" t="s">
        <v>934</v>
      </c>
      <c r="H35" s="50"/>
      <c r="I35" s="50"/>
      <c r="J35" s="50"/>
      <c r="K35" s="51"/>
    </row>
    <row r="36" spans="1:11" s="1" customFormat="1" ht="39.75" customHeight="1" x14ac:dyDescent="0.3">
      <c r="A36" s="1039" t="s">
        <v>644</v>
      </c>
      <c r="B36" s="1040"/>
      <c r="C36" s="1200"/>
      <c r="D36" s="1200"/>
      <c r="E36" s="659"/>
      <c r="H36" s="48"/>
      <c r="I36" s="49"/>
      <c r="J36" s="49"/>
      <c r="K36" s="49"/>
    </row>
    <row r="37" spans="1:11" s="1" customFormat="1" ht="19.2" customHeight="1" x14ac:dyDescent="0.3">
      <c r="A37" s="1041" t="s">
        <v>150</v>
      </c>
      <c r="B37" s="91">
        <f>SUM(B38:B55)</f>
        <v>160977192</v>
      </c>
      <c r="C37" s="91">
        <f>SUM(C38:C56)</f>
        <v>173112087</v>
      </c>
      <c r="D37" s="91">
        <f>SUM(D38:D56)</f>
        <v>174712087</v>
      </c>
      <c r="E37" s="205">
        <f>D37-C37</f>
        <v>1600000</v>
      </c>
      <c r="F37" s="2"/>
      <c r="G37" s="2"/>
      <c r="H37" s="48"/>
      <c r="I37" s="49"/>
      <c r="J37" s="49"/>
      <c r="K37" s="49"/>
    </row>
    <row r="38" spans="1:11" ht="19.2" customHeight="1" x14ac:dyDescent="0.25">
      <c r="A38" s="1034" t="s">
        <v>151</v>
      </c>
      <c r="B38" s="1038">
        <v>29065722</v>
      </c>
      <c r="C38" s="1201">
        <v>29165722</v>
      </c>
      <c r="D38" s="1201">
        <v>29165722</v>
      </c>
      <c r="E38" s="1042">
        <f>D38-C38</f>
        <v>0</v>
      </c>
      <c r="H38" s="52"/>
      <c r="I38" s="51"/>
      <c r="J38" s="51"/>
      <c r="K38" s="51"/>
    </row>
    <row r="39" spans="1:11" ht="19.2" customHeight="1" x14ac:dyDescent="0.25">
      <c r="A39" s="1034" t="s">
        <v>963</v>
      </c>
      <c r="B39" s="1038"/>
      <c r="C39" s="1201">
        <v>7877400</v>
      </c>
      <c r="D39" s="1201">
        <v>8177400</v>
      </c>
      <c r="E39" s="1042">
        <f t="shared" ref="E39:E56" si="5">D39-C39</f>
        <v>300000</v>
      </c>
      <c r="H39" s="52"/>
      <c r="I39" s="51"/>
      <c r="J39" s="51"/>
      <c r="K39" s="51"/>
    </row>
    <row r="40" spans="1:11" ht="19.2" customHeight="1" x14ac:dyDescent="0.25">
      <c r="A40" s="1034" t="s">
        <v>504</v>
      </c>
      <c r="B40" s="1038">
        <v>14675400</v>
      </c>
      <c r="C40" s="1201">
        <v>14675400</v>
      </c>
      <c r="D40" s="1201">
        <v>14675400</v>
      </c>
      <c r="E40" s="1042">
        <f t="shared" si="5"/>
        <v>0</v>
      </c>
      <c r="H40" s="52"/>
      <c r="I40" s="51"/>
      <c r="J40" s="51"/>
      <c r="K40" s="51"/>
    </row>
    <row r="41" spans="1:11" ht="19.2" customHeight="1" x14ac:dyDescent="0.25">
      <c r="A41" s="1034" t="s">
        <v>153</v>
      </c>
      <c r="B41" s="1038">
        <v>9616600</v>
      </c>
      <c r="C41" s="1201">
        <v>4581600</v>
      </c>
      <c r="D41" s="1201">
        <v>4381600</v>
      </c>
      <c r="E41" s="1042">
        <f t="shared" si="5"/>
        <v>-200000</v>
      </c>
      <c r="H41" s="52"/>
      <c r="I41" s="51"/>
      <c r="J41" s="51"/>
      <c r="K41" s="51"/>
    </row>
    <row r="42" spans="1:11" ht="45" x14ac:dyDescent="0.25">
      <c r="A42" s="1034" t="s">
        <v>1010</v>
      </c>
      <c r="B42" s="1038"/>
      <c r="C42" s="1201">
        <v>1689975</v>
      </c>
      <c r="D42" s="1201">
        <v>1689975</v>
      </c>
      <c r="E42" s="1042">
        <f t="shared" si="5"/>
        <v>0</v>
      </c>
      <c r="H42" s="52"/>
      <c r="I42" s="51"/>
      <c r="J42" s="51"/>
      <c r="K42" s="51"/>
    </row>
    <row r="43" spans="1:11" ht="19.2" customHeight="1" x14ac:dyDescent="0.25">
      <c r="A43" s="1034" t="s">
        <v>152</v>
      </c>
      <c r="B43" s="1038">
        <v>1200000</v>
      </c>
      <c r="C43" s="92">
        <v>1120000</v>
      </c>
      <c r="D43" s="92">
        <v>1120000</v>
      </c>
      <c r="E43" s="1042">
        <f t="shared" si="5"/>
        <v>0</v>
      </c>
      <c r="H43" s="52"/>
      <c r="I43" s="51"/>
      <c r="J43" s="51"/>
      <c r="K43" s="51"/>
    </row>
    <row r="44" spans="1:11" ht="19.2" customHeight="1" x14ac:dyDescent="0.25">
      <c r="A44" s="1034" t="s">
        <v>154</v>
      </c>
      <c r="B44" s="1038">
        <v>5800000</v>
      </c>
      <c r="C44" s="1038">
        <v>5800000</v>
      </c>
      <c r="D44" s="1038">
        <v>5800000</v>
      </c>
      <c r="E44" s="1042">
        <f t="shared" si="5"/>
        <v>0</v>
      </c>
      <c r="H44" s="52"/>
      <c r="I44" s="51"/>
      <c r="J44" s="51"/>
      <c r="K44" s="51"/>
    </row>
    <row r="45" spans="1:11" ht="22.65" customHeight="1" x14ac:dyDescent="0.25">
      <c r="A45" s="1034" t="s">
        <v>358</v>
      </c>
      <c r="B45" s="1038">
        <v>2900000</v>
      </c>
      <c r="C45" s="92">
        <v>10007792</v>
      </c>
      <c r="D45" s="92">
        <v>11507792</v>
      </c>
      <c r="E45" s="1042">
        <f t="shared" si="5"/>
        <v>1500000</v>
      </c>
      <c r="H45" s="52"/>
      <c r="I45" s="51"/>
      <c r="J45" s="51"/>
      <c r="K45" s="51"/>
    </row>
    <row r="46" spans="1:11" ht="30" x14ac:dyDescent="0.25">
      <c r="A46" s="1034" t="s">
        <v>645</v>
      </c>
      <c r="B46" s="1038">
        <v>15000</v>
      </c>
      <c r="C46" s="1038">
        <v>15000</v>
      </c>
      <c r="D46" s="1038">
        <v>15000</v>
      </c>
      <c r="E46" s="1042">
        <f t="shared" si="5"/>
        <v>0</v>
      </c>
      <c r="H46" s="52"/>
      <c r="I46" s="51"/>
      <c r="J46" s="51"/>
      <c r="K46" s="51"/>
    </row>
    <row r="47" spans="1:11" ht="21.75" customHeight="1" x14ac:dyDescent="0.25">
      <c r="A47" s="1035" t="s">
        <v>1003</v>
      </c>
      <c r="B47" s="1038">
        <v>176509</v>
      </c>
      <c r="C47" s="1038">
        <v>176509</v>
      </c>
      <c r="D47" s="1038">
        <v>176509</v>
      </c>
      <c r="E47" s="1042">
        <f t="shared" si="5"/>
        <v>0</v>
      </c>
      <c r="G47" s="43"/>
      <c r="H47" s="52"/>
      <c r="I47" s="51"/>
      <c r="J47" s="51"/>
      <c r="K47" s="51"/>
    </row>
    <row r="48" spans="1:11" ht="30" x14ac:dyDescent="0.25">
      <c r="A48" s="1035" t="s">
        <v>1004</v>
      </c>
      <c r="B48" s="1038">
        <v>184709</v>
      </c>
      <c r="C48" s="1038">
        <v>184709</v>
      </c>
      <c r="D48" s="1038">
        <v>184709</v>
      </c>
      <c r="E48" s="1042">
        <f t="shared" si="5"/>
        <v>0</v>
      </c>
      <c r="H48" s="52"/>
      <c r="I48" s="51"/>
      <c r="J48" s="51"/>
      <c r="K48" s="51"/>
    </row>
    <row r="49" spans="1:11" ht="15" x14ac:dyDescent="0.25">
      <c r="A49" s="1035" t="s">
        <v>1005</v>
      </c>
      <c r="B49" s="1038">
        <v>661112</v>
      </c>
      <c r="C49" s="1038">
        <v>661112</v>
      </c>
      <c r="D49" s="1038">
        <v>661112</v>
      </c>
      <c r="E49" s="1042">
        <f t="shared" si="5"/>
        <v>0</v>
      </c>
      <c r="H49" s="52"/>
      <c r="I49" s="51"/>
      <c r="J49" s="51"/>
      <c r="K49" s="51"/>
    </row>
    <row r="50" spans="1:11" ht="30" x14ac:dyDescent="0.25">
      <c r="A50" s="1035" t="s">
        <v>1006</v>
      </c>
      <c r="B50" s="1038">
        <v>9837178</v>
      </c>
      <c r="C50" s="1038">
        <v>9837178</v>
      </c>
      <c r="D50" s="1038">
        <v>9837178</v>
      </c>
      <c r="E50" s="1042">
        <f t="shared" si="5"/>
        <v>0</v>
      </c>
      <c r="H50" s="52"/>
      <c r="I50" s="51"/>
      <c r="J50" s="51"/>
      <c r="K50" s="51"/>
    </row>
    <row r="51" spans="1:11" ht="30" x14ac:dyDescent="0.25">
      <c r="A51" s="1020" t="s">
        <v>6</v>
      </c>
      <c r="B51" s="1038">
        <v>81735371</v>
      </c>
      <c r="C51" s="1038">
        <v>81735371</v>
      </c>
      <c r="D51" s="1038">
        <v>81735371</v>
      </c>
      <c r="E51" s="1042">
        <f t="shared" si="5"/>
        <v>0</v>
      </c>
      <c r="G51" s="43"/>
      <c r="H51" s="52"/>
      <c r="I51" s="51"/>
      <c r="J51" s="51"/>
      <c r="K51" s="51"/>
    </row>
    <row r="52" spans="1:11" ht="30" x14ac:dyDescent="0.25">
      <c r="A52" s="1020" t="s">
        <v>8</v>
      </c>
      <c r="B52" s="1038">
        <v>1584780</v>
      </c>
      <c r="C52" s="1038">
        <v>1584780</v>
      </c>
      <c r="D52" s="1038">
        <v>1584780</v>
      </c>
      <c r="E52" s="1042">
        <f t="shared" si="5"/>
        <v>0</v>
      </c>
      <c r="H52" s="52"/>
      <c r="I52" s="51"/>
      <c r="J52" s="51"/>
      <c r="K52" s="51"/>
    </row>
    <row r="53" spans="1:11" ht="30" x14ac:dyDescent="0.25">
      <c r="A53" s="1020" t="s">
        <v>10</v>
      </c>
      <c r="B53" s="1038">
        <v>2114811</v>
      </c>
      <c r="C53" s="1038">
        <v>2114811</v>
      </c>
      <c r="D53" s="1038">
        <v>2114811</v>
      </c>
      <c r="E53" s="1042">
        <f t="shared" si="5"/>
        <v>0</v>
      </c>
      <c r="H53" s="52"/>
      <c r="I53" s="51"/>
      <c r="J53" s="51"/>
      <c r="K53" s="51"/>
    </row>
    <row r="54" spans="1:11" ht="45" x14ac:dyDescent="0.25">
      <c r="A54" s="1020" t="s">
        <v>1007</v>
      </c>
      <c r="B54" s="1038">
        <v>450000</v>
      </c>
      <c r="C54" s="1038">
        <v>450000</v>
      </c>
      <c r="D54" s="1038">
        <v>450000</v>
      </c>
      <c r="E54" s="1042">
        <f t="shared" si="5"/>
        <v>0</v>
      </c>
      <c r="H54" s="52"/>
      <c r="I54" s="51"/>
      <c r="J54" s="51"/>
      <c r="K54" s="51"/>
    </row>
    <row r="55" spans="1:11" ht="30" x14ac:dyDescent="0.25">
      <c r="A55" s="1020" t="s">
        <v>716</v>
      </c>
      <c r="B55" s="1038">
        <v>960000</v>
      </c>
      <c r="C55" s="92">
        <v>0</v>
      </c>
      <c r="D55" s="92">
        <v>0</v>
      </c>
      <c r="E55" s="1042">
        <f t="shared" si="5"/>
        <v>0</v>
      </c>
      <c r="H55" s="52"/>
      <c r="I55" s="51"/>
      <c r="J55" s="51"/>
      <c r="K55" s="51"/>
    </row>
    <row r="56" spans="1:11" ht="30" x14ac:dyDescent="0.25">
      <c r="A56" s="367" t="s">
        <v>964</v>
      </c>
      <c r="B56" s="1038"/>
      <c r="C56" s="92">
        <v>1434728</v>
      </c>
      <c r="D56" s="92">
        <v>1434728</v>
      </c>
      <c r="E56" s="1042">
        <f t="shared" si="5"/>
        <v>0</v>
      </c>
      <c r="H56" s="52"/>
      <c r="I56" s="51"/>
      <c r="J56" s="51"/>
      <c r="K56" s="51"/>
    </row>
    <row r="57" spans="1:11" s="4" customFormat="1" ht="31.2" x14ac:dyDescent="0.3">
      <c r="A57" s="1041" t="s">
        <v>155</v>
      </c>
      <c r="B57" s="91">
        <f>SUM(B58:B73)</f>
        <v>29657574</v>
      </c>
      <c r="C57" s="91">
        <f>SUM(C58:C74)</f>
        <v>31364528</v>
      </c>
      <c r="D57" s="91">
        <f>SUM(D58:D74)</f>
        <v>32564528</v>
      </c>
      <c r="E57" s="205">
        <f>D57-C57</f>
        <v>1200000</v>
      </c>
      <c r="F57" s="3"/>
      <c r="H57" s="48"/>
      <c r="I57" s="49"/>
      <c r="J57" s="49"/>
      <c r="K57" s="49"/>
    </row>
    <row r="58" spans="1:11" ht="19.2" customHeight="1" x14ac:dyDescent="0.25">
      <c r="A58" s="1034" t="s">
        <v>151</v>
      </c>
      <c r="B58" s="1038">
        <v>5712426</v>
      </c>
      <c r="C58" s="1038">
        <v>5715848</v>
      </c>
      <c r="D58" s="1038">
        <v>5615848</v>
      </c>
      <c r="E58" s="1042">
        <f>D58-C58</f>
        <v>-100000</v>
      </c>
      <c r="H58" s="52"/>
      <c r="I58" s="51"/>
      <c r="J58" s="51"/>
      <c r="K58" s="51"/>
    </row>
    <row r="59" spans="1:11" ht="19.2" customHeight="1" x14ac:dyDescent="0.25">
      <c r="A59" s="1034" t="s">
        <v>504</v>
      </c>
      <c r="B59" s="1038">
        <v>1430852</v>
      </c>
      <c r="C59" s="1038">
        <v>1430852</v>
      </c>
      <c r="D59" s="1038">
        <v>1430852</v>
      </c>
      <c r="E59" s="1042">
        <f t="shared" ref="E59:E74" si="6">D59-C59</f>
        <v>0</v>
      </c>
      <c r="H59" s="52"/>
      <c r="I59" s="51"/>
      <c r="J59" s="51"/>
      <c r="K59" s="51"/>
    </row>
    <row r="60" spans="1:11" ht="19.2" customHeight="1" x14ac:dyDescent="0.25">
      <c r="A60" s="1034" t="s">
        <v>345</v>
      </c>
      <c r="B60" s="1038">
        <v>1687713</v>
      </c>
      <c r="C60" s="92">
        <v>821621</v>
      </c>
      <c r="D60" s="92">
        <v>821621</v>
      </c>
      <c r="E60" s="1042">
        <f t="shared" si="6"/>
        <v>0</v>
      </c>
      <c r="H60" s="52"/>
      <c r="I60" s="51"/>
      <c r="J60" s="51"/>
      <c r="K60" s="51"/>
    </row>
    <row r="61" spans="1:11" ht="45" x14ac:dyDescent="0.25">
      <c r="A61" s="1034" t="s">
        <v>1010</v>
      </c>
      <c r="B61" s="1038"/>
      <c r="C61" s="1199">
        <v>295746</v>
      </c>
      <c r="D61" s="1199">
        <v>295746</v>
      </c>
      <c r="E61" s="1042">
        <f t="shared" si="6"/>
        <v>0</v>
      </c>
      <c r="H61" s="52"/>
      <c r="I61" s="51"/>
      <c r="J61" s="51"/>
      <c r="K61" s="51"/>
    </row>
    <row r="62" spans="1:11" ht="19.2" customHeight="1" x14ac:dyDescent="0.25">
      <c r="A62" s="1034" t="s">
        <v>152</v>
      </c>
      <c r="B62" s="1038">
        <v>234000</v>
      </c>
      <c r="C62" s="92">
        <v>234000</v>
      </c>
      <c r="D62" s="92">
        <v>234000</v>
      </c>
      <c r="E62" s="1042">
        <f t="shared" si="6"/>
        <v>0</v>
      </c>
      <c r="H62" s="52"/>
      <c r="I62" s="51"/>
      <c r="J62" s="51"/>
      <c r="K62" s="51"/>
    </row>
    <row r="63" spans="1:11" ht="28.5" customHeight="1" x14ac:dyDescent="0.25">
      <c r="A63" s="1034" t="s">
        <v>359</v>
      </c>
      <c r="B63" s="1038">
        <v>1180590</v>
      </c>
      <c r="C63" s="92">
        <v>3378930</v>
      </c>
      <c r="D63" s="92">
        <v>4678930</v>
      </c>
      <c r="E63" s="1042">
        <f t="shared" si="6"/>
        <v>1300000</v>
      </c>
      <c r="H63" s="52"/>
      <c r="I63" s="51"/>
      <c r="J63" s="51"/>
      <c r="K63" s="51"/>
    </row>
    <row r="64" spans="1:11" ht="30" x14ac:dyDescent="0.25">
      <c r="A64" s="1034" t="s">
        <v>974</v>
      </c>
      <c r="B64" s="1038">
        <v>2634</v>
      </c>
      <c r="C64" s="92">
        <v>0</v>
      </c>
      <c r="D64" s="92">
        <v>0</v>
      </c>
      <c r="E64" s="1042">
        <f t="shared" si="6"/>
        <v>0</v>
      </c>
      <c r="H64" s="52"/>
      <c r="I64" s="51"/>
      <c r="J64" s="51"/>
      <c r="K64" s="51"/>
    </row>
    <row r="65" spans="1:12" ht="26.25" customHeight="1" x14ac:dyDescent="0.25">
      <c r="A65" s="1035" t="s">
        <v>1003</v>
      </c>
      <c r="B65" s="1038">
        <v>48292</v>
      </c>
      <c r="C65" s="1038">
        <v>48292</v>
      </c>
      <c r="D65" s="1038">
        <v>48292</v>
      </c>
      <c r="E65" s="1042">
        <f t="shared" si="6"/>
        <v>0</v>
      </c>
      <c r="H65" s="52"/>
      <c r="I65" s="51"/>
      <c r="J65" s="51"/>
      <c r="K65" s="51"/>
    </row>
    <row r="66" spans="1:12" ht="28.5" customHeight="1" x14ac:dyDescent="0.25">
      <c r="A66" s="1035" t="s">
        <v>1004</v>
      </c>
      <c r="B66" s="1038">
        <v>65546</v>
      </c>
      <c r="C66" s="1038">
        <v>65546</v>
      </c>
      <c r="D66" s="1038">
        <v>65546</v>
      </c>
      <c r="E66" s="1042">
        <f t="shared" si="6"/>
        <v>0</v>
      </c>
      <c r="H66" s="52"/>
      <c r="I66" s="51"/>
      <c r="J66" s="51"/>
      <c r="K66" s="51"/>
    </row>
    <row r="67" spans="1:12" ht="28.5" customHeight="1" x14ac:dyDescent="0.25">
      <c r="A67" s="1035" t="s">
        <v>1005</v>
      </c>
      <c r="B67" s="1038">
        <v>205689</v>
      </c>
      <c r="C67" s="1038">
        <v>205689</v>
      </c>
      <c r="D67" s="1038">
        <v>205689</v>
      </c>
      <c r="E67" s="1042">
        <f t="shared" si="6"/>
        <v>0</v>
      </c>
      <c r="H67" s="52"/>
      <c r="I67" s="51"/>
      <c r="J67" s="51"/>
      <c r="K67" s="51"/>
    </row>
    <row r="68" spans="1:12" ht="30" x14ac:dyDescent="0.25">
      <c r="A68" s="1035" t="s">
        <v>1006</v>
      </c>
      <c r="B68" s="1038">
        <v>2020027</v>
      </c>
      <c r="C68" s="1038">
        <v>2020027</v>
      </c>
      <c r="D68" s="1038">
        <v>2020027</v>
      </c>
      <c r="E68" s="1042">
        <f t="shared" si="6"/>
        <v>0</v>
      </c>
      <c r="G68" s="43"/>
      <c r="H68" s="52"/>
      <c r="I68" s="51"/>
      <c r="J68" s="51"/>
      <c r="K68" s="51"/>
    </row>
    <row r="69" spans="1:12" ht="30" x14ac:dyDescent="0.25">
      <c r="A69" s="1020" t="s">
        <v>6</v>
      </c>
      <c r="B69" s="1038">
        <v>15860837</v>
      </c>
      <c r="C69" s="1038">
        <v>15860837</v>
      </c>
      <c r="D69" s="1038">
        <v>15860837</v>
      </c>
      <c r="E69" s="1042">
        <f t="shared" si="6"/>
        <v>0</v>
      </c>
      <c r="H69" s="52"/>
      <c r="I69" s="51"/>
      <c r="J69" s="51"/>
      <c r="K69" s="51"/>
    </row>
    <row r="70" spans="1:12" ht="30" x14ac:dyDescent="0.25">
      <c r="A70" s="1020" t="s">
        <v>8</v>
      </c>
      <c r="B70" s="1038">
        <v>369230</v>
      </c>
      <c r="C70" s="1038">
        <v>369230</v>
      </c>
      <c r="D70" s="1038">
        <v>369230</v>
      </c>
      <c r="E70" s="1042">
        <f t="shared" si="6"/>
        <v>0</v>
      </c>
      <c r="H70" s="52"/>
      <c r="I70" s="51"/>
      <c r="J70" s="51"/>
      <c r="K70" s="51"/>
    </row>
    <row r="71" spans="1:12" ht="30" x14ac:dyDescent="0.25">
      <c r="A71" s="1020" t="s">
        <v>10</v>
      </c>
      <c r="B71" s="1038">
        <v>520388</v>
      </c>
      <c r="C71" s="1038">
        <v>520388</v>
      </c>
      <c r="D71" s="1038">
        <v>520388</v>
      </c>
      <c r="E71" s="1042">
        <f t="shared" si="6"/>
        <v>0</v>
      </c>
      <c r="H71" s="52"/>
      <c r="I71" s="51"/>
      <c r="J71" s="51"/>
      <c r="K71" s="51"/>
    </row>
    <row r="72" spans="1:12" ht="45" x14ac:dyDescent="0.25">
      <c r="A72" s="1020" t="s">
        <v>1007</v>
      </c>
      <c r="B72" s="1038">
        <v>117750</v>
      </c>
      <c r="C72" s="1038">
        <v>117750</v>
      </c>
      <c r="D72" s="1038">
        <v>117750</v>
      </c>
      <c r="E72" s="1042">
        <f t="shared" si="6"/>
        <v>0</v>
      </c>
      <c r="H72" s="52"/>
      <c r="I72" s="51"/>
      <c r="J72" s="51"/>
      <c r="K72" s="51"/>
    </row>
    <row r="73" spans="1:12" ht="30" x14ac:dyDescent="0.25">
      <c r="A73" s="1020" t="s">
        <v>716</v>
      </c>
      <c r="B73" s="1038">
        <v>201600</v>
      </c>
      <c r="C73" s="92">
        <v>0</v>
      </c>
      <c r="D73" s="92">
        <v>0</v>
      </c>
      <c r="E73" s="1042">
        <f t="shared" si="6"/>
        <v>0</v>
      </c>
      <c r="H73" s="52"/>
      <c r="I73" s="51"/>
      <c r="J73" s="51"/>
      <c r="K73" s="51"/>
    </row>
    <row r="74" spans="1:12" ht="30.6" thickBot="1" x14ac:dyDescent="0.3">
      <c r="A74" s="1016" t="s">
        <v>964</v>
      </c>
      <c r="B74" s="1137"/>
      <c r="C74" s="1138">
        <v>279772</v>
      </c>
      <c r="D74" s="1138">
        <v>279772</v>
      </c>
      <c r="E74" s="1042">
        <f t="shared" si="6"/>
        <v>0</v>
      </c>
      <c r="H74" s="52"/>
      <c r="I74" s="51"/>
      <c r="J74" s="51"/>
      <c r="K74" s="51"/>
    </row>
    <row r="75" spans="1:12" ht="48" customHeight="1" thickBot="1" x14ac:dyDescent="0.3">
      <c r="A75" s="88" t="s">
        <v>328</v>
      </c>
      <c r="B75" s="550" t="s">
        <v>591</v>
      </c>
      <c r="C75" s="550" t="s">
        <v>978</v>
      </c>
      <c r="D75" s="550" t="s">
        <v>1044</v>
      </c>
      <c r="E75" s="1141" t="s">
        <v>934</v>
      </c>
      <c r="H75" s="52"/>
      <c r="I75" s="51"/>
      <c r="J75" s="51"/>
      <c r="K75" s="51"/>
    </row>
    <row r="76" spans="1:12" s="1" customFormat="1" ht="19.2" customHeight="1" x14ac:dyDescent="0.3">
      <c r="A76" s="1033" t="s">
        <v>142</v>
      </c>
      <c r="B76" s="1031">
        <f>SUM(B77:B127)</f>
        <v>1047384650</v>
      </c>
      <c r="C76" s="1032">
        <f>SUM(C77:C127)</f>
        <v>1143364020</v>
      </c>
      <c r="D76" s="1032">
        <f>SUM(D77:D128)</f>
        <v>1234264730</v>
      </c>
      <c r="E76" s="1031">
        <f>SUM(E77:E128)</f>
        <v>90900710</v>
      </c>
      <c r="G76" s="2"/>
      <c r="H76" s="48"/>
      <c r="I76" s="49"/>
      <c r="J76" s="49"/>
      <c r="K76" s="49"/>
      <c r="L76" s="9"/>
    </row>
    <row r="77" spans="1:12" ht="19.2" customHeight="1" x14ac:dyDescent="0.25">
      <c r="A77" s="1022" t="s">
        <v>156</v>
      </c>
      <c r="B77" s="1017">
        <v>6640000</v>
      </c>
      <c r="C77" s="92">
        <v>6640000</v>
      </c>
      <c r="D77" s="92">
        <v>6640000</v>
      </c>
      <c r="E77" s="662">
        <f>D77-C77</f>
        <v>0</v>
      </c>
      <c r="H77" s="52"/>
      <c r="I77" s="51"/>
      <c r="J77" s="51"/>
      <c r="K77" s="51"/>
      <c r="L77" s="1"/>
    </row>
    <row r="78" spans="1:12" ht="19.2" customHeight="1" x14ac:dyDescent="0.25">
      <c r="A78" s="1022" t="s">
        <v>157</v>
      </c>
      <c r="B78" s="1017">
        <v>169960000</v>
      </c>
      <c r="C78" s="92">
        <v>177496223</v>
      </c>
      <c r="D78" s="92">
        <v>174299181</v>
      </c>
      <c r="E78" s="662">
        <f t="shared" ref="E78:E128" si="7">D78-C78</f>
        <v>-3197042</v>
      </c>
      <c r="H78" s="52"/>
      <c r="I78" s="51"/>
      <c r="J78" s="51"/>
      <c r="K78" s="51"/>
    </row>
    <row r="79" spans="1:12" ht="19.2" customHeight="1" x14ac:dyDescent="0.25">
      <c r="A79" s="1022" t="s">
        <v>158</v>
      </c>
      <c r="B79" s="1017">
        <v>29200000</v>
      </c>
      <c r="C79" s="1199">
        <v>31960120</v>
      </c>
      <c r="D79" s="1199">
        <v>30460120</v>
      </c>
      <c r="E79" s="662">
        <f t="shared" si="7"/>
        <v>-1500000</v>
      </c>
      <c r="H79" s="52"/>
      <c r="I79" s="51"/>
      <c r="J79" s="51"/>
      <c r="K79" s="51"/>
    </row>
    <row r="80" spans="1:12" ht="19.2" customHeight="1" x14ac:dyDescent="0.25">
      <c r="A80" s="1022" t="s">
        <v>159</v>
      </c>
      <c r="B80" s="1017">
        <v>2650000</v>
      </c>
      <c r="C80" s="1199">
        <v>2068240</v>
      </c>
      <c r="D80" s="1199">
        <v>2068240</v>
      </c>
      <c r="E80" s="662">
        <f t="shared" si="7"/>
        <v>0</v>
      </c>
      <c r="H80" s="52"/>
      <c r="I80" s="51"/>
      <c r="J80" s="51"/>
      <c r="K80" s="51"/>
    </row>
    <row r="81" spans="1:11" ht="19.2" customHeight="1" x14ac:dyDescent="0.3">
      <c r="A81" s="1022" t="s">
        <v>160</v>
      </c>
      <c r="B81" s="1017">
        <v>14150000</v>
      </c>
      <c r="C81" s="1199">
        <v>11551987</v>
      </c>
      <c r="D81" s="1199">
        <v>8051987</v>
      </c>
      <c r="E81" s="662">
        <f t="shared" si="7"/>
        <v>-3500000</v>
      </c>
      <c r="H81" s="48"/>
      <c r="I81" s="49"/>
      <c r="J81" s="49"/>
      <c r="K81" s="49"/>
    </row>
    <row r="82" spans="1:11" ht="19.2" customHeight="1" x14ac:dyDescent="0.25">
      <c r="A82" s="1022" t="s">
        <v>161</v>
      </c>
      <c r="B82" s="1017">
        <v>3140000</v>
      </c>
      <c r="C82" s="1199">
        <v>2769470</v>
      </c>
      <c r="D82" s="1199">
        <v>2769470</v>
      </c>
      <c r="E82" s="662">
        <f t="shared" si="7"/>
        <v>0</v>
      </c>
      <c r="H82" s="48"/>
      <c r="I82" s="51"/>
      <c r="J82" s="51"/>
      <c r="K82" s="51"/>
    </row>
    <row r="83" spans="1:11" ht="19.2" customHeight="1" x14ac:dyDescent="0.25">
      <c r="A83" s="1022" t="s">
        <v>162</v>
      </c>
      <c r="B83" s="1017">
        <v>954000</v>
      </c>
      <c r="C83" s="1199">
        <v>954000</v>
      </c>
      <c r="D83" s="1199">
        <v>954000</v>
      </c>
      <c r="E83" s="662">
        <f t="shared" si="7"/>
        <v>0</v>
      </c>
      <c r="H83" s="52"/>
      <c r="I83" s="51"/>
      <c r="J83" s="51"/>
      <c r="K83" s="51"/>
    </row>
    <row r="84" spans="1:11" ht="19.2" customHeight="1" x14ac:dyDescent="0.25">
      <c r="A84" s="1022" t="s">
        <v>163</v>
      </c>
      <c r="B84" s="1017">
        <v>11000000</v>
      </c>
      <c r="C84" s="1199">
        <v>8273587</v>
      </c>
      <c r="D84" s="1199">
        <v>7553587</v>
      </c>
      <c r="E84" s="662">
        <f t="shared" si="7"/>
        <v>-720000</v>
      </c>
      <c r="H84" s="52"/>
      <c r="I84" s="51"/>
      <c r="J84" s="51"/>
      <c r="K84" s="51"/>
    </row>
    <row r="85" spans="1:11" ht="19.2" customHeight="1" x14ac:dyDescent="0.25">
      <c r="A85" s="1022" t="s">
        <v>164</v>
      </c>
      <c r="B85" s="1017">
        <v>55960960</v>
      </c>
      <c r="C85" s="1199">
        <v>58965621</v>
      </c>
      <c r="D85" s="1199">
        <v>63645621</v>
      </c>
      <c r="E85" s="662">
        <f t="shared" si="7"/>
        <v>4680000</v>
      </c>
      <c r="H85" s="52"/>
      <c r="I85" s="51"/>
      <c r="J85" s="51"/>
      <c r="K85" s="51"/>
    </row>
    <row r="86" spans="1:11" ht="19.2" customHeight="1" x14ac:dyDescent="0.25">
      <c r="A86" s="1022" t="s">
        <v>3</v>
      </c>
      <c r="B86" s="1017">
        <v>12700000</v>
      </c>
      <c r="C86" s="1199">
        <v>12700000</v>
      </c>
      <c r="D86" s="1199">
        <v>14500000</v>
      </c>
      <c r="E86" s="662">
        <f t="shared" si="7"/>
        <v>1800000</v>
      </c>
      <c r="H86" s="52"/>
      <c r="I86" s="51"/>
      <c r="J86" s="51"/>
      <c r="K86" s="51"/>
    </row>
    <row r="87" spans="1:11" ht="19.2" customHeight="1" x14ac:dyDescent="0.25">
      <c r="A87" s="1022" t="s">
        <v>165</v>
      </c>
      <c r="B87" s="1017">
        <v>214224112</v>
      </c>
      <c r="C87" s="1199">
        <v>265441840</v>
      </c>
      <c r="D87" s="1199">
        <v>263069342</v>
      </c>
      <c r="E87" s="662">
        <f t="shared" si="7"/>
        <v>-2372498</v>
      </c>
      <c r="H87" s="52"/>
      <c r="I87" s="51"/>
      <c r="J87" s="51"/>
      <c r="K87" s="51"/>
    </row>
    <row r="88" spans="1:11" ht="19.2" customHeight="1" x14ac:dyDescent="0.3">
      <c r="A88" s="1022" t="s">
        <v>166</v>
      </c>
      <c r="B88" s="1017">
        <v>1200000</v>
      </c>
      <c r="C88" s="92">
        <v>1200000</v>
      </c>
      <c r="D88" s="92">
        <v>700000</v>
      </c>
      <c r="E88" s="662">
        <f t="shared" si="7"/>
        <v>-500000</v>
      </c>
      <c r="H88" s="48"/>
      <c r="I88" s="49"/>
      <c r="J88" s="47"/>
      <c r="K88" s="49"/>
    </row>
    <row r="89" spans="1:11" ht="19.2" customHeight="1" x14ac:dyDescent="0.25">
      <c r="A89" s="1022" t="s">
        <v>167</v>
      </c>
      <c r="B89" s="1017">
        <v>780000</v>
      </c>
      <c r="C89" s="92">
        <v>780000</v>
      </c>
      <c r="D89" s="92">
        <v>380000</v>
      </c>
      <c r="E89" s="662">
        <f t="shared" si="7"/>
        <v>-400000</v>
      </c>
      <c r="H89" s="52"/>
      <c r="I89" s="51"/>
      <c r="J89" s="51"/>
      <c r="K89" s="51"/>
    </row>
    <row r="90" spans="1:11" ht="19.2" customHeight="1" x14ac:dyDescent="0.25">
      <c r="A90" s="1022" t="s">
        <v>582</v>
      </c>
      <c r="B90" s="1017">
        <v>102648447</v>
      </c>
      <c r="C90" s="92">
        <v>103374887</v>
      </c>
      <c r="D90" s="92">
        <v>103224887</v>
      </c>
      <c r="E90" s="662">
        <f t="shared" si="7"/>
        <v>-150000</v>
      </c>
      <c r="H90" s="52"/>
      <c r="I90" s="51"/>
      <c r="J90" s="51"/>
      <c r="K90" s="51"/>
    </row>
    <row r="91" spans="1:11" ht="19.2" customHeight="1" x14ac:dyDescent="0.25">
      <c r="A91" s="1022" t="s">
        <v>534</v>
      </c>
      <c r="B91" s="1017">
        <v>344736</v>
      </c>
      <c r="C91" s="92">
        <v>344736</v>
      </c>
      <c r="D91" s="92">
        <v>282354</v>
      </c>
      <c r="E91" s="662">
        <f t="shared" si="7"/>
        <v>-62382</v>
      </c>
      <c r="H91" s="52"/>
      <c r="I91" s="51"/>
      <c r="J91" s="51"/>
      <c r="K91" s="51"/>
    </row>
    <row r="92" spans="1:11" ht="19.2" customHeight="1" x14ac:dyDescent="0.25">
      <c r="A92" s="1022" t="s">
        <v>646</v>
      </c>
      <c r="B92" s="1017">
        <v>0</v>
      </c>
      <c r="C92" s="92">
        <v>0</v>
      </c>
      <c r="D92" s="92">
        <v>0</v>
      </c>
      <c r="E92" s="662">
        <f t="shared" si="7"/>
        <v>0</v>
      </c>
      <c r="H92" s="52"/>
      <c r="I92" s="51"/>
      <c r="J92" s="51"/>
      <c r="K92" s="51"/>
    </row>
    <row r="93" spans="1:11" ht="19.2" customHeight="1" x14ac:dyDescent="0.25">
      <c r="A93" s="1022" t="s">
        <v>721</v>
      </c>
      <c r="B93" s="1017">
        <v>3984000</v>
      </c>
      <c r="C93" s="92">
        <v>3984000</v>
      </c>
      <c r="D93" s="92">
        <v>3984000</v>
      </c>
      <c r="E93" s="662">
        <f t="shared" si="7"/>
        <v>0</v>
      </c>
      <c r="H93" s="52"/>
      <c r="I93" s="51"/>
      <c r="J93" s="51"/>
      <c r="K93" s="51"/>
    </row>
    <row r="94" spans="1:11" ht="31.65" customHeight="1" x14ac:dyDescent="0.25">
      <c r="A94" s="1022" t="s">
        <v>405</v>
      </c>
      <c r="B94" s="1017">
        <v>20100000</v>
      </c>
      <c r="C94" s="92">
        <v>20148611</v>
      </c>
      <c r="D94" s="92">
        <v>21735911</v>
      </c>
      <c r="E94" s="662">
        <f t="shared" si="7"/>
        <v>1587300</v>
      </c>
      <c r="H94" s="52"/>
      <c r="I94" s="51"/>
      <c r="J94" s="51"/>
      <c r="K94" s="51"/>
    </row>
    <row r="95" spans="1:11" ht="15" x14ac:dyDescent="0.25">
      <c r="A95" s="1022" t="s">
        <v>168</v>
      </c>
      <c r="B95" s="1017">
        <v>8300000</v>
      </c>
      <c r="C95" s="92">
        <v>8300000</v>
      </c>
      <c r="D95" s="92">
        <v>8300000</v>
      </c>
      <c r="E95" s="662">
        <f t="shared" si="7"/>
        <v>0</v>
      </c>
      <c r="H95" s="52"/>
      <c r="I95" s="51"/>
      <c r="J95" s="51"/>
      <c r="K95" s="51"/>
    </row>
    <row r="96" spans="1:11" ht="15" x14ac:dyDescent="0.25">
      <c r="A96" s="1022" t="s">
        <v>516</v>
      </c>
      <c r="B96" s="1017">
        <v>11500000</v>
      </c>
      <c r="C96" s="92">
        <v>12600000</v>
      </c>
      <c r="D96" s="92">
        <v>12600000</v>
      </c>
      <c r="E96" s="662">
        <f t="shared" si="7"/>
        <v>0</v>
      </c>
      <c r="H96" s="52"/>
      <c r="I96" s="51"/>
      <c r="J96" s="51"/>
      <c r="K96" s="51"/>
    </row>
    <row r="97" spans="1:11" ht="45" x14ac:dyDescent="0.25">
      <c r="A97" s="1020" t="s">
        <v>968</v>
      </c>
      <c r="B97" s="1017"/>
      <c r="C97" s="92">
        <v>1475232</v>
      </c>
      <c r="D97" s="92">
        <v>1475232</v>
      </c>
      <c r="E97" s="662">
        <f t="shared" si="7"/>
        <v>0</v>
      </c>
      <c r="H97" s="52"/>
      <c r="I97" s="51"/>
      <c r="J97" s="51"/>
      <c r="K97" s="51"/>
    </row>
    <row r="98" spans="1:11" ht="30" x14ac:dyDescent="0.25">
      <c r="A98" s="367" t="s">
        <v>969</v>
      </c>
      <c r="B98" s="1017"/>
      <c r="C98" s="92">
        <v>3527061</v>
      </c>
      <c r="D98" s="92">
        <v>3527061</v>
      </c>
      <c r="E98" s="662">
        <f t="shared" si="7"/>
        <v>0</v>
      </c>
      <c r="H98" s="52"/>
      <c r="I98" s="51"/>
      <c r="J98" s="51"/>
      <c r="K98" s="51"/>
    </row>
    <row r="99" spans="1:11" ht="30" x14ac:dyDescent="0.25">
      <c r="A99" s="1034" t="s">
        <v>647</v>
      </c>
      <c r="B99" s="1017">
        <v>40000</v>
      </c>
      <c r="C99" s="92">
        <v>15000</v>
      </c>
      <c r="D99" s="92">
        <v>15000</v>
      </c>
      <c r="E99" s="662">
        <f t="shared" si="7"/>
        <v>0</v>
      </c>
      <c r="H99" s="52"/>
      <c r="I99" s="51"/>
      <c r="J99" s="51"/>
      <c r="K99" s="51"/>
    </row>
    <row r="100" spans="1:11" ht="30" x14ac:dyDescent="0.25">
      <c r="A100" s="1021" t="s">
        <v>190</v>
      </c>
      <c r="B100" s="1017">
        <v>2219000</v>
      </c>
      <c r="C100" s="1017">
        <v>2219000</v>
      </c>
      <c r="D100" s="1017">
        <v>2219000</v>
      </c>
      <c r="E100" s="662">
        <f t="shared" si="7"/>
        <v>0</v>
      </c>
      <c r="F100" s="43"/>
      <c r="H100" s="52"/>
      <c r="I100" s="51"/>
      <c r="J100" s="51"/>
      <c r="K100" s="51"/>
    </row>
    <row r="101" spans="1:11" ht="15" x14ac:dyDescent="0.25">
      <c r="A101" s="1035" t="s">
        <v>496</v>
      </c>
      <c r="B101" s="1017">
        <v>6109875</v>
      </c>
      <c r="C101" s="1017">
        <v>5527025</v>
      </c>
      <c r="D101" s="1017">
        <v>5527025</v>
      </c>
      <c r="E101" s="662">
        <f t="shared" si="7"/>
        <v>0</v>
      </c>
      <c r="F101" s="43"/>
      <c r="H101" s="52"/>
      <c r="I101" s="51"/>
      <c r="J101" s="51"/>
      <c r="K101" s="51"/>
    </row>
    <row r="102" spans="1:11" ht="30" x14ac:dyDescent="0.25">
      <c r="A102" s="1021" t="s">
        <v>1082</v>
      </c>
      <c r="B102" s="1017">
        <v>22494206</v>
      </c>
      <c r="C102" s="1017">
        <v>22494206</v>
      </c>
      <c r="D102" s="1017">
        <v>0</v>
      </c>
      <c r="E102" s="662">
        <f t="shared" si="7"/>
        <v>-22494206</v>
      </c>
      <c r="F102" s="43"/>
      <c r="G102" s="43"/>
      <c r="H102" s="52"/>
      <c r="I102" s="51"/>
      <c r="J102" s="51"/>
      <c r="K102" s="51"/>
    </row>
    <row r="103" spans="1:11" ht="30" x14ac:dyDescent="0.25">
      <c r="A103" s="1035" t="s">
        <v>495</v>
      </c>
      <c r="B103" s="1017">
        <v>30063866</v>
      </c>
      <c r="C103" s="1017">
        <v>27363866</v>
      </c>
      <c r="D103" s="1017">
        <v>26518866</v>
      </c>
      <c r="E103" s="662">
        <f t="shared" si="7"/>
        <v>-845000</v>
      </c>
      <c r="F103" s="43"/>
      <c r="G103" s="43">
        <f>E100+E101+E102+E103+E105+E107+E109+E110+E112+E114+E115+E116</f>
        <v>29885089</v>
      </c>
      <c r="H103" s="52"/>
      <c r="I103" s="51"/>
      <c r="J103" s="51"/>
      <c r="K103" s="51"/>
    </row>
    <row r="104" spans="1:11" ht="30" x14ac:dyDescent="0.25">
      <c r="A104" s="1021" t="s">
        <v>1080</v>
      </c>
      <c r="B104" s="1017"/>
      <c r="C104" s="1017"/>
      <c r="D104" s="1017"/>
      <c r="E104" s="662">
        <f t="shared" si="7"/>
        <v>0</v>
      </c>
      <c r="F104" s="43"/>
      <c r="H104" s="52"/>
      <c r="I104" s="51"/>
      <c r="J104" s="51"/>
      <c r="K104" s="51"/>
    </row>
    <row r="105" spans="1:11" ht="15" x14ac:dyDescent="0.25">
      <c r="A105" s="1021" t="s">
        <v>1079</v>
      </c>
      <c r="B105" s="1017">
        <v>8861940</v>
      </c>
      <c r="C105" s="1017">
        <v>8861940</v>
      </c>
      <c r="D105" s="1017">
        <v>63368935</v>
      </c>
      <c r="E105" s="662">
        <f t="shared" si="7"/>
        <v>54506995</v>
      </c>
      <c r="F105" s="43"/>
      <c r="H105" s="52"/>
      <c r="I105" s="51"/>
      <c r="J105" s="51"/>
      <c r="K105" s="51"/>
    </row>
    <row r="106" spans="1:11" ht="15" x14ac:dyDescent="0.25">
      <c r="A106" s="1021" t="s">
        <v>1081</v>
      </c>
      <c r="B106" s="1017">
        <v>0</v>
      </c>
      <c r="C106" s="1017">
        <v>0</v>
      </c>
      <c r="D106" s="1017">
        <v>0</v>
      </c>
      <c r="E106" s="662">
        <f t="shared" si="7"/>
        <v>0</v>
      </c>
      <c r="F106" s="43"/>
      <c r="H106" s="52"/>
      <c r="I106" s="51"/>
      <c r="J106" s="51"/>
      <c r="K106" s="51"/>
    </row>
    <row r="107" spans="1:11" ht="45" x14ac:dyDescent="0.25">
      <c r="A107" s="1020" t="s">
        <v>13</v>
      </c>
      <c r="B107" s="1017">
        <v>144455679</v>
      </c>
      <c r="C107" s="1017">
        <v>144455679</v>
      </c>
      <c r="D107" s="1017">
        <v>144455679</v>
      </c>
      <c r="E107" s="662">
        <f t="shared" si="7"/>
        <v>0</v>
      </c>
      <c r="F107" s="43"/>
      <c r="H107" s="52"/>
      <c r="I107" s="51"/>
      <c r="J107" s="51"/>
      <c r="K107" s="51"/>
    </row>
    <row r="108" spans="1:11" ht="30" x14ac:dyDescent="0.25">
      <c r="A108" s="1020" t="s">
        <v>12</v>
      </c>
      <c r="B108" s="1017">
        <v>27686000</v>
      </c>
      <c r="C108" s="1017">
        <v>27686000</v>
      </c>
      <c r="D108" s="1017">
        <v>27686000</v>
      </c>
      <c r="E108" s="662">
        <f t="shared" si="7"/>
        <v>0</v>
      </c>
      <c r="F108" s="43"/>
      <c r="H108" s="52"/>
      <c r="I108" s="51"/>
      <c r="J108" s="51"/>
      <c r="K108" s="51"/>
    </row>
    <row r="109" spans="1:11" ht="30" x14ac:dyDescent="0.25">
      <c r="A109" s="1020" t="s">
        <v>14</v>
      </c>
      <c r="B109" s="1017">
        <v>425450</v>
      </c>
      <c r="C109" s="1017">
        <v>425450</v>
      </c>
      <c r="D109" s="1017">
        <v>425450</v>
      </c>
      <c r="E109" s="662">
        <f t="shared" si="7"/>
        <v>0</v>
      </c>
      <c r="F109" s="43"/>
      <c r="H109" s="52"/>
      <c r="I109" s="51"/>
      <c r="J109" s="51"/>
      <c r="K109" s="51"/>
    </row>
    <row r="110" spans="1:11" ht="30.6" thickBot="1" x14ac:dyDescent="0.3">
      <c r="A110" s="1036" t="s">
        <v>15</v>
      </c>
      <c r="B110" s="1037">
        <v>4953000</v>
      </c>
      <c r="C110" s="1037">
        <v>4953000</v>
      </c>
      <c r="D110" s="1037">
        <v>4953000</v>
      </c>
      <c r="E110" s="662">
        <f t="shared" si="7"/>
        <v>0</v>
      </c>
      <c r="F110" s="43"/>
      <c r="H110" s="52"/>
      <c r="I110" s="51"/>
      <c r="J110" s="51"/>
      <c r="K110" s="51"/>
    </row>
    <row r="111" spans="1:11" ht="44.25" customHeight="1" thickBot="1" x14ac:dyDescent="0.3">
      <c r="A111" s="989" t="s">
        <v>328</v>
      </c>
      <c r="B111" s="550" t="s">
        <v>591</v>
      </c>
      <c r="C111" s="550" t="s">
        <v>978</v>
      </c>
      <c r="D111" s="550" t="s">
        <v>1044</v>
      </c>
      <c r="E111" s="1179" t="s">
        <v>934</v>
      </c>
      <c r="F111" s="43"/>
      <c r="H111" s="52"/>
      <c r="I111" s="51"/>
      <c r="J111" s="51"/>
      <c r="K111" s="51"/>
    </row>
    <row r="112" spans="1:11" ht="33.75" customHeight="1" x14ac:dyDescent="0.25">
      <c r="A112" s="1029" t="s">
        <v>16</v>
      </c>
      <c r="B112" s="1030">
        <v>33606105</v>
      </c>
      <c r="C112" s="1030">
        <v>33606105</v>
      </c>
      <c r="D112" s="1030">
        <v>33606105</v>
      </c>
      <c r="E112" s="662">
        <f t="shared" si="7"/>
        <v>0</v>
      </c>
      <c r="F112" s="43"/>
      <c r="H112" s="52"/>
      <c r="I112" s="51"/>
      <c r="J112" s="51"/>
      <c r="K112" s="51"/>
    </row>
    <row r="113" spans="1:11" ht="33.75" customHeight="1" x14ac:dyDescent="0.25">
      <c r="A113" s="1029" t="s">
        <v>1012</v>
      </c>
      <c r="B113" s="1030"/>
      <c r="C113" s="1030">
        <v>1270000</v>
      </c>
      <c r="D113" s="1030">
        <v>1270000</v>
      </c>
      <c r="E113" s="662">
        <f t="shared" si="7"/>
        <v>0</v>
      </c>
      <c r="F113" s="43"/>
      <c r="H113" s="52"/>
      <c r="I113" s="51"/>
      <c r="J113" s="51"/>
      <c r="K113" s="51"/>
    </row>
    <row r="114" spans="1:11" ht="45" x14ac:dyDescent="0.25">
      <c r="A114" s="1020" t="s">
        <v>17</v>
      </c>
      <c r="B114" s="1017">
        <v>11303000</v>
      </c>
      <c r="C114" s="1017">
        <v>11303000</v>
      </c>
      <c r="D114" s="1017">
        <v>11303000</v>
      </c>
      <c r="E114" s="662">
        <f t="shared" si="7"/>
        <v>0</v>
      </c>
      <c r="F114" s="43"/>
      <c r="G114" s="43"/>
      <c r="H114" s="52"/>
      <c r="I114" s="51"/>
      <c r="J114" s="51"/>
      <c r="K114" s="51"/>
    </row>
    <row r="115" spans="1:11" ht="45" x14ac:dyDescent="0.25">
      <c r="A115" s="1020" t="s">
        <v>18</v>
      </c>
      <c r="B115" s="1017">
        <v>3810000</v>
      </c>
      <c r="C115" s="1017">
        <v>3810000</v>
      </c>
      <c r="D115" s="1017">
        <v>2527300</v>
      </c>
      <c r="E115" s="662">
        <f t="shared" si="7"/>
        <v>-1282700</v>
      </c>
      <c r="F115" s="43"/>
      <c r="H115" s="52"/>
      <c r="I115" s="51"/>
      <c r="J115" s="51"/>
      <c r="K115" s="51"/>
    </row>
    <row r="116" spans="1:11" ht="30" x14ac:dyDescent="0.25">
      <c r="A116" s="1021" t="s">
        <v>648</v>
      </c>
      <c r="B116" s="1017">
        <v>39052500</v>
      </c>
      <c r="C116" s="1017">
        <v>39052500</v>
      </c>
      <c r="D116" s="1017">
        <v>39052500</v>
      </c>
      <c r="E116" s="662">
        <f t="shared" si="7"/>
        <v>0</v>
      </c>
      <c r="F116" s="43"/>
      <c r="H116" s="52"/>
      <c r="I116" s="51"/>
      <c r="J116" s="51"/>
      <c r="K116" s="51"/>
    </row>
    <row r="117" spans="1:11" ht="24" customHeight="1" x14ac:dyDescent="0.25">
      <c r="A117" s="1021" t="s">
        <v>717</v>
      </c>
      <c r="B117" s="1017">
        <v>9000000</v>
      </c>
      <c r="C117" s="1017">
        <v>9000000</v>
      </c>
      <c r="D117" s="1017">
        <v>9000000</v>
      </c>
      <c r="E117" s="662">
        <f t="shared" si="7"/>
        <v>0</v>
      </c>
      <c r="F117" s="43"/>
      <c r="H117" s="52"/>
      <c r="I117" s="51"/>
      <c r="J117" s="51"/>
      <c r="K117" s="51"/>
    </row>
    <row r="118" spans="1:11" ht="30" x14ac:dyDescent="0.25">
      <c r="A118" s="1021" t="s">
        <v>718</v>
      </c>
      <c r="B118" s="1017">
        <v>6740525</v>
      </c>
      <c r="C118" s="1017">
        <v>6740525</v>
      </c>
      <c r="D118" s="1017">
        <v>6740525</v>
      </c>
      <c r="E118" s="662">
        <f t="shared" si="7"/>
        <v>0</v>
      </c>
      <c r="F118" s="43"/>
      <c r="H118" s="52"/>
      <c r="I118" s="51"/>
      <c r="J118" s="51"/>
      <c r="K118" s="51"/>
    </row>
    <row r="119" spans="1:11" ht="15" x14ac:dyDescent="0.25">
      <c r="A119" s="1021" t="s">
        <v>719</v>
      </c>
      <c r="B119" s="1017">
        <v>5271770</v>
      </c>
      <c r="C119" s="1017">
        <v>5271770</v>
      </c>
      <c r="D119" s="1017">
        <v>5271770</v>
      </c>
      <c r="E119" s="662">
        <f t="shared" si="7"/>
        <v>0</v>
      </c>
      <c r="F119" s="43"/>
      <c r="H119" s="52"/>
      <c r="I119" s="51"/>
      <c r="J119" s="51"/>
      <c r="K119" s="51"/>
    </row>
    <row r="120" spans="1:11" ht="30" x14ac:dyDescent="0.25">
      <c r="A120" s="1021" t="s">
        <v>720</v>
      </c>
      <c r="B120" s="1017">
        <v>13093700</v>
      </c>
      <c r="C120" s="1017">
        <v>13093700</v>
      </c>
      <c r="D120" s="1017">
        <v>13093700</v>
      </c>
      <c r="E120" s="662">
        <f t="shared" si="7"/>
        <v>0</v>
      </c>
      <c r="F120" s="43"/>
      <c r="H120" s="52"/>
      <c r="I120" s="51"/>
      <c r="J120" s="51"/>
      <c r="K120" s="51"/>
    </row>
    <row r="121" spans="1:11" ht="30" x14ac:dyDescent="0.25">
      <c r="A121" s="1021" t="s">
        <v>1013</v>
      </c>
      <c r="B121" s="1017"/>
      <c r="C121" s="1202">
        <v>16510000</v>
      </c>
      <c r="D121" s="1202">
        <v>16510000</v>
      </c>
      <c r="E121" s="662">
        <f t="shared" si="7"/>
        <v>0</v>
      </c>
      <c r="F121" s="43"/>
      <c r="H121" s="52"/>
      <c r="I121" s="51"/>
      <c r="J121" s="51"/>
      <c r="K121" s="51"/>
    </row>
    <row r="122" spans="1:11" ht="30" x14ac:dyDescent="0.25">
      <c r="A122" s="1021" t="s">
        <v>1014</v>
      </c>
      <c r="B122" s="1017"/>
      <c r="C122" s="1202">
        <v>1905000</v>
      </c>
      <c r="D122" s="1202">
        <v>1905000</v>
      </c>
      <c r="E122" s="662">
        <f t="shared" si="7"/>
        <v>0</v>
      </c>
      <c r="F122" s="43"/>
      <c r="H122" s="52"/>
      <c r="I122" s="51"/>
      <c r="J122" s="51"/>
      <c r="K122" s="51"/>
    </row>
    <row r="123" spans="1:11" ht="30" x14ac:dyDescent="0.25">
      <c r="A123" s="1021" t="s">
        <v>1051</v>
      </c>
      <c r="B123" s="1017"/>
      <c r="C123" s="1202">
        <v>7620000</v>
      </c>
      <c r="D123" s="1202">
        <v>51135458</v>
      </c>
      <c r="E123" s="662">
        <f t="shared" si="7"/>
        <v>43515458</v>
      </c>
      <c r="F123" s="43"/>
      <c r="H123" s="52"/>
      <c r="I123" s="51"/>
      <c r="J123" s="51"/>
      <c r="K123" s="51"/>
    </row>
    <row r="124" spans="1:11" ht="15" x14ac:dyDescent="0.25">
      <c r="A124" s="1021" t="s">
        <v>1015</v>
      </c>
      <c r="B124" s="1017"/>
      <c r="C124" s="1202">
        <v>362000</v>
      </c>
      <c r="D124" s="1202">
        <v>362000</v>
      </c>
      <c r="E124" s="662">
        <f t="shared" si="7"/>
        <v>0</v>
      </c>
      <c r="F124" s="43"/>
      <c r="H124" s="52"/>
      <c r="I124" s="51"/>
      <c r="J124" s="51"/>
      <c r="K124" s="51"/>
    </row>
    <row r="125" spans="1:11" ht="15" x14ac:dyDescent="0.25">
      <c r="A125" s="1021" t="s">
        <v>1052</v>
      </c>
      <c r="B125" s="1017"/>
      <c r="C125" s="1202"/>
      <c r="D125" s="1202">
        <v>19050000</v>
      </c>
      <c r="E125" s="662">
        <f t="shared" si="7"/>
        <v>19050000</v>
      </c>
      <c r="F125" s="43"/>
      <c r="H125" s="52"/>
      <c r="I125" s="51"/>
      <c r="J125" s="51"/>
      <c r="K125" s="51"/>
    </row>
    <row r="126" spans="1:11" ht="24" customHeight="1" x14ac:dyDescent="0.25">
      <c r="A126" s="1022" t="s">
        <v>243</v>
      </c>
      <c r="B126" s="1017">
        <v>7964000</v>
      </c>
      <c r="C126" s="1199">
        <v>14464860</v>
      </c>
      <c r="D126" s="1199">
        <v>14544860</v>
      </c>
      <c r="E126" s="662">
        <f t="shared" si="7"/>
        <v>80000</v>
      </c>
      <c r="H126" s="52"/>
      <c r="I126" s="51"/>
      <c r="J126" s="51"/>
      <c r="K126" s="51"/>
    </row>
    <row r="127" spans="1:11" ht="27" customHeight="1" x14ac:dyDescent="0.25">
      <c r="A127" s="1021" t="s">
        <v>221</v>
      </c>
      <c r="B127" s="1017">
        <v>797779</v>
      </c>
      <c r="C127" s="1199">
        <v>797779</v>
      </c>
      <c r="D127" s="1199">
        <v>797779</v>
      </c>
      <c r="E127" s="662">
        <f t="shared" si="7"/>
        <v>0</v>
      </c>
      <c r="H127" s="52"/>
      <c r="I127" s="51"/>
      <c r="J127" s="51"/>
      <c r="K127" s="51"/>
    </row>
    <row r="128" spans="1:11" ht="27" customHeight="1" x14ac:dyDescent="0.25">
      <c r="A128" s="1021" t="s">
        <v>1053</v>
      </c>
      <c r="B128" s="1017"/>
      <c r="C128" s="1199"/>
      <c r="D128" s="1199">
        <f>1218885+1485900</f>
        <v>2704785</v>
      </c>
      <c r="E128" s="662">
        <f t="shared" si="7"/>
        <v>2704785</v>
      </c>
      <c r="H128" s="52"/>
      <c r="I128" s="51"/>
      <c r="J128" s="51"/>
      <c r="K128" s="51"/>
    </row>
    <row r="129" spans="1:12" s="1" customFormat="1" ht="29.25" customHeight="1" x14ac:dyDescent="0.3">
      <c r="A129" s="1023" t="s">
        <v>169</v>
      </c>
      <c r="B129" s="1018">
        <f>SUM(B130:B138)</f>
        <v>28100000</v>
      </c>
      <c r="C129" s="1018">
        <f>SUM(C130:C138)</f>
        <v>28100000</v>
      </c>
      <c r="D129" s="1018">
        <f>SUM(D130:D138)</f>
        <v>28100000</v>
      </c>
      <c r="E129" s="1024">
        <f>SUM(E130:E138)</f>
        <v>0</v>
      </c>
      <c r="F129" s="47"/>
      <c r="G129" s="47"/>
      <c r="H129" s="48"/>
      <c r="I129" s="49"/>
      <c r="J129" s="49"/>
      <c r="K129" s="49"/>
      <c r="L129" s="9"/>
    </row>
    <row r="130" spans="1:12" ht="30.15" customHeight="1" x14ac:dyDescent="0.25">
      <c r="A130" s="1022" t="s">
        <v>170</v>
      </c>
      <c r="B130" s="1017">
        <v>16000000</v>
      </c>
      <c r="C130" s="1017">
        <v>16000000</v>
      </c>
      <c r="D130" s="1017">
        <v>16000000</v>
      </c>
      <c r="E130" s="662">
        <f>D130-C130</f>
        <v>0</v>
      </c>
      <c r="H130" s="52"/>
      <c r="I130" s="51"/>
      <c r="J130" s="51"/>
      <c r="K130" s="51"/>
    </row>
    <row r="131" spans="1:12" ht="19.2" customHeight="1" x14ac:dyDescent="0.25">
      <c r="A131" s="1022" t="s">
        <v>171</v>
      </c>
      <c r="B131" s="1017">
        <v>4500000</v>
      </c>
      <c r="C131" s="1017">
        <v>4500000</v>
      </c>
      <c r="D131" s="1017">
        <v>0</v>
      </c>
      <c r="E131" s="662">
        <f t="shared" ref="E131:E138" si="8">D131-C131</f>
        <v>-4500000</v>
      </c>
      <c r="H131" s="52"/>
      <c r="I131" s="51"/>
      <c r="J131" s="51"/>
      <c r="K131" s="51"/>
    </row>
    <row r="132" spans="1:12" ht="19.2" customHeight="1" x14ac:dyDescent="0.25">
      <c r="A132" s="1022" t="s">
        <v>1055</v>
      </c>
      <c r="B132" s="1017"/>
      <c r="C132" s="1017"/>
      <c r="D132" s="1017">
        <v>4500000</v>
      </c>
      <c r="E132" s="662">
        <f t="shared" si="8"/>
        <v>4500000</v>
      </c>
      <c r="H132" s="52"/>
      <c r="I132" s="51"/>
      <c r="J132" s="51"/>
      <c r="K132" s="51"/>
    </row>
    <row r="133" spans="1:12" ht="19.2" customHeight="1" x14ac:dyDescent="0.3">
      <c r="A133" s="1022" t="s">
        <v>336</v>
      </c>
      <c r="B133" s="1017">
        <v>500000</v>
      </c>
      <c r="C133" s="1017">
        <v>500000</v>
      </c>
      <c r="D133" s="1017">
        <v>500000</v>
      </c>
      <c r="E133" s="662">
        <f t="shared" si="8"/>
        <v>0</v>
      </c>
      <c r="H133" s="46"/>
      <c r="I133" s="49"/>
      <c r="J133" s="49"/>
      <c r="K133" s="49"/>
    </row>
    <row r="134" spans="1:12" ht="19.2" customHeight="1" x14ac:dyDescent="0.25">
      <c r="A134" s="1022" t="s">
        <v>1056</v>
      </c>
      <c r="B134" s="1017">
        <v>1200000</v>
      </c>
      <c r="C134" s="1017">
        <v>1200000</v>
      </c>
      <c r="D134" s="1017">
        <v>1200000</v>
      </c>
      <c r="E134" s="662">
        <f t="shared" si="8"/>
        <v>0</v>
      </c>
      <c r="H134" s="53"/>
      <c r="I134" s="51"/>
      <c r="J134" s="51"/>
      <c r="K134" s="51"/>
    </row>
    <row r="135" spans="1:12" ht="19.2" customHeight="1" x14ac:dyDescent="0.25">
      <c r="A135" s="1022" t="s">
        <v>172</v>
      </c>
      <c r="B135" s="1017">
        <v>800000</v>
      </c>
      <c r="C135" s="1017">
        <v>800000</v>
      </c>
      <c r="D135" s="1017">
        <v>700000</v>
      </c>
      <c r="E135" s="662">
        <f t="shared" si="8"/>
        <v>-100000</v>
      </c>
      <c r="H135" s="53"/>
      <c r="I135" s="51"/>
      <c r="J135" s="51"/>
      <c r="K135" s="51"/>
    </row>
    <row r="136" spans="1:12" ht="15" x14ac:dyDescent="0.25">
      <c r="A136" s="1025" t="s">
        <v>1054</v>
      </c>
      <c r="B136" s="1017">
        <v>500000</v>
      </c>
      <c r="C136" s="1017">
        <v>500000</v>
      </c>
      <c r="D136" s="1017">
        <v>600000</v>
      </c>
      <c r="E136" s="662">
        <f t="shared" si="8"/>
        <v>100000</v>
      </c>
      <c r="H136" s="53"/>
      <c r="I136" s="51"/>
      <c r="J136" s="51"/>
      <c r="K136" s="51"/>
    </row>
    <row r="137" spans="1:12" ht="19.2" customHeight="1" x14ac:dyDescent="0.25">
      <c r="A137" s="1022" t="s">
        <v>337</v>
      </c>
      <c r="B137" s="1017">
        <v>2800000</v>
      </c>
      <c r="C137" s="1017">
        <v>2800000</v>
      </c>
      <c r="D137" s="1017">
        <v>2800000</v>
      </c>
      <c r="E137" s="662">
        <f t="shared" si="8"/>
        <v>0</v>
      </c>
      <c r="H137" s="53"/>
      <c r="I137" s="51"/>
      <c r="J137" s="51"/>
      <c r="K137" s="51"/>
    </row>
    <row r="138" spans="1:12" ht="19.2" customHeight="1" x14ac:dyDescent="0.25">
      <c r="A138" s="1022" t="s">
        <v>338</v>
      </c>
      <c r="B138" s="1017">
        <v>1800000</v>
      </c>
      <c r="C138" s="1017">
        <v>1800000</v>
      </c>
      <c r="D138" s="1017">
        <v>1800000</v>
      </c>
      <c r="E138" s="662">
        <f t="shared" si="8"/>
        <v>0</v>
      </c>
      <c r="H138" s="53"/>
      <c r="I138" s="51"/>
      <c r="J138" s="51"/>
      <c r="K138" s="51"/>
    </row>
    <row r="139" spans="1:12" s="1" customFormat="1" ht="28.5" customHeight="1" x14ac:dyDescent="0.3">
      <c r="A139" s="1023" t="s">
        <v>148</v>
      </c>
      <c r="B139" s="91">
        <f>B140+B141+B142+B143+B144+B145+B146+B149+B150</f>
        <v>1327110133</v>
      </c>
      <c r="C139" s="91">
        <f>C140+C141+C142+C143+C144+C145+C146+C149+C150</f>
        <v>1329576429</v>
      </c>
      <c r="D139" s="91">
        <f>D140+D141+D142+D143+D144+D145+D146+D149+D150</f>
        <v>1386891511</v>
      </c>
      <c r="E139" s="205">
        <f>E140+E141+E142+E143+E144+E145+E146+E149+E150</f>
        <v>57315082</v>
      </c>
      <c r="H139" s="46"/>
      <c r="I139" s="98"/>
      <c r="J139" s="98"/>
      <c r="K139" s="98"/>
    </row>
    <row r="140" spans="1:12" ht="28.5" customHeight="1" x14ac:dyDescent="0.25">
      <c r="A140" s="1026" t="s">
        <v>173</v>
      </c>
      <c r="B140" s="1017">
        <v>5375841</v>
      </c>
      <c r="C140" s="92">
        <v>5379930</v>
      </c>
      <c r="D140" s="92">
        <v>5379930</v>
      </c>
      <c r="E140" s="662">
        <f>D140-C140</f>
        <v>0</v>
      </c>
      <c r="H140" s="46"/>
      <c r="I140" s="39"/>
      <c r="J140" s="39"/>
      <c r="K140" s="39"/>
      <c r="L140" s="1"/>
    </row>
    <row r="141" spans="1:12" ht="30" x14ac:dyDescent="0.3">
      <c r="A141" s="1026" t="s">
        <v>174</v>
      </c>
      <c r="B141" s="1017"/>
      <c r="C141" s="1198"/>
      <c r="D141" s="1198"/>
      <c r="E141" s="662">
        <f t="shared" ref="E141:E145" si="9">D141-C141</f>
        <v>0</v>
      </c>
      <c r="H141" s="46"/>
      <c r="I141" s="39"/>
      <c r="J141" s="39"/>
      <c r="K141" s="39"/>
    </row>
    <row r="142" spans="1:12" ht="48.75" customHeight="1" x14ac:dyDescent="0.3">
      <c r="A142" s="1026" t="s">
        <v>175</v>
      </c>
      <c r="B142" s="1019"/>
      <c r="C142" s="1198"/>
      <c r="D142" s="1198"/>
      <c r="E142" s="662">
        <f t="shared" si="9"/>
        <v>0</v>
      </c>
      <c r="H142" s="46"/>
      <c r="I142" s="39"/>
      <c r="J142" s="39"/>
      <c r="K142" s="39"/>
    </row>
    <row r="143" spans="1:12" ht="48.75" customHeight="1" x14ac:dyDescent="0.3">
      <c r="A143" s="1026" t="s">
        <v>176</v>
      </c>
      <c r="B143" s="1017"/>
      <c r="C143" s="1198"/>
      <c r="D143" s="1198"/>
      <c r="E143" s="662">
        <f t="shared" si="9"/>
        <v>0</v>
      </c>
      <c r="H143" s="46"/>
      <c r="I143" s="39"/>
      <c r="J143" s="39"/>
      <c r="K143" s="39"/>
    </row>
    <row r="144" spans="1:12" ht="15" x14ac:dyDescent="0.25">
      <c r="A144" s="1026" t="s">
        <v>177</v>
      </c>
      <c r="B144" s="92">
        <f>'5b. sz. tábla  (2)'!B5</f>
        <v>519843244</v>
      </c>
      <c r="C144" s="92">
        <f>'5b. sz. tábla  (2)'!C5</f>
        <v>517664543</v>
      </c>
      <c r="D144" s="92">
        <f>'5b. sz. tábla  (2)'!D5</f>
        <v>510640525</v>
      </c>
      <c r="E144" s="662">
        <f t="shared" si="9"/>
        <v>-7024018</v>
      </c>
      <c r="H144" s="52"/>
      <c r="I144" s="51"/>
      <c r="J144" s="51"/>
      <c r="K144" s="51"/>
    </row>
    <row r="145" spans="1:12" ht="30" x14ac:dyDescent="0.25">
      <c r="A145" s="1026" t="s">
        <v>178</v>
      </c>
      <c r="B145" s="1017"/>
      <c r="C145" s="1199"/>
      <c r="D145" s="1199"/>
      <c r="E145" s="662">
        <f t="shared" si="9"/>
        <v>0</v>
      </c>
      <c r="H145" s="52"/>
      <c r="I145" s="51"/>
      <c r="J145" s="51"/>
      <c r="K145" s="51"/>
    </row>
    <row r="146" spans="1:12" ht="48.75" customHeight="1" x14ac:dyDescent="0.25">
      <c r="A146" s="1026" t="s">
        <v>406</v>
      </c>
      <c r="B146" s="92">
        <f>SUM(B147:B147)</f>
        <v>0</v>
      </c>
      <c r="C146" s="92">
        <f>SUM(C147:C147)</f>
        <v>1000000</v>
      </c>
      <c r="D146" s="92">
        <f>SUM(D147:D148)</f>
        <v>16000000</v>
      </c>
      <c r="E146" s="662">
        <f>D146-C146</f>
        <v>15000000</v>
      </c>
      <c r="F146" s="43"/>
      <c r="H146" s="52"/>
      <c r="I146" s="51"/>
      <c r="J146" s="51"/>
      <c r="K146" s="51"/>
    </row>
    <row r="147" spans="1:12" ht="19.5" customHeight="1" x14ac:dyDescent="0.25">
      <c r="A147" s="980" t="s">
        <v>970</v>
      </c>
      <c r="B147" s="1017">
        <v>0</v>
      </c>
      <c r="C147" s="1199">
        <v>1000000</v>
      </c>
      <c r="D147" s="1199">
        <v>1000000</v>
      </c>
      <c r="E147" s="662">
        <f>D147-C147</f>
        <v>0</v>
      </c>
      <c r="F147" s="43"/>
      <c r="H147" s="52"/>
      <c r="I147" s="51"/>
      <c r="J147" s="51"/>
      <c r="K147" s="51"/>
    </row>
    <row r="148" spans="1:12" ht="30" x14ac:dyDescent="0.25">
      <c r="A148" s="980" t="s">
        <v>1057</v>
      </c>
      <c r="B148" s="1017"/>
      <c r="C148" s="1199"/>
      <c r="D148" s="1199">
        <v>15000000</v>
      </c>
      <c r="E148" s="662">
        <f>D148-C148</f>
        <v>15000000</v>
      </c>
      <c r="F148" s="43"/>
      <c r="H148" s="52"/>
      <c r="I148" s="51"/>
      <c r="J148" s="51"/>
      <c r="K148" s="51"/>
    </row>
    <row r="149" spans="1:12" ht="15" x14ac:dyDescent="0.25">
      <c r="A149" s="1026" t="s">
        <v>179</v>
      </c>
      <c r="B149" s="92">
        <f>'5b. sz. tábla  (2)'!B12</f>
        <v>801891048</v>
      </c>
      <c r="C149" s="92">
        <f>'5b. sz. tábla  (2)'!C12</f>
        <v>805531956</v>
      </c>
      <c r="D149" s="92">
        <f>'5b. sz. tábla  (2)'!D12</f>
        <v>854871056</v>
      </c>
      <c r="E149" s="662">
        <f>D149-C149</f>
        <v>49339100</v>
      </c>
      <c r="H149" s="52"/>
      <c r="I149" s="51"/>
      <c r="J149" s="51"/>
      <c r="K149" s="51"/>
    </row>
    <row r="150" spans="1:12" ht="15" x14ac:dyDescent="0.25">
      <c r="A150" s="1026"/>
      <c r="B150" s="1017"/>
      <c r="C150" s="1203"/>
      <c r="D150" s="1203"/>
      <c r="E150" s="662"/>
      <c r="H150" s="52"/>
      <c r="I150" s="51"/>
      <c r="J150" s="51"/>
      <c r="K150" s="51"/>
    </row>
    <row r="151" spans="1:12" s="1" customFormat="1" ht="16.2" thickBot="1" x14ac:dyDescent="0.35">
      <c r="A151" s="1027" t="s">
        <v>180</v>
      </c>
      <c r="B151" s="1028">
        <f>B37+B57+B76+B129+B139</f>
        <v>2593229549</v>
      </c>
      <c r="C151" s="1028">
        <f>C37+C57+C76+C129+C139</f>
        <v>2705517064</v>
      </c>
      <c r="D151" s="1028">
        <f>D37+D57+D76+D129+D139</f>
        <v>2856532856</v>
      </c>
      <c r="E151" s="1028">
        <f>E37+E57+E76+E129+E139</f>
        <v>151015792</v>
      </c>
      <c r="F151" s="2"/>
      <c r="H151" s="48"/>
      <c r="I151" s="49"/>
      <c r="J151" s="49"/>
      <c r="K151" s="49"/>
    </row>
    <row r="152" spans="1:12" x14ac:dyDescent="0.25">
      <c r="L152" s="1"/>
    </row>
  </sheetData>
  <sheetProtection selectLockedCells="1" selectUnlockedCells="1"/>
  <mergeCells count="1">
    <mergeCell ref="A3:E3"/>
  </mergeCells>
  <pageMargins left="0.74791666666666667" right="0.74791666666666667" top="0.98402777777777772" bottom="0.98402777777777772" header="0.51180555555555551" footer="0.51180555555555551"/>
  <pageSetup paperSize="9" scale="58" firstPageNumber="0" orientation="portrait" r:id="rId1"/>
  <headerFooter alignWithMargins="0">
    <oddHeader xml:space="preserve">&amp;C
5. melléklet a 31/2019. (XII.13.) önkormányzati rendelethez
 az önkormányzat 2019. évi költségvetéséről szóló 6/2019. (II.28.) önkormányzati rendelet 
5. mellékletének helyébe a következő 5. melléklet lép:  
&amp;R&amp;P. oldal
</oddHeader>
  </headerFooter>
  <rowBreaks count="3" manualBreakCount="3">
    <brk id="34" max="4" man="1"/>
    <brk id="74" max="3" man="1"/>
    <brk id="110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F74"/>
  <sheetViews>
    <sheetView view="pageLayout" topLeftCell="A43" zoomScaleNormal="100" zoomScaleSheetLayoutView="80" workbookViewId="0">
      <selection activeCell="G52" sqref="G52"/>
    </sheetView>
  </sheetViews>
  <sheetFormatPr defaultColWidth="9.109375" defaultRowHeight="15.75" customHeight="1" x14ac:dyDescent="0.25"/>
  <cols>
    <col min="1" max="1" width="56.6640625" style="282" customWidth="1"/>
    <col min="2" max="2" width="16.109375" style="286" customWidth="1"/>
    <col min="3" max="4" width="16.33203125" style="286" customWidth="1"/>
    <col min="5" max="5" width="17.6640625" style="286" customWidth="1"/>
    <col min="6" max="7" width="13.6640625" style="54" customWidth="1"/>
    <col min="8" max="8" width="10.33203125" style="54" customWidth="1"/>
    <col min="9" max="9" width="16.88671875" style="54" customWidth="1"/>
    <col min="10" max="10" width="15.6640625" style="54" customWidth="1"/>
    <col min="11" max="11" width="11.33203125" style="54" customWidth="1"/>
    <col min="12" max="12" width="11" style="54" customWidth="1"/>
    <col min="13" max="13" width="13.6640625" style="54" customWidth="1"/>
    <col min="14" max="14" width="16.33203125" style="54" customWidth="1"/>
    <col min="15" max="15" width="14.33203125" style="54" customWidth="1"/>
    <col min="16" max="16" width="13" style="54" customWidth="1"/>
    <col min="17" max="17" width="14.109375" style="54" customWidth="1"/>
    <col min="18" max="18" width="13.33203125" style="54" customWidth="1"/>
    <col min="19" max="16384" width="9.109375" style="54"/>
  </cols>
  <sheetData>
    <row r="2" spans="1:6" ht="15.75" customHeight="1" x14ac:dyDescent="0.3">
      <c r="A2" s="1447" t="s">
        <v>649</v>
      </c>
      <c r="B2" s="1447"/>
      <c r="C2" s="1447"/>
      <c r="D2" s="1447"/>
      <c r="E2" s="1447"/>
    </row>
    <row r="3" spans="1:6" ht="15.75" customHeight="1" thickBot="1" x14ac:dyDescent="0.35">
      <c r="A3" s="572"/>
      <c r="B3" s="572"/>
      <c r="C3" s="572"/>
      <c r="D3" s="1180"/>
      <c r="E3" s="663"/>
    </row>
    <row r="4" spans="1:6" s="5" customFormat="1" ht="63.75" customHeight="1" thickBot="1" x14ac:dyDescent="0.3">
      <c r="A4" s="989" t="s">
        <v>328</v>
      </c>
      <c r="B4" s="550" t="s">
        <v>591</v>
      </c>
      <c r="C4" s="550" t="s">
        <v>978</v>
      </c>
      <c r="D4" s="550" t="s">
        <v>1044</v>
      </c>
      <c r="E4" s="966" t="s">
        <v>934</v>
      </c>
    </row>
    <row r="5" spans="1:6" s="5" customFormat="1" ht="18" customHeight="1" x14ac:dyDescent="0.3">
      <c r="A5" s="986" t="s">
        <v>273</v>
      </c>
      <c r="B5" s="987">
        <f>SUM(B6:B11)</f>
        <v>519843244</v>
      </c>
      <c r="C5" s="987">
        <f>SUM(C6:C11)</f>
        <v>517664543</v>
      </c>
      <c r="D5" s="987">
        <f>SUM(D6:D11)</f>
        <v>510640525</v>
      </c>
      <c r="E5" s="988">
        <f>D5-C5</f>
        <v>-7024018</v>
      </c>
      <c r="F5" s="6"/>
    </row>
    <row r="6" spans="1:6" s="5" customFormat="1" ht="18" customHeight="1" x14ac:dyDescent="0.25">
      <c r="A6" s="980" t="s">
        <v>181</v>
      </c>
      <c r="B6" s="978"/>
      <c r="C6" s="1204"/>
      <c r="D6" s="1204"/>
      <c r="E6" s="664">
        <f>D6-C6</f>
        <v>0</v>
      </c>
    </row>
    <row r="7" spans="1:6" s="5" customFormat="1" ht="17.399999999999999" customHeight="1" x14ac:dyDescent="0.25">
      <c r="A7" s="981" t="s">
        <v>182</v>
      </c>
      <c r="B7" s="968"/>
      <c r="C7" s="1205">
        <v>1775559</v>
      </c>
      <c r="D7" s="1205">
        <v>1775559</v>
      </c>
      <c r="E7" s="665">
        <f>D7-C7</f>
        <v>0</v>
      </c>
    </row>
    <row r="8" spans="1:6" s="5" customFormat="1" ht="15.75" customHeight="1" x14ac:dyDescent="0.25">
      <c r="A8" s="981" t="s">
        <v>407</v>
      </c>
      <c r="B8" s="968">
        <v>1350000</v>
      </c>
      <c r="C8" s="1205">
        <v>1350000</v>
      </c>
      <c r="D8" s="1205">
        <v>1350000</v>
      </c>
      <c r="E8" s="665">
        <f t="shared" ref="E8:E11" si="0">D8-C8</f>
        <v>0</v>
      </c>
    </row>
    <row r="9" spans="1:6" s="5" customFormat="1" ht="18" customHeight="1" x14ac:dyDescent="0.25">
      <c r="A9" s="982" t="s">
        <v>183</v>
      </c>
      <c r="B9" s="968">
        <v>157513843</v>
      </c>
      <c r="C9" s="1205">
        <v>151358319</v>
      </c>
      <c r="D9" s="1205">
        <v>143129169</v>
      </c>
      <c r="E9" s="665">
        <f t="shared" si="0"/>
        <v>-8229150</v>
      </c>
    </row>
    <row r="10" spans="1:6" s="5" customFormat="1" ht="18" customHeight="1" x14ac:dyDescent="0.25">
      <c r="A10" s="982" t="s">
        <v>192</v>
      </c>
      <c r="B10" s="968">
        <v>360979401</v>
      </c>
      <c r="C10" s="1205">
        <v>362284269</v>
      </c>
      <c r="D10" s="1205">
        <v>363489401</v>
      </c>
      <c r="E10" s="665">
        <f t="shared" si="0"/>
        <v>1205132</v>
      </c>
    </row>
    <row r="11" spans="1:6" s="5" customFormat="1" ht="30" x14ac:dyDescent="0.25">
      <c r="A11" s="982" t="s">
        <v>943</v>
      </c>
      <c r="B11" s="968"/>
      <c r="C11" s="1205">
        <v>896396</v>
      </c>
      <c r="D11" s="1205">
        <v>896396</v>
      </c>
      <c r="E11" s="665">
        <f t="shared" si="0"/>
        <v>0</v>
      </c>
    </row>
    <row r="12" spans="1:6" s="5" customFormat="1" ht="17.399999999999999" customHeight="1" x14ac:dyDescent="0.3">
      <c r="A12" s="979" t="s">
        <v>274</v>
      </c>
      <c r="B12" s="91">
        <f>SUM(B13:B70)</f>
        <v>801891048</v>
      </c>
      <c r="C12" s="91">
        <f>SUM(C13:C71)</f>
        <v>805531956</v>
      </c>
      <c r="D12" s="91">
        <f>SUM(D13:D72)</f>
        <v>854871056</v>
      </c>
      <c r="E12" s="205">
        <f>D12-C12</f>
        <v>49339100</v>
      </c>
      <c r="F12" s="6"/>
    </row>
    <row r="13" spans="1:6" ht="16.5" customHeight="1" x14ac:dyDescent="0.25">
      <c r="A13" s="981" t="s">
        <v>193</v>
      </c>
      <c r="B13" s="968"/>
      <c r="C13" s="968">
        <v>6489372</v>
      </c>
      <c r="D13" s="968">
        <v>6489372</v>
      </c>
      <c r="E13" s="665">
        <f>D13-C13</f>
        <v>0</v>
      </c>
    </row>
    <row r="14" spans="1:6" ht="16.5" customHeight="1" x14ac:dyDescent="0.25">
      <c r="A14" s="981" t="s">
        <v>194</v>
      </c>
      <c r="B14" s="968">
        <v>1500000</v>
      </c>
      <c r="C14" s="968">
        <v>300000</v>
      </c>
      <c r="D14" s="968">
        <v>300000</v>
      </c>
      <c r="E14" s="665">
        <f t="shared" ref="E14:E42" si="1">D14-C14</f>
        <v>0</v>
      </c>
    </row>
    <row r="15" spans="1:6" ht="16.5" customHeight="1" x14ac:dyDescent="0.25">
      <c r="A15" s="981" t="s">
        <v>195</v>
      </c>
      <c r="B15" s="968">
        <v>1000000</v>
      </c>
      <c r="C15" s="968">
        <v>1000000</v>
      </c>
      <c r="D15" s="968">
        <v>1000000</v>
      </c>
      <c r="E15" s="665">
        <f t="shared" si="1"/>
        <v>0</v>
      </c>
    </row>
    <row r="16" spans="1:6" ht="16.5" customHeight="1" x14ac:dyDescent="0.25">
      <c r="A16" s="983" t="s">
        <v>356</v>
      </c>
      <c r="B16" s="968">
        <v>49141700</v>
      </c>
      <c r="C16" s="968">
        <v>54141700</v>
      </c>
      <c r="D16" s="968">
        <v>54141700</v>
      </c>
      <c r="E16" s="665">
        <f t="shared" si="1"/>
        <v>0</v>
      </c>
    </row>
    <row r="17" spans="1:5" ht="16.5" customHeight="1" x14ac:dyDescent="0.25">
      <c r="A17" s="981" t="s">
        <v>196</v>
      </c>
      <c r="B17" s="968">
        <v>1400000</v>
      </c>
      <c r="C17" s="968">
        <v>1400000</v>
      </c>
      <c r="D17" s="968">
        <v>1400000</v>
      </c>
      <c r="E17" s="665">
        <f t="shared" si="1"/>
        <v>0</v>
      </c>
    </row>
    <row r="18" spans="1:5" ht="16.5" customHeight="1" x14ac:dyDescent="0.25">
      <c r="A18" s="980" t="s">
        <v>197</v>
      </c>
      <c r="B18" s="968">
        <v>2500000</v>
      </c>
      <c r="C18" s="968">
        <v>2500000</v>
      </c>
      <c r="D18" s="968">
        <v>2500000</v>
      </c>
      <c r="E18" s="665">
        <f t="shared" si="1"/>
        <v>0</v>
      </c>
    </row>
    <row r="19" spans="1:5" ht="16.5" customHeight="1" x14ac:dyDescent="0.25">
      <c r="A19" s="981" t="s">
        <v>198</v>
      </c>
      <c r="B19" s="968">
        <v>200000</v>
      </c>
      <c r="C19" s="968">
        <v>200000</v>
      </c>
      <c r="D19" s="968">
        <v>200000</v>
      </c>
      <c r="E19" s="665">
        <f t="shared" si="1"/>
        <v>0</v>
      </c>
    </row>
    <row r="20" spans="1:5" ht="16.5" customHeight="1" x14ac:dyDescent="0.25">
      <c r="A20" s="981" t="s">
        <v>199</v>
      </c>
      <c r="B20" s="968">
        <v>200000</v>
      </c>
      <c r="C20" s="968">
        <v>200000</v>
      </c>
      <c r="D20" s="968">
        <v>200000</v>
      </c>
      <c r="E20" s="665">
        <f t="shared" si="1"/>
        <v>0</v>
      </c>
    </row>
    <row r="21" spans="1:5" ht="16.5" customHeight="1" x14ac:dyDescent="0.25">
      <c r="A21" s="981" t="s">
        <v>200</v>
      </c>
      <c r="B21" s="968">
        <v>400000</v>
      </c>
      <c r="C21" s="968">
        <v>400000</v>
      </c>
      <c r="D21" s="968">
        <v>400000</v>
      </c>
      <c r="E21" s="665">
        <f t="shared" si="1"/>
        <v>0</v>
      </c>
    </row>
    <row r="22" spans="1:5" ht="16.5" customHeight="1" x14ac:dyDescent="0.25">
      <c r="A22" s="981" t="s">
        <v>201</v>
      </c>
      <c r="B22" s="968">
        <v>2000000</v>
      </c>
      <c r="C22" s="968">
        <v>2000000</v>
      </c>
      <c r="D22" s="968">
        <v>2000000</v>
      </c>
      <c r="E22" s="665">
        <f t="shared" si="1"/>
        <v>0</v>
      </c>
    </row>
    <row r="23" spans="1:5" ht="16.5" customHeight="1" x14ac:dyDescent="0.25">
      <c r="A23" s="981" t="s">
        <v>202</v>
      </c>
      <c r="B23" s="968">
        <v>2100000</v>
      </c>
      <c r="C23" s="968">
        <v>2100000</v>
      </c>
      <c r="D23" s="968">
        <v>2100000</v>
      </c>
      <c r="E23" s="665">
        <f t="shared" si="1"/>
        <v>0</v>
      </c>
    </row>
    <row r="24" spans="1:5" ht="16.5" customHeight="1" x14ac:dyDescent="0.25">
      <c r="A24" s="981" t="s">
        <v>712</v>
      </c>
      <c r="B24" s="968">
        <f>102190000-23440000</f>
        <v>78750000</v>
      </c>
      <c r="C24" s="968">
        <f>102190000-23440000</f>
        <v>78750000</v>
      </c>
      <c r="D24" s="968">
        <f>102190000-23440000</f>
        <v>78750000</v>
      </c>
      <c r="E24" s="665">
        <f t="shared" si="1"/>
        <v>0</v>
      </c>
    </row>
    <row r="25" spans="1:5" ht="16.5" customHeight="1" x14ac:dyDescent="0.25">
      <c r="A25" s="981" t="s">
        <v>714</v>
      </c>
      <c r="B25" s="968">
        <v>23440000</v>
      </c>
      <c r="C25" s="968">
        <v>23440000</v>
      </c>
      <c r="D25" s="968">
        <v>23440000</v>
      </c>
      <c r="E25" s="665">
        <f t="shared" si="1"/>
        <v>0</v>
      </c>
    </row>
    <row r="26" spans="1:5" ht="16.5" customHeight="1" x14ac:dyDescent="0.25">
      <c r="A26" s="981" t="s">
        <v>203</v>
      </c>
      <c r="B26" s="968">
        <v>600000</v>
      </c>
      <c r="C26" s="968">
        <v>600000</v>
      </c>
      <c r="D26" s="968">
        <v>600000</v>
      </c>
      <c r="E26" s="665">
        <f t="shared" si="1"/>
        <v>0</v>
      </c>
    </row>
    <row r="27" spans="1:5" ht="15" customHeight="1" x14ac:dyDescent="0.25">
      <c r="A27" s="981" t="s">
        <v>204</v>
      </c>
      <c r="B27" s="968">
        <v>484000</v>
      </c>
      <c r="C27" s="968">
        <v>484000</v>
      </c>
      <c r="D27" s="968">
        <v>484000</v>
      </c>
      <c r="E27" s="665">
        <f t="shared" si="1"/>
        <v>0</v>
      </c>
    </row>
    <row r="28" spans="1:5" ht="15" customHeight="1" x14ac:dyDescent="0.25">
      <c r="A28" s="981" t="s">
        <v>205</v>
      </c>
      <c r="B28" s="968">
        <v>326000</v>
      </c>
      <c r="C28" s="968">
        <v>326000</v>
      </c>
      <c r="D28" s="968">
        <v>326000</v>
      </c>
      <c r="E28" s="665">
        <f t="shared" si="1"/>
        <v>0</v>
      </c>
    </row>
    <row r="29" spans="1:5" ht="15" customHeight="1" x14ac:dyDescent="0.25">
      <c r="A29" s="981" t="s">
        <v>206</v>
      </c>
      <c r="B29" s="968">
        <v>246000</v>
      </c>
      <c r="C29" s="968">
        <v>246000</v>
      </c>
      <c r="D29" s="968">
        <v>246000</v>
      </c>
      <c r="E29" s="665">
        <f t="shared" si="1"/>
        <v>0</v>
      </c>
    </row>
    <row r="30" spans="1:5" ht="15" customHeight="1" x14ac:dyDescent="0.25">
      <c r="A30" s="981" t="s">
        <v>207</v>
      </c>
      <c r="B30" s="968">
        <v>2288000</v>
      </c>
      <c r="C30" s="968">
        <v>2288000</v>
      </c>
      <c r="D30" s="968">
        <v>2288000</v>
      </c>
      <c r="E30" s="665">
        <f t="shared" si="1"/>
        <v>0</v>
      </c>
    </row>
    <row r="31" spans="1:5" ht="16.5" customHeight="1" x14ac:dyDescent="0.25">
      <c r="A31" s="981" t="s">
        <v>208</v>
      </c>
      <c r="B31" s="968">
        <v>4279000</v>
      </c>
      <c r="C31" s="968">
        <v>4463147</v>
      </c>
      <c r="D31" s="968">
        <v>4463147</v>
      </c>
      <c r="E31" s="665">
        <f t="shared" si="1"/>
        <v>0</v>
      </c>
    </row>
    <row r="32" spans="1:5" ht="16.5" customHeight="1" x14ac:dyDescent="0.25">
      <c r="A32" s="981" t="s">
        <v>209</v>
      </c>
      <c r="B32" s="968">
        <v>400000</v>
      </c>
      <c r="C32" s="968">
        <v>290000</v>
      </c>
      <c r="D32" s="968">
        <v>290000</v>
      </c>
      <c r="E32" s="665">
        <f t="shared" si="1"/>
        <v>0</v>
      </c>
    </row>
    <row r="33" spans="1:5" ht="16.5" customHeight="1" x14ac:dyDescent="0.25">
      <c r="A33" s="981" t="s">
        <v>210</v>
      </c>
      <c r="B33" s="968">
        <v>270000</v>
      </c>
      <c r="C33" s="968">
        <v>230000</v>
      </c>
      <c r="D33" s="968">
        <v>230000</v>
      </c>
      <c r="E33" s="665">
        <f t="shared" si="1"/>
        <v>0</v>
      </c>
    </row>
    <row r="34" spans="1:5" ht="16.5" customHeight="1" x14ac:dyDescent="0.25">
      <c r="A34" s="981" t="s">
        <v>211</v>
      </c>
      <c r="B34" s="968">
        <v>1675000</v>
      </c>
      <c r="C34" s="1205">
        <v>1473000</v>
      </c>
      <c r="D34" s="1205">
        <v>1473000</v>
      </c>
      <c r="E34" s="665">
        <f t="shared" si="1"/>
        <v>0</v>
      </c>
    </row>
    <row r="35" spans="1:5" ht="30" x14ac:dyDescent="0.25">
      <c r="A35" s="981" t="s">
        <v>212</v>
      </c>
      <c r="B35" s="968">
        <v>800000</v>
      </c>
      <c r="C35" s="968">
        <v>800000</v>
      </c>
      <c r="D35" s="968">
        <v>800000</v>
      </c>
      <c r="E35" s="665">
        <f t="shared" si="1"/>
        <v>0</v>
      </c>
    </row>
    <row r="36" spans="1:5" ht="30" x14ac:dyDescent="0.25">
      <c r="A36" s="981" t="s">
        <v>213</v>
      </c>
      <c r="B36" s="968">
        <v>3500000</v>
      </c>
      <c r="C36" s="968">
        <v>3500000</v>
      </c>
      <c r="D36" s="968">
        <v>3500000</v>
      </c>
      <c r="E36" s="665">
        <f t="shared" si="1"/>
        <v>0</v>
      </c>
    </row>
    <row r="37" spans="1:5" ht="29.25" customHeight="1" x14ac:dyDescent="0.25">
      <c r="A37" s="981" t="s">
        <v>184</v>
      </c>
      <c r="B37" s="968">
        <v>500000</v>
      </c>
      <c r="C37" s="968">
        <v>500000</v>
      </c>
      <c r="D37" s="968">
        <v>500000</v>
      </c>
      <c r="E37" s="665">
        <f t="shared" si="1"/>
        <v>0</v>
      </c>
    </row>
    <row r="38" spans="1:5" ht="16.5" customHeight="1" x14ac:dyDescent="0.25">
      <c r="A38" s="981" t="s">
        <v>523</v>
      </c>
      <c r="B38" s="968">
        <v>34800000</v>
      </c>
      <c r="C38" s="968">
        <v>34800000</v>
      </c>
      <c r="D38" s="968">
        <v>34800000</v>
      </c>
      <c r="E38" s="665">
        <f t="shared" si="1"/>
        <v>0</v>
      </c>
    </row>
    <row r="39" spans="1:5" ht="16.5" customHeight="1" x14ac:dyDescent="0.25">
      <c r="A39" s="981" t="s">
        <v>214</v>
      </c>
      <c r="B39" s="968">
        <v>900000</v>
      </c>
      <c r="C39" s="968">
        <v>625000</v>
      </c>
      <c r="D39" s="968">
        <v>625000</v>
      </c>
      <c r="E39" s="665">
        <f t="shared" si="1"/>
        <v>0</v>
      </c>
    </row>
    <row r="40" spans="1:5" ht="21.15" customHeight="1" x14ac:dyDescent="0.25">
      <c r="A40" s="981" t="s">
        <v>215</v>
      </c>
      <c r="B40" s="968">
        <v>600000</v>
      </c>
      <c r="C40" s="968">
        <v>300000</v>
      </c>
      <c r="D40" s="968">
        <v>300000</v>
      </c>
      <c r="E40" s="665">
        <f t="shared" si="1"/>
        <v>0</v>
      </c>
    </row>
    <row r="41" spans="1:5" ht="16.5" customHeight="1" x14ac:dyDescent="0.25">
      <c r="A41" s="981" t="s">
        <v>216</v>
      </c>
      <c r="B41" s="968">
        <v>400000</v>
      </c>
      <c r="C41" s="968">
        <v>733455</v>
      </c>
      <c r="D41" s="968">
        <v>733455</v>
      </c>
      <c r="E41" s="665">
        <f t="shared" si="1"/>
        <v>0</v>
      </c>
    </row>
    <row r="42" spans="1:5" ht="30.6" thickBot="1" x14ac:dyDescent="0.3">
      <c r="A42" s="984" t="s">
        <v>217</v>
      </c>
      <c r="B42" s="985">
        <v>1810140</v>
      </c>
      <c r="C42" s="985">
        <v>1810140</v>
      </c>
      <c r="D42" s="985">
        <v>1810140</v>
      </c>
      <c r="E42" s="1279">
        <f t="shared" si="1"/>
        <v>0</v>
      </c>
    </row>
    <row r="43" spans="1:5" ht="17.399999999999999" customHeight="1" x14ac:dyDescent="0.3">
      <c r="A43" s="1447" t="s">
        <v>649</v>
      </c>
      <c r="B43" s="1447"/>
      <c r="C43" s="1447"/>
      <c r="D43" s="1447"/>
      <c r="E43" s="1447"/>
    </row>
    <row r="44" spans="1:5" ht="17.399999999999999" customHeight="1" thickBot="1" x14ac:dyDescent="0.3">
      <c r="A44" s="284"/>
      <c r="B44" s="229"/>
      <c r="C44" s="229"/>
      <c r="D44" s="229"/>
      <c r="E44" s="229"/>
    </row>
    <row r="45" spans="1:5" s="5" customFormat="1" ht="63.75" customHeight="1" thickBot="1" x14ac:dyDescent="0.3">
      <c r="A45" s="194" t="s">
        <v>328</v>
      </c>
      <c r="B45" s="550" t="s">
        <v>591</v>
      </c>
      <c r="C45" s="550" t="s">
        <v>978</v>
      </c>
      <c r="D45" s="550" t="s">
        <v>1044</v>
      </c>
      <c r="E45" s="966" t="s">
        <v>934</v>
      </c>
    </row>
    <row r="46" spans="1:5" s="558" customFormat="1" ht="22.65" customHeight="1" x14ac:dyDescent="0.25">
      <c r="A46" s="969" t="s">
        <v>585</v>
      </c>
      <c r="B46" s="967">
        <v>213987824</v>
      </c>
      <c r="C46" s="967">
        <v>204672345</v>
      </c>
      <c r="D46" s="967">
        <v>204672345</v>
      </c>
      <c r="E46" s="1277">
        <f>D46-C46</f>
        <v>0</v>
      </c>
    </row>
    <row r="47" spans="1:5" ht="29.25" customHeight="1" x14ac:dyDescent="0.25">
      <c r="A47" s="970" t="s">
        <v>218</v>
      </c>
      <c r="B47" s="968">
        <v>4000000</v>
      </c>
      <c r="C47" s="968">
        <v>4000000</v>
      </c>
      <c r="D47" s="968">
        <v>4000000</v>
      </c>
      <c r="E47" s="1277">
        <f t="shared" ref="E47:E72" si="2">D47-C47</f>
        <v>0</v>
      </c>
    </row>
    <row r="48" spans="1:5" ht="18" customHeight="1" x14ac:dyDescent="0.25">
      <c r="A48" s="283" t="s">
        <v>339</v>
      </c>
      <c r="B48" s="968">
        <v>4000000</v>
      </c>
      <c r="C48" s="968">
        <v>0</v>
      </c>
      <c r="D48" s="968">
        <v>0</v>
      </c>
      <c r="E48" s="1277">
        <f t="shared" si="2"/>
        <v>0</v>
      </c>
    </row>
    <row r="49" spans="1:5" ht="16.5" customHeight="1" x14ac:dyDescent="0.25">
      <c r="A49" s="285" t="s">
        <v>219</v>
      </c>
      <c r="B49" s="968">
        <v>188497000</v>
      </c>
      <c r="C49" s="968">
        <v>192497000</v>
      </c>
      <c r="D49" s="968">
        <v>196997000</v>
      </c>
      <c r="E49" s="1277">
        <f t="shared" si="2"/>
        <v>4500000</v>
      </c>
    </row>
    <row r="50" spans="1:5" ht="18" customHeight="1" x14ac:dyDescent="0.25">
      <c r="A50" s="971" t="s">
        <v>220</v>
      </c>
      <c r="B50" s="968">
        <v>800000</v>
      </c>
      <c r="C50" s="968">
        <v>800000</v>
      </c>
      <c r="D50" s="968">
        <v>800000</v>
      </c>
      <c r="E50" s="1277">
        <f t="shared" si="2"/>
        <v>0</v>
      </c>
    </row>
    <row r="51" spans="1:5" ht="18" customHeight="1" x14ac:dyDescent="0.25">
      <c r="A51" s="285" t="s">
        <v>229</v>
      </c>
      <c r="B51" s="968">
        <v>1000000</v>
      </c>
      <c r="C51" s="968">
        <v>1000000</v>
      </c>
      <c r="D51" s="968">
        <v>1000000</v>
      </c>
      <c r="E51" s="1277">
        <f t="shared" si="2"/>
        <v>0</v>
      </c>
    </row>
    <row r="52" spans="1:5" ht="15.75" customHeight="1" x14ac:dyDescent="0.25">
      <c r="A52" s="972" t="s">
        <v>230</v>
      </c>
      <c r="B52" s="968">
        <v>100000</v>
      </c>
      <c r="C52" s="968">
        <v>100000</v>
      </c>
      <c r="D52" s="968">
        <v>100000</v>
      </c>
      <c r="E52" s="1277">
        <f t="shared" si="2"/>
        <v>0</v>
      </c>
    </row>
    <row r="53" spans="1:5" ht="15.75" customHeight="1" x14ac:dyDescent="0.25">
      <c r="A53" s="972" t="s">
        <v>231</v>
      </c>
      <c r="B53" s="968">
        <v>32887000</v>
      </c>
      <c r="C53" s="968">
        <v>32887000</v>
      </c>
      <c r="D53" s="968">
        <v>32887000</v>
      </c>
      <c r="E53" s="1277">
        <f t="shared" si="2"/>
        <v>0</v>
      </c>
    </row>
    <row r="54" spans="1:5" ht="15.75" customHeight="1" x14ac:dyDescent="0.25">
      <c r="A54" s="972" t="s">
        <v>650</v>
      </c>
      <c r="B54" s="968">
        <v>60000</v>
      </c>
      <c r="C54" s="968">
        <v>0</v>
      </c>
      <c r="D54" s="968">
        <v>0</v>
      </c>
      <c r="E54" s="1277">
        <f t="shared" si="2"/>
        <v>0</v>
      </c>
    </row>
    <row r="55" spans="1:5" ht="15.75" customHeight="1" x14ac:dyDescent="0.25">
      <c r="A55" s="972" t="s">
        <v>232</v>
      </c>
      <c r="B55" s="968">
        <v>1100000</v>
      </c>
      <c r="C55" s="968">
        <v>1100000</v>
      </c>
      <c r="D55" s="968">
        <v>1100000</v>
      </c>
      <c r="E55" s="1277">
        <f t="shared" si="2"/>
        <v>0</v>
      </c>
    </row>
    <row r="56" spans="1:5" ht="15.75" customHeight="1" x14ac:dyDescent="0.25">
      <c r="A56" s="973" t="s">
        <v>233</v>
      </c>
      <c r="B56" s="968">
        <v>91000000</v>
      </c>
      <c r="C56" s="968">
        <v>91000000</v>
      </c>
      <c r="D56" s="968">
        <v>91000000</v>
      </c>
      <c r="E56" s="1277">
        <f t="shared" si="2"/>
        <v>0</v>
      </c>
    </row>
    <row r="57" spans="1:5" ht="30.75" customHeight="1" x14ac:dyDescent="0.25">
      <c r="A57" s="974" t="s">
        <v>975</v>
      </c>
      <c r="B57" s="968">
        <v>0</v>
      </c>
      <c r="C57" s="968">
        <v>0</v>
      </c>
      <c r="D57" s="968">
        <v>44819100</v>
      </c>
      <c r="E57" s="1277">
        <f t="shared" si="2"/>
        <v>44819100</v>
      </c>
    </row>
    <row r="58" spans="1:5" ht="15.75" customHeight="1" x14ac:dyDescent="0.25">
      <c r="A58" s="974" t="s">
        <v>234</v>
      </c>
      <c r="B58" s="968">
        <v>3750000</v>
      </c>
      <c r="C58" s="968">
        <v>3750000</v>
      </c>
      <c r="D58" s="968">
        <v>3750000</v>
      </c>
      <c r="E58" s="1277">
        <f t="shared" si="2"/>
        <v>0</v>
      </c>
    </row>
    <row r="59" spans="1:5" ht="15.75" customHeight="1" x14ac:dyDescent="0.25">
      <c r="A59" s="975" t="s">
        <v>350</v>
      </c>
      <c r="B59" s="968">
        <v>3600000</v>
      </c>
      <c r="C59" s="968">
        <v>3600000</v>
      </c>
      <c r="D59" s="968">
        <v>3600000</v>
      </c>
      <c r="E59" s="1277">
        <f t="shared" si="2"/>
        <v>0</v>
      </c>
    </row>
    <row r="60" spans="1:5" ht="15.75" customHeight="1" x14ac:dyDescent="0.25">
      <c r="A60" s="975" t="s">
        <v>651</v>
      </c>
      <c r="B60" s="968">
        <v>40000</v>
      </c>
      <c r="C60" s="968">
        <v>0</v>
      </c>
      <c r="D60" s="968">
        <v>0</v>
      </c>
      <c r="E60" s="1277">
        <f t="shared" si="2"/>
        <v>0</v>
      </c>
    </row>
    <row r="61" spans="1:5" ht="15.75" customHeight="1" x14ac:dyDescent="0.25">
      <c r="A61" s="975" t="s">
        <v>4</v>
      </c>
      <c r="B61" s="968">
        <v>1000000</v>
      </c>
      <c r="C61" s="968">
        <v>1000000</v>
      </c>
      <c r="D61" s="968">
        <v>1000000</v>
      </c>
      <c r="E61" s="1277">
        <f t="shared" si="2"/>
        <v>0</v>
      </c>
    </row>
    <row r="62" spans="1:5" ht="15.75" customHeight="1" x14ac:dyDescent="0.25">
      <c r="A62" s="975" t="s">
        <v>5</v>
      </c>
      <c r="B62" s="968">
        <v>1000000</v>
      </c>
      <c r="C62" s="968">
        <v>1000000</v>
      </c>
      <c r="D62" s="968">
        <v>1000000</v>
      </c>
      <c r="E62" s="1277">
        <f t="shared" si="2"/>
        <v>0</v>
      </c>
    </row>
    <row r="63" spans="1:5" ht="15" x14ac:dyDescent="0.25">
      <c r="A63" s="975" t="s">
        <v>384</v>
      </c>
      <c r="B63" s="968">
        <v>510000</v>
      </c>
      <c r="C63" s="968">
        <v>510000</v>
      </c>
      <c r="D63" s="968">
        <v>510000</v>
      </c>
      <c r="E63" s="1277">
        <f t="shared" si="2"/>
        <v>0</v>
      </c>
    </row>
    <row r="64" spans="1:5" ht="15.75" customHeight="1" x14ac:dyDescent="0.25">
      <c r="A64" s="975" t="s">
        <v>517</v>
      </c>
      <c r="B64" s="968">
        <v>6663948</v>
      </c>
      <c r="C64" s="968">
        <v>6663948</v>
      </c>
      <c r="D64" s="968">
        <v>6663948</v>
      </c>
      <c r="E64" s="1277">
        <f t="shared" si="2"/>
        <v>0</v>
      </c>
    </row>
    <row r="65" spans="1:5" ht="30" x14ac:dyDescent="0.25">
      <c r="A65" s="975" t="s">
        <v>1017</v>
      </c>
      <c r="B65" s="968">
        <v>885436</v>
      </c>
      <c r="C65" s="1206">
        <v>2611849</v>
      </c>
      <c r="D65" s="1206">
        <v>2611849</v>
      </c>
      <c r="E65" s="1277">
        <f t="shared" si="2"/>
        <v>0</v>
      </c>
    </row>
    <row r="66" spans="1:5" ht="15.75" customHeight="1" x14ac:dyDescent="0.25">
      <c r="A66" s="975" t="s">
        <v>0</v>
      </c>
      <c r="B66" s="968">
        <v>1000000</v>
      </c>
      <c r="C66" s="968">
        <v>1000000</v>
      </c>
      <c r="D66" s="968">
        <v>1000000</v>
      </c>
      <c r="E66" s="1277">
        <f t="shared" si="2"/>
        <v>0</v>
      </c>
    </row>
    <row r="67" spans="1:5" ht="30" x14ac:dyDescent="0.25">
      <c r="A67" s="975" t="s">
        <v>490</v>
      </c>
      <c r="B67" s="968">
        <v>2000000</v>
      </c>
      <c r="C67" s="968">
        <v>2000000</v>
      </c>
      <c r="D67" s="968">
        <v>2000000</v>
      </c>
      <c r="E67" s="1277">
        <f t="shared" si="2"/>
        <v>0</v>
      </c>
    </row>
    <row r="68" spans="1:5" ht="30" x14ac:dyDescent="0.25">
      <c r="A68" s="260" t="s">
        <v>945</v>
      </c>
      <c r="B68" s="967"/>
      <c r="C68" s="967">
        <v>1000000</v>
      </c>
      <c r="D68" s="967">
        <v>1000000</v>
      </c>
      <c r="E68" s="1277">
        <f t="shared" si="2"/>
        <v>0</v>
      </c>
    </row>
    <row r="69" spans="1:5" ht="30" x14ac:dyDescent="0.25">
      <c r="A69" s="1132" t="s">
        <v>944</v>
      </c>
      <c r="B69" s="968"/>
      <c r="C69" s="968">
        <v>50000</v>
      </c>
      <c r="D69" s="968">
        <v>50000</v>
      </c>
      <c r="E69" s="1277">
        <f t="shared" si="2"/>
        <v>0</v>
      </c>
    </row>
    <row r="70" spans="1:5" ht="15.75" customHeight="1" x14ac:dyDescent="0.25">
      <c r="A70" s="975" t="s">
        <v>652</v>
      </c>
      <c r="B70" s="968">
        <v>27500000</v>
      </c>
      <c r="C70" s="968">
        <v>27500000</v>
      </c>
      <c r="D70" s="968">
        <v>27500000</v>
      </c>
      <c r="E70" s="1277">
        <f t="shared" si="2"/>
        <v>0</v>
      </c>
    </row>
    <row r="71" spans="1:5" ht="30" x14ac:dyDescent="0.25">
      <c r="A71" s="975" t="s">
        <v>1016</v>
      </c>
      <c r="B71" s="1280"/>
      <c r="C71" s="1281">
        <v>400000</v>
      </c>
      <c r="D71" s="1281">
        <v>400000</v>
      </c>
      <c r="E71" s="1277">
        <f t="shared" si="2"/>
        <v>0</v>
      </c>
    </row>
    <row r="72" spans="1:5" ht="15" x14ac:dyDescent="0.25">
      <c r="A72" s="975" t="s">
        <v>1058</v>
      </c>
      <c r="B72" s="1280"/>
      <c r="C72" s="1281"/>
      <c r="D72" s="1281">
        <v>20000</v>
      </c>
      <c r="E72" s="1277">
        <f t="shared" si="2"/>
        <v>20000</v>
      </c>
    </row>
    <row r="73" spans="1:5" s="99" customFormat="1" ht="20.25" customHeight="1" thickBot="1" x14ac:dyDescent="0.35">
      <c r="A73" s="976" t="s">
        <v>139</v>
      </c>
      <c r="B73" s="230">
        <f>B12+B5</f>
        <v>1321734292</v>
      </c>
      <c r="C73" s="1276">
        <f>C12+C5</f>
        <v>1323196499</v>
      </c>
      <c r="D73" s="1276">
        <f>D12+D5</f>
        <v>1365511581</v>
      </c>
      <c r="E73" s="1278">
        <f>D73-C73</f>
        <v>42315082</v>
      </c>
    </row>
    <row r="74" spans="1:5" ht="20.25" customHeight="1" x14ac:dyDescent="0.25">
      <c r="A74" s="977"/>
      <c r="B74" s="287"/>
      <c r="E74" s="287"/>
    </row>
  </sheetData>
  <sheetProtection selectLockedCells="1" selectUnlockedCells="1"/>
  <mergeCells count="2">
    <mergeCell ref="A2:E2"/>
    <mergeCell ref="A43:E43"/>
  </mergeCells>
  <printOptions horizontalCentered="1"/>
  <pageMargins left="0.2361111111111111" right="0.2361111111111111" top="0.70833333333333326" bottom="0.39374999999999999" header="0.2361111111111111" footer="0.51180555555555551"/>
  <pageSetup paperSize="9" scale="77" firstPageNumber="0" orientation="portrait" r:id="rId1"/>
  <headerFooter alignWithMargins="0">
    <oddHeader>&amp;C5/b melléklet a 31/2019. (XII.13.) önkormányzati rendelethez
 az önkormányzat 2019. évi költségvetéséről szóló 6/2019. (II.28.) önkormányzati rendelet 
5/b. mellékletének helyébe a következő 5/b. melléklet lép:  
&amp;R&amp;P. oldal</oddHeader>
  </headerFooter>
  <rowBreaks count="2" manualBreakCount="2">
    <brk id="42" max="4" man="1"/>
    <brk id="7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25"/>
  <sheetViews>
    <sheetView view="pageLayout" zoomScaleNormal="100" zoomScaleSheetLayoutView="100" workbookViewId="0">
      <selection activeCell="H117" sqref="H117"/>
    </sheetView>
  </sheetViews>
  <sheetFormatPr defaultColWidth="9.109375" defaultRowHeight="13.8" x14ac:dyDescent="0.25"/>
  <cols>
    <col min="1" max="1" width="29.6640625" style="231" customWidth="1"/>
    <col min="2" max="2" width="13.44140625" style="231" customWidth="1"/>
    <col min="3" max="4" width="15.33203125" style="231" customWidth="1"/>
    <col min="5" max="5" width="13.44140625" style="898" customWidth="1"/>
    <col min="6" max="6" width="12.5546875" style="231" customWidth="1"/>
    <col min="7" max="7" width="13.6640625" style="231" customWidth="1"/>
    <col min="8" max="8" width="13" style="231" customWidth="1"/>
    <col min="9" max="9" width="13.88671875" style="231" customWidth="1"/>
    <col min="10" max="10" width="11.44140625" style="231" customWidth="1"/>
    <col min="11" max="11" width="12" style="231" customWidth="1"/>
    <col min="12" max="12" width="12.44140625" style="231" customWidth="1"/>
    <col min="13" max="13" width="13.109375" style="231" customWidth="1"/>
    <col min="14" max="16384" width="9.109375" style="231"/>
  </cols>
  <sheetData>
    <row r="1" spans="1:7" ht="15" customHeight="1" x14ac:dyDescent="0.25">
      <c r="A1" s="868"/>
      <c r="B1" s="869"/>
      <c r="C1" s="869"/>
      <c r="D1" s="869"/>
      <c r="E1" s="869"/>
    </row>
    <row r="2" spans="1:7" ht="29.25" customHeight="1" x14ac:dyDescent="0.25">
      <c r="A2" s="1448" t="s">
        <v>828</v>
      </c>
      <c r="B2" s="1448"/>
      <c r="C2" s="1448"/>
      <c r="D2" s="1448"/>
      <c r="E2" s="1448"/>
    </row>
    <row r="3" spans="1:7" ht="29.25" customHeight="1" thickBot="1" x14ac:dyDescent="0.3">
      <c r="A3" s="870"/>
      <c r="B3" s="870"/>
      <c r="C3" s="870"/>
      <c r="D3" s="870"/>
      <c r="E3" s="870"/>
    </row>
    <row r="4" spans="1:7" ht="48" customHeight="1" thickBot="1" x14ac:dyDescent="0.3">
      <c r="A4" s="871" t="s">
        <v>829</v>
      </c>
      <c r="B4" s="550" t="s">
        <v>591</v>
      </c>
      <c r="C4" s="550" t="s">
        <v>978</v>
      </c>
      <c r="D4" s="550" t="s">
        <v>1044</v>
      </c>
      <c r="E4" s="966" t="s">
        <v>934</v>
      </c>
    </row>
    <row r="5" spans="1:7" ht="15.6" x14ac:dyDescent="0.3">
      <c r="A5" s="995" t="s">
        <v>830</v>
      </c>
      <c r="B5" s="872"/>
      <c r="C5" s="1165"/>
      <c r="D5" s="1165"/>
      <c r="E5" s="873"/>
    </row>
    <row r="6" spans="1:7" ht="30" x14ac:dyDescent="0.25">
      <c r="A6" s="993" t="s">
        <v>831</v>
      </c>
      <c r="B6" s="874">
        <v>497459</v>
      </c>
      <c r="C6" s="874">
        <v>497459</v>
      </c>
      <c r="D6" s="874">
        <v>497459</v>
      </c>
      <c r="E6" s="875">
        <f>D6-C6</f>
        <v>0</v>
      </c>
      <c r="G6" s="876"/>
    </row>
    <row r="7" spans="1:7" ht="30" x14ac:dyDescent="0.25">
      <c r="A7" s="993" t="s">
        <v>832</v>
      </c>
      <c r="B7" s="874">
        <v>399999</v>
      </c>
      <c r="C7" s="874">
        <v>399999</v>
      </c>
      <c r="D7" s="874">
        <v>399999</v>
      </c>
      <c r="E7" s="875">
        <f t="shared" ref="E7:E15" si="0">D7-C7</f>
        <v>0</v>
      </c>
      <c r="G7" s="876"/>
    </row>
    <row r="8" spans="1:7" ht="15" x14ac:dyDescent="0.25">
      <c r="A8" s="877" t="s">
        <v>833</v>
      </c>
      <c r="B8" s="874">
        <v>300000</v>
      </c>
      <c r="C8" s="874">
        <v>300000</v>
      </c>
      <c r="D8" s="874">
        <v>300000</v>
      </c>
      <c r="E8" s="875">
        <f t="shared" si="0"/>
        <v>0</v>
      </c>
      <c r="G8" s="876"/>
    </row>
    <row r="9" spans="1:7" ht="15" x14ac:dyDescent="0.25">
      <c r="A9" s="877" t="s">
        <v>834</v>
      </c>
      <c r="B9" s="874">
        <v>2800000</v>
      </c>
      <c r="C9" s="874">
        <v>2800000</v>
      </c>
      <c r="D9" s="874">
        <v>2800000</v>
      </c>
      <c r="E9" s="875">
        <f t="shared" si="0"/>
        <v>0</v>
      </c>
      <c r="G9" s="876"/>
    </row>
    <row r="10" spans="1:7" ht="18" customHeight="1" x14ac:dyDescent="0.25">
      <c r="A10" s="877" t="s">
        <v>835</v>
      </c>
      <c r="B10" s="874">
        <v>1300000</v>
      </c>
      <c r="C10" s="874">
        <v>1300000</v>
      </c>
      <c r="D10" s="874">
        <v>1300000</v>
      </c>
      <c r="E10" s="875">
        <f t="shared" si="0"/>
        <v>0</v>
      </c>
      <c r="G10" s="876"/>
    </row>
    <row r="11" spans="1:7" ht="18" customHeight="1" x14ac:dyDescent="0.25">
      <c r="A11" s="1356" t="s">
        <v>946</v>
      </c>
      <c r="B11" s="874"/>
      <c r="C11" s="1166">
        <v>0</v>
      </c>
      <c r="D11" s="1166">
        <v>0</v>
      </c>
      <c r="E11" s="875">
        <f t="shared" si="0"/>
        <v>0</v>
      </c>
      <c r="G11" s="876"/>
    </row>
    <row r="12" spans="1:7" ht="18" customHeight="1" x14ac:dyDescent="0.25">
      <c r="A12" s="1356" t="s">
        <v>947</v>
      </c>
      <c r="B12" s="874"/>
      <c r="C12" s="1166">
        <v>0</v>
      </c>
      <c r="D12" s="1166">
        <v>0</v>
      </c>
      <c r="E12" s="875">
        <f t="shared" si="0"/>
        <v>0</v>
      </c>
      <c r="G12" s="876"/>
    </row>
    <row r="13" spans="1:7" ht="18" customHeight="1" x14ac:dyDescent="0.25">
      <c r="A13" s="1356" t="s">
        <v>948</v>
      </c>
      <c r="B13" s="874"/>
      <c r="C13" s="1166">
        <v>0</v>
      </c>
      <c r="D13" s="1166">
        <v>0</v>
      </c>
      <c r="E13" s="875">
        <f t="shared" si="0"/>
        <v>0</v>
      </c>
      <c r="G13" s="876"/>
    </row>
    <row r="14" spans="1:7" ht="18" customHeight="1" x14ac:dyDescent="0.25">
      <c r="A14" s="1356" t="s">
        <v>1059</v>
      </c>
      <c r="B14" s="874"/>
      <c r="C14" s="1166"/>
      <c r="D14" s="1166">
        <v>444500</v>
      </c>
      <c r="E14" s="875">
        <f t="shared" si="0"/>
        <v>444500</v>
      </c>
      <c r="G14" s="876"/>
    </row>
    <row r="15" spans="1:7" s="232" customFormat="1" ht="15.6" x14ac:dyDescent="0.3">
      <c r="A15" s="992" t="s">
        <v>139</v>
      </c>
      <c r="B15" s="879">
        <f>SUM(B6:B10)</f>
        <v>5297458</v>
      </c>
      <c r="C15" s="1167">
        <f>SUM(C6:C13)</f>
        <v>5297458</v>
      </c>
      <c r="D15" s="1167">
        <f>SUM(D6:D14)</f>
        <v>5741958</v>
      </c>
      <c r="E15" s="878">
        <f t="shared" si="0"/>
        <v>444500</v>
      </c>
    </row>
    <row r="16" spans="1:7" ht="15" x14ac:dyDescent="0.25">
      <c r="A16" s="993"/>
      <c r="B16" s="874"/>
      <c r="C16" s="1166"/>
      <c r="D16" s="1166"/>
      <c r="E16" s="875"/>
    </row>
    <row r="17" spans="1:7" ht="31.2" x14ac:dyDescent="0.3">
      <c r="A17" s="992" t="s">
        <v>1018</v>
      </c>
      <c r="B17" s="874"/>
      <c r="C17" s="1166"/>
      <c r="D17" s="1166"/>
      <c r="E17" s="875"/>
    </row>
    <row r="18" spans="1:7" ht="15" x14ac:dyDescent="0.25">
      <c r="A18" s="1356" t="s">
        <v>946</v>
      </c>
      <c r="B18" s="874"/>
      <c r="C18" s="874">
        <v>415000</v>
      </c>
      <c r="D18" s="874">
        <v>415000</v>
      </c>
      <c r="E18" s="875">
        <f t="shared" ref="E18:E21" si="1">D18-C18</f>
        <v>0</v>
      </c>
    </row>
    <row r="19" spans="1:7" ht="15" x14ac:dyDescent="0.25">
      <c r="A19" s="1356" t="s">
        <v>947</v>
      </c>
      <c r="B19" s="874"/>
      <c r="C19" s="874">
        <v>38100</v>
      </c>
      <c r="D19" s="874">
        <v>38100</v>
      </c>
      <c r="E19" s="875">
        <f t="shared" si="1"/>
        <v>0</v>
      </c>
    </row>
    <row r="20" spans="1:7" ht="15" x14ac:dyDescent="0.25">
      <c r="A20" s="1356" t="s">
        <v>948</v>
      </c>
      <c r="B20" s="874"/>
      <c r="C20" s="874">
        <v>381000</v>
      </c>
      <c r="D20" s="874">
        <v>381000</v>
      </c>
      <c r="E20" s="875">
        <f t="shared" si="1"/>
        <v>0</v>
      </c>
    </row>
    <row r="21" spans="1:7" s="232" customFormat="1" ht="15.6" x14ac:dyDescent="0.3">
      <c r="A21" s="992" t="s">
        <v>139</v>
      </c>
      <c r="B21" s="879">
        <v>0</v>
      </c>
      <c r="C21" s="1167">
        <f>SUM(C18:C20)</f>
        <v>834100</v>
      </c>
      <c r="D21" s="1167">
        <f>SUM(D18:D20)</f>
        <v>834100</v>
      </c>
      <c r="E21" s="878">
        <f t="shared" si="1"/>
        <v>0</v>
      </c>
    </row>
    <row r="22" spans="1:7" ht="15" x14ac:dyDescent="0.25">
      <c r="A22" s="993"/>
      <c r="B22" s="874"/>
      <c r="C22" s="1166"/>
      <c r="D22" s="1166"/>
      <c r="E22" s="875"/>
    </row>
    <row r="23" spans="1:7" ht="15.6" x14ac:dyDescent="0.3">
      <c r="A23" s="992" t="s">
        <v>1019</v>
      </c>
      <c r="B23" s="874"/>
      <c r="C23" s="1166"/>
      <c r="D23" s="1166"/>
      <c r="E23" s="875"/>
    </row>
    <row r="24" spans="1:7" ht="30" x14ac:dyDescent="0.25">
      <c r="A24" s="993" t="s">
        <v>836</v>
      </c>
      <c r="B24" s="874">
        <v>1498600</v>
      </c>
      <c r="C24" s="874">
        <v>1498600</v>
      </c>
      <c r="D24" s="874">
        <v>1498600</v>
      </c>
      <c r="E24" s="875">
        <f t="shared" ref="E24:E27" si="2">D24-C24</f>
        <v>0</v>
      </c>
    </row>
    <row r="25" spans="1:7" ht="30" x14ac:dyDescent="0.25">
      <c r="A25" s="993" t="s">
        <v>837</v>
      </c>
      <c r="B25" s="874">
        <v>100000</v>
      </c>
      <c r="C25" s="874">
        <v>100000</v>
      </c>
      <c r="D25" s="874">
        <v>100000</v>
      </c>
      <c r="E25" s="875">
        <f t="shared" si="2"/>
        <v>0</v>
      </c>
      <c r="F25" s="880"/>
    </row>
    <row r="26" spans="1:7" ht="27.6" x14ac:dyDescent="0.25">
      <c r="A26" s="877" t="s">
        <v>838</v>
      </c>
      <c r="B26" s="874">
        <v>150000</v>
      </c>
      <c r="C26" s="874">
        <v>150000</v>
      </c>
      <c r="D26" s="874">
        <v>0</v>
      </c>
      <c r="E26" s="875">
        <f t="shared" si="2"/>
        <v>-150000</v>
      </c>
      <c r="F26" s="880"/>
    </row>
    <row r="27" spans="1:7" s="232" customFormat="1" ht="15.6" x14ac:dyDescent="0.3">
      <c r="A27" s="992" t="s">
        <v>139</v>
      </c>
      <c r="B27" s="879">
        <f>SUM(B24:B26)</f>
        <v>1748600</v>
      </c>
      <c r="C27" s="1167">
        <f>SUM(C24:C26)</f>
        <v>1748600</v>
      </c>
      <c r="D27" s="1167">
        <f>SUM(D24:D26)</f>
        <v>1598600</v>
      </c>
      <c r="E27" s="878">
        <f t="shared" si="2"/>
        <v>-150000</v>
      </c>
    </row>
    <row r="28" spans="1:7" ht="15" x14ac:dyDescent="0.25">
      <c r="A28" s="993"/>
      <c r="B28" s="874"/>
      <c r="C28" s="1166"/>
      <c r="D28" s="1166"/>
      <c r="E28" s="875"/>
    </row>
    <row r="29" spans="1:7" ht="15.6" x14ac:dyDescent="0.3">
      <c r="A29" s="992" t="s">
        <v>839</v>
      </c>
      <c r="B29" s="874"/>
      <c r="C29" s="1166"/>
      <c r="D29" s="1166"/>
      <c r="E29" s="875"/>
    </row>
    <row r="30" spans="1:7" ht="15" x14ac:dyDescent="0.25">
      <c r="A30" s="993" t="s">
        <v>840</v>
      </c>
      <c r="B30" s="874">
        <v>2597150</v>
      </c>
      <c r="C30" s="874">
        <v>2597150</v>
      </c>
      <c r="D30" s="874">
        <v>2597150</v>
      </c>
      <c r="E30" s="875">
        <f t="shared" ref="E30:E40" si="3">D30-C30</f>
        <v>0</v>
      </c>
      <c r="G30" s="876"/>
    </row>
    <row r="31" spans="1:7" ht="15.75" customHeight="1" x14ac:dyDescent="0.25">
      <c r="A31" s="993" t="s">
        <v>841</v>
      </c>
      <c r="B31" s="874">
        <v>3000000</v>
      </c>
      <c r="C31" s="874">
        <v>3000000</v>
      </c>
      <c r="D31" s="874">
        <v>3000000</v>
      </c>
      <c r="E31" s="875">
        <f t="shared" si="3"/>
        <v>0</v>
      </c>
      <c r="G31" s="876"/>
    </row>
    <row r="32" spans="1:7" ht="30" x14ac:dyDescent="0.25">
      <c r="A32" s="993" t="s">
        <v>842</v>
      </c>
      <c r="B32" s="874">
        <v>1498600</v>
      </c>
      <c r="C32" s="874">
        <v>1498600</v>
      </c>
      <c r="D32" s="874">
        <v>1498600</v>
      </c>
      <c r="E32" s="875">
        <f t="shared" si="3"/>
        <v>0</v>
      </c>
      <c r="G32" s="876"/>
    </row>
    <row r="33" spans="1:9" ht="30" x14ac:dyDescent="0.25">
      <c r="A33" s="993" t="s">
        <v>843</v>
      </c>
      <c r="B33" s="874">
        <v>199390</v>
      </c>
      <c r="C33" s="874">
        <v>199390</v>
      </c>
      <c r="D33" s="874">
        <v>199390</v>
      </c>
      <c r="E33" s="875">
        <f t="shared" si="3"/>
        <v>0</v>
      </c>
      <c r="F33" s="881"/>
      <c r="G33" s="876"/>
    </row>
    <row r="34" spans="1:9" ht="15" x14ac:dyDescent="0.25">
      <c r="A34" s="993" t="s">
        <v>844</v>
      </c>
      <c r="B34" s="874">
        <v>896620</v>
      </c>
      <c r="C34" s="874">
        <v>896620</v>
      </c>
      <c r="D34" s="874">
        <v>896620</v>
      </c>
      <c r="E34" s="875">
        <f t="shared" si="3"/>
        <v>0</v>
      </c>
      <c r="G34" s="876"/>
    </row>
    <row r="35" spans="1:9" ht="17.25" customHeight="1" x14ac:dyDescent="0.25">
      <c r="A35" s="993" t="s">
        <v>845</v>
      </c>
      <c r="B35" s="874">
        <v>2499999</v>
      </c>
      <c r="C35" s="874">
        <v>2499999</v>
      </c>
      <c r="D35" s="874">
        <v>2499999</v>
      </c>
      <c r="E35" s="875">
        <f t="shared" si="3"/>
        <v>0</v>
      </c>
      <c r="G35" s="876"/>
    </row>
    <row r="36" spans="1:9" ht="18" customHeight="1" x14ac:dyDescent="0.25">
      <c r="A36" s="993" t="s">
        <v>846</v>
      </c>
      <c r="B36" s="874">
        <v>2496820</v>
      </c>
      <c r="C36" s="874">
        <v>2496820</v>
      </c>
      <c r="D36" s="874">
        <v>2496820</v>
      </c>
      <c r="E36" s="875">
        <f t="shared" si="3"/>
        <v>0</v>
      </c>
      <c r="G36" s="876"/>
    </row>
    <row r="37" spans="1:9" ht="27.6" x14ac:dyDescent="0.25">
      <c r="A37" s="877" t="s">
        <v>847</v>
      </c>
      <c r="B37" s="874">
        <v>2500000</v>
      </c>
      <c r="C37" s="874">
        <v>2500000</v>
      </c>
      <c r="D37" s="874">
        <v>2500000</v>
      </c>
      <c r="E37" s="875">
        <f t="shared" si="3"/>
        <v>0</v>
      </c>
      <c r="G37" s="876"/>
    </row>
    <row r="38" spans="1:9" ht="15" x14ac:dyDescent="0.25">
      <c r="A38" s="877" t="s">
        <v>848</v>
      </c>
      <c r="B38" s="874">
        <v>2000000</v>
      </c>
      <c r="C38" s="874">
        <v>2000000</v>
      </c>
      <c r="D38" s="874">
        <v>2000000</v>
      </c>
      <c r="E38" s="875">
        <f t="shared" si="3"/>
        <v>0</v>
      </c>
      <c r="G38" s="876"/>
    </row>
    <row r="39" spans="1:9" ht="15" x14ac:dyDescent="0.25">
      <c r="A39" s="877" t="s">
        <v>849</v>
      </c>
      <c r="B39" s="874">
        <v>300000</v>
      </c>
      <c r="C39" s="874">
        <v>300000</v>
      </c>
      <c r="D39" s="874">
        <v>300000</v>
      </c>
      <c r="E39" s="875">
        <f t="shared" si="3"/>
        <v>0</v>
      </c>
      <c r="G39" s="876"/>
    </row>
    <row r="40" spans="1:9" s="232" customFormat="1" ht="15.6" x14ac:dyDescent="0.3">
      <c r="A40" s="992" t="s">
        <v>139</v>
      </c>
      <c r="B40" s="879">
        <f>SUM(B30:B39)</f>
        <v>17988579</v>
      </c>
      <c r="C40" s="1167">
        <f>SUM(C30:C39)</f>
        <v>17988579</v>
      </c>
      <c r="D40" s="1167">
        <f>SUM(D30:D39)</f>
        <v>17988579</v>
      </c>
      <c r="E40" s="878">
        <f t="shared" si="3"/>
        <v>0</v>
      </c>
      <c r="G40" s="882"/>
    </row>
    <row r="41" spans="1:9" ht="15.6" thickBot="1" x14ac:dyDescent="0.3">
      <c r="A41" s="1000"/>
      <c r="B41" s="883"/>
      <c r="C41" s="1168"/>
      <c r="D41" s="1168"/>
      <c r="E41" s="884"/>
      <c r="G41" s="876"/>
    </row>
    <row r="42" spans="1:9" ht="42" thickBot="1" x14ac:dyDescent="0.3">
      <c r="A42" s="1307" t="s">
        <v>829</v>
      </c>
      <c r="B42" s="999" t="s">
        <v>934</v>
      </c>
      <c r="C42" s="550" t="s">
        <v>978</v>
      </c>
      <c r="D42" s="550" t="s">
        <v>1044</v>
      </c>
      <c r="E42" s="966" t="s">
        <v>934</v>
      </c>
      <c r="F42" s="885"/>
      <c r="G42" s="886"/>
      <c r="H42" s="885"/>
      <c r="I42" s="885"/>
    </row>
    <row r="43" spans="1:9" ht="15.6" x14ac:dyDescent="0.3">
      <c r="A43" s="995" t="s">
        <v>850</v>
      </c>
      <c r="B43" s="872"/>
      <c r="C43" s="1169"/>
      <c r="D43" s="1169"/>
      <c r="E43" s="873"/>
      <c r="G43" s="876"/>
    </row>
    <row r="44" spans="1:9" ht="30" x14ac:dyDescent="0.25">
      <c r="A44" s="993" t="s">
        <v>845</v>
      </c>
      <c r="B44" s="874">
        <v>2499999</v>
      </c>
      <c r="C44" s="874">
        <v>2499999</v>
      </c>
      <c r="D44" s="874">
        <v>2499999</v>
      </c>
      <c r="E44" s="875">
        <f t="shared" ref="E44:E79" si="4">D44-C44</f>
        <v>0</v>
      </c>
      <c r="G44" s="876"/>
    </row>
    <row r="45" spans="1:9" ht="15" x14ac:dyDescent="0.25">
      <c r="A45" s="993" t="s">
        <v>851</v>
      </c>
      <c r="B45" s="874">
        <v>2481115</v>
      </c>
      <c r="C45" s="874">
        <v>2481115</v>
      </c>
      <c r="D45" s="874">
        <v>0</v>
      </c>
      <c r="E45" s="875">
        <f t="shared" si="4"/>
        <v>-2481115</v>
      </c>
      <c r="G45" s="876"/>
    </row>
    <row r="46" spans="1:9" ht="27.6" x14ac:dyDescent="0.25">
      <c r="A46" s="877" t="s">
        <v>847</v>
      </c>
      <c r="B46" s="874">
        <v>2500000</v>
      </c>
      <c r="C46" s="874">
        <v>2500000</v>
      </c>
      <c r="D46" s="874">
        <v>2500000</v>
      </c>
      <c r="E46" s="875">
        <f t="shared" si="4"/>
        <v>0</v>
      </c>
      <c r="G46" s="876"/>
    </row>
    <row r="47" spans="1:9" s="232" customFormat="1" ht="15.6" x14ac:dyDescent="0.3">
      <c r="A47" s="992" t="s">
        <v>139</v>
      </c>
      <c r="B47" s="879">
        <f>SUM(B44:B46)</f>
        <v>7481114</v>
      </c>
      <c r="C47" s="1167">
        <f>SUM(C44:C46)</f>
        <v>7481114</v>
      </c>
      <c r="D47" s="1167">
        <f>SUM(D44:D46)</f>
        <v>4999999</v>
      </c>
      <c r="E47" s="878">
        <f t="shared" si="4"/>
        <v>-2481115</v>
      </c>
      <c r="G47" s="882"/>
    </row>
    <row r="48" spans="1:9" s="232" customFormat="1" ht="15.6" x14ac:dyDescent="0.3">
      <c r="A48" s="992"/>
      <c r="B48" s="991"/>
      <c r="C48" s="1167"/>
      <c r="D48" s="1167"/>
      <c r="E48" s="875"/>
      <c r="G48" s="882"/>
    </row>
    <row r="49" spans="1:7" ht="16.5" customHeight="1" x14ac:dyDescent="0.3">
      <c r="A49" s="992" t="s">
        <v>852</v>
      </c>
      <c r="B49" s="990"/>
      <c r="C49" s="1166"/>
      <c r="D49" s="1166"/>
      <c r="E49" s="875"/>
      <c r="G49" s="876"/>
    </row>
    <row r="50" spans="1:7" ht="30" x14ac:dyDescent="0.25">
      <c r="A50" s="996" t="s">
        <v>853</v>
      </c>
      <c r="B50" s="874">
        <v>1996440</v>
      </c>
      <c r="C50" s="874">
        <v>1996440</v>
      </c>
      <c r="D50" s="874">
        <v>1996440</v>
      </c>
      <c r="E50" s="875">
        <f t="shared" si="4"/>
        <v>0</v>
      </c>
      <c r="G50" s="876"/>
    </row>
    <row r="51" spans="1:7" ht="30" x14ac:dyDescent="0.25">
      <c r="A51" s="996" t="s">
        <v>854</v>
      </c>
      <c r="B51" s="874">
        <v>3994150</v>
      </c>
      <c r="C51" s="874">
        <v>3994150</v>
      </c>
      <c r="D51" s="874">
        <v>3994150</v>
      </c>
      <c r="E51" s="875">
        <f t="shared" si="4"/>
        <v>0</v>
      </c>
      <c r="G51" s="876"/>
    </row>
    <row r="52" spans="1:7" ht="15" x14ac:dyDescent="0.25">
      <c r="A52" s="996" t="s">
        <v>855</v>
      </c>
      <c r="B52" s="874">
        <v>2499360</v>
      </c>
      <c r="C52" s="874">
        <v>2499360</v>
      </c>
      <c r="D52" s="874">
        <v>2499360</v>
      </c>
      <c r="E52" s="875">
        <f t="shared" si="4"/>
        <v>0</v>
      </c>
      <c r="G52" s="876"/>
    </row>
    <row r="53" spans="1:7" ht="27.6" x14ac:dyDescent="0.25">
      <c r="A53" s="877" t="s">
        <v>838</v>
      </c>
      <c r="B53" s="874">
        <v>150000</v>
      </c>
      <c r="C53" s="874">
        <v>150000</v>
      </c>
      <c r="D53" s="874">
        <v>0</v>
      </c>
      <c r="E53" s="875">
        <f t="shared" si="4"/>
        <v>-150000</v>
      </c>
      <c r="G53" s="876"/>
    </row>
    <row r="54" spans="1:7" ht="15" x14ac:dyDescent="0.25">
      <c r="A54" s="888" t="s">
        <v>856</v>
      </c>
      <c r="B54" s="874">
        <v>2500000</v>
      </c>
      <c r="C54" s="874">
        <v>0</v>
      </c>
      <c r="D54" s="874">
        <v>0</v>
      </c>
      <c r="E54" s="875">
        <f t="shared" si="4"/>
        <v>0</v>
      </c>
      <c r="G54" s="876"/>
    </row>
    <row r="55" spans="1:7" ht="15" x14ac:dyDescent="0.25">
      <c r="A55" s="888" t="s">
        <v>949</v>
      </c>
      <c r="B55" s="874"/>
      <c r="C55" s="874">
        <v>2500000</v>
      </c>
      <c r="D55" s="874">
        <v>2500000</v>
      </c>
      <c r="E55" s="875">
        <f t="shared" si="4"/>
        <v>0</v>
      </c>
      <c r="G55" s="876"/>
    </row>
    <row r="56" spans="1:7" s="232" customFormat="1" ht="15.6" x14ac:dyDescent="0.3">
      <c r="A56" s="992" t="s">
        <v>139</v>
      </c>
      <c r="B56" s="879">
        <f>SUM(B50:B54)</f>
        <v>11139950</v>
      </c>
      <c r="C56" s="1167">
        <f>SUM(C50:C55)</f>
        <v>11139950</v>
      </c>
      <c r="D56" s="1167">
        <f>SUM(D50:D55)</f>
        <v>10989950</v>
      </c>
      <c r="E56" s="878">
        <f t="shared" si="4"/>
        <v>-150000</v>
      </c>
      <c r="G56" s="882"/>
    </row>
    <row r="57" spans="1:7" ht="15" x14ac:dyDescent="0.25">
      <c r="A57" s="993"/>
      <c r="B57" s="990"/>
      <c r="C57" s="1166"/>
      <c r="D57" s="1166"/>
      <c r="E57" s="875"/>
      <c r="G57" s="876"/>
    </row>
    <row r="58" spans="1:7" ht="15.6" x14ac:dyDescent="0.3">
      <c r="A58" s="992" t="s">
        <v>857</v>
      </c>
      <c r="B58" s="990"/>
      <c r="C58" s="1166"/>
      <c r="D58" s="1166"/>
      <c r="E58" s="875"/>
      <c r="G58" s="876"/>
    </row>
    <row r="59" spans="1:7" s="232" customFormat="1" ht="15.6" x14ac:dyDescent="0.3">
      <c r="A59" s="992" t="s">
        <v>139</v>
      </c>
      <c r="B59" s="879">
        <v>0</v>
      </c>
      <c r="C59" s="1167"/>
      <c r="D59" s="1167"/>
      <c r="E59" s="878">
        <f t="shared" si="4"/>
        <v>0</v>
      </c>
      <c r="G59" s="882"/>
    </row>
    <row r="60" spans="1:7" s="232" customFormat="1" ht="15.6" x14ac:dyDescent="0.3">
      <c r="A60" s="992"/>
      <c r="B60" s="991"/>
      <c r="C60" s="1167"/>
      <c r="D60" s="1167"/>
      <c r="E60" s="875"/>
      <c r="G60" s="882"/>
    </row>
    <row r="61" spans="1:7" ht="31.2" x14ac:dyDescent="0.3">
      <c r="A61" s="992" t="s">
        <v>858</v>
      </c>
      <c r="B61" s="990"/>
      <c r="C61" s="1166"/>
      <c r="D61" s="1166"/>
      <c r="E61" s="875"/>
      <c r="G61" s="876"/>
    </row>
    <row r="62" spans="1:7" ht="30" x14ac:dyDescent="0.25">
      <c r="A62" s="993" t="s">
        <v>859</v>
      </c>
      <c r="B62" s="874"/>
      <c r="C62" s="1166"/>
      <c r="D62" s="1166"/>
      <c r="E62" s="875">
        <f t="shared" si="4"/>
        <v>0</v>
      </c>
      <c r="G62" s="876"/>
    </row>
    <row r="63" spans="1:7" s="232" customFormat="1" ht="15.6" x14ac:dyDescent="0.3">
      <c r="A63" s="992" t="s">
        <v>139</v>
      </c>
      <c r="B63" s="879">
        <f>SUM(B62:B62)</f>
        <v>0</v>
      </c>
      <c r="C63" s="1167"/>
      <c r="D63" s="1167"/>
      <c r="E63" s="878">
        <f t="shared" si="4"/>
        <v>0</v>
      </c>
      <c r="G63" s="882"/>
    </row>
    <row r="64" spans="1:7" ht="15.6" x14ac:dyDescent="0.3">
      <c r="A64" s="992"/>
      <c r="B64" s="990"/>
      <c r="C64" s="1167"/>
      <c r="D64" s="1167"/>
      <c r="E64" s="875"/>
      <c r="G64" s="876"/>
    </row>
    <row r="65" spans="1:7" ht="31.2" x14ac:dyDescent="0.3">
      <c r="A65" s="992" t="s">
        <v>860</v>
      </c>
      <c r="B65" s="990"/>
      <c r="C65" s="1166"/>
      <c r="D65" s="1166"/>
      <c r="E65" s="875"/>
      <c r="G65" s="876"/>
    </row>
    <row r="66" spans="1:7" ht="15" x14ac:dyDescent="0.25">
      <c r="A66" s="993" t="s">
        <v>861</v>
      </c>
      <c r="B66" s="990">
        <v>1218885</v>
      </c>
      <c r="C66" s="990">
        <v>1218885</v>
      </c>
      <c r="D66" s="990">
        <v>0</v>
      </c>
      <c r="E66" s="875">
        <f t="shared" si="4"/>
        <v>-1218885</v>
      </c>
      <c r="G66" s="876"/>
    </row>
    <row r="67" spans="1:7" s="232" customFormat="1" ht="15.6" x14ac:dyDescent="0.3">
      <c r="A67" s="992" t="s">
        <v>139</v>
      </c>
      <c r="B67" s="879">
        <f>SUM(B66)</f>
        <v>1218885</v>
      </c>
      <c r="C67" s="1167">
        <f>SUM(C66)</f>
        <v>1218885</v>
      </c>
      <c r="D67" s="1167">
        <f>SUM(D66)</f>
        <v>0</v>
      </c>
      <c r="E67" s="878">
        <f t="shared" si="4"/>
        <v>-1218885</v>
      </c>
      <c r="G67" s="882"/>
    </row>
    <row r="68" spans="1:7" ht="15.6" x14ac:dyDescent="0.3">
      <c r="A68" s="992"/>
      <c r="B68" s="990"/>
      <c r="C68" s="1170"/>
      <c r="D68" s="1170"/>
      <c r="E68" s="875"/>
      <c r="G68" s="876"/>
    </row>
    <row r="69" spans="1:7" ht="31.2" x14ac:dyDescent="0.3">
      <c r="A69" s="992" t="s">
        <v>862</v>
      </c>
      <c r="B69" s="990"/>
      <c r="C69" s="1166"/>
      <c r="D69" s="1166"/>
      <c r="E69" s="875"/>
      <c r="G69" s="876"/>
    </row>
    <row r="70" spans="1:7" s="232" customFormat="1" ht="15.6" x14ac:dyDescent="0.3">
      <c r="A70" s="992" t="s">
        <v>139</v>
      </c>
      <c r="B70" s="879">
        <v>0</v>
      </c>
      <c r="C70" s="1167"/>
      <c r="D70" s="1167"/>
      <c r="E70" s="878">
        <f t="shared" si="4"/>
        <v>0</v>
      </c>
      <c r="G70" s="882"/>
    </row>
    <row r="71" spans="1:7" ht="15.6" x14ac:dyDescent="0.3">
      <c r="A71" s="992"/>
      <c r="B71" s="990"/>
      <c r="C71" s="1167"/>
      <c r="D71" s="1167"/>
      <c r="E71" s="875"/>
      <c r="G71" s="876"/>
    </row>
    <row r="72" spans="1:7" ht="31.2" x14ac:dyDescent="0.3">
      <c r="A72" s="997" t="s">
        <v>863</v>
      </c>
      <c r="B72" s="990"/>
      <c r="C72" s="1171"/>
      <c r="D72" s="1171"/>
      <c r="E72" s="875"/>
      <c r="G72" s="876"/>
    </row>
    <row r="73" spans="1:7" s="232" customFormat="1" ht="15.6" x14ac:dyDescent="0.3">
      <c r="A73" s="997" t="s">
        <v>139</v>
      </c>
      <c r="B73" s="991">
        <v>0</v>
      </c>
      <c r="C73" s="1172"/>
      <c r="D73" s="1172"/>
      <c r="E73" s="878">
        <f t="shared" si="4"/>
        <v>0</v>
      </c>
      <c r="G73" s="882"/>
    </row>
    <row r="74" spans="1:7" s="232" customFormat="1" ht="15.6" x14ac:dyDescent="0.3">
      <c r="A74" s="997"/>
      <c r="B74" s="991"/>
      <c r="C74" s="1172"/>
      <c r="D74" s="1172"/>
      <c r="E74" s="875"/>
      <c r="G74" s="882"/>
    </row>
    <row r="75" spans="1:7" ht="31.2" x14ac:dyDescent="0.3">
      <c r="A75" s="992" t="s">
        <v>864</v>
      </c>
      <c r="B75" s="990"/>
      <c r="C75" s="1166"/>
      <c r="D75" s="1166"/>
      <c r="E75" s="875"/>
      <c r="G75" s="876"/>
    </row>
    <row r="76" spans="1:7" s="232" customFormat="1" ht="15.6" x14ac:dyDescent="0.3">
      <c r="A76" s="992" t="s">
        <v>139</v>
      </c>
      <c r="B76" s="879">
        <v>0</v>
      </c>
      <c r="C76" s="1167"/>
      <c r="D76" s="1167"/>
      <c r="E76" s="878">
        <f t="shared" si="4"/>
        <v>0</v>
      </c>
      <c r="G76" s="882"/>
    </row>
    <row r="77" spans="1:7" s="232" customFormat="1" ht="15.6" x14ac:dyDescent="0.3">
      <c r="A77" s="992"/>
      <c r="B77" s="991"/>
      <c r="C77" s="1167"/>
      <c r="D77" s="1167"/>
      <c r="E77" s="875"/>
      <c r="G77" s="882"/>
    </row>
    <row r="78" spans="1:7" s="232" customFormat="1" ht="31.2" x14ac:dyDescent="0.3">
      <c r="A78" s="992" t="s">
        <v>865</v>
      </c>
      <c r="B78" s="991"/>
      <c r="C78" s="1167"/>
      <c r="D78" s="1167"/>
      <c r="E78" s="875"/>
      <c r="G78" s="882"/>
    </row>
    <row r="79" spans="1:7" ht="16.2" thickBot="1" x14ac:dyDescent="0.35">
      <c r="A79" s="994" t="s">
        <v>866</v>
      </c>
      <c r="B79" s="889">
        <v>0</v>
      </c>
      <c r="C79" s="1173"/>
      <c r="D79" s="1173"/>
      <c r="E79" s="890">
        <f t="shared" si="4"/>
        <v>0</v>
      </c>
      <c r="G79" s="876"/>
    </row>
    <row r="80" spans="1:7" ht="42" thickBot="1" x14ac:dyDescent="0.3">
      <c r="A80" s="871" t="s">
        <v>829</v>
      </c>
      <c r="B80" s="550" t="s">
        <v>591</v>
      </c>
      <c r="C80" s="550" t="s">
        <v>978</v>
      </c>
      <c r="D80" s="550" t="s">
        <v>1044</v>
      </c>
      <c r="E80" s="966" t="s">
        <v>934</v>
      </c>
      <c r="G80" s="876"/>
    </row>
    <row r="81" spans="1:7" ht="15.6" x14ac:dyDescent="0.3">
      <c r="A81" s="995"/>
      <c r="B81" s="872"/>
      <c r="C81" s="1169"/>
      <c r="D81" s="1169"/>
      <c r="E81" s="873"/>
      <c r="G81" s="876"/>
    </row>
    <row r="82" spans="1:7" ht="31.2" x14ac:dyDescent="0.3">
      <c r="A82" s="992" t="s">
        <v>867</v>
      </c>
      <c r="B82" s="990"/>
      <c r="C82" s="1166"/>
      <c r="D82" s="1166"/>
      <c r="E82" s="887"/>
      <c r="G82" s="876"/>
    </row>
    <row r="83" spans="1:7" s="232" customFormat="1" ht="15.6" x14ac:dyDescent="0.3">
      <c r="A83" s="992" t="s">
        <v>866</v>
      </c>
      <c r="B83" s="879">
        <v>0</v>
      </c>
      <c r="C83" s="1167"/>
      <c r="D83" s="1167"/>
      <c r="E83" s="878">
        <f t="shared" ref="E83:E119" si="5">D83-C83</f>
        <v>0</v>
      </c>
      <c r="G83" s="882"/>
    </row>
    <row r="84" spans="1:7" ht="15" x14ac:dyDescent="0.25">
      <c r="A84" s="993"/>
      <c r="B84" s="990"/>
      <c r="C84" s="1166"/>
      <c r="D84" s="1166"/>
      <c r="E84" s="875"/>
      <c r="G84" s="876"/>
    </row>
    <row r="85" spans="1:7" ht="15.6" x14ac:dyDescent="0.3">
      <c r="A85" s="992" t="s">
        <v>868</v>
      </c>
      <c r="B85" s="990"/>
      <c r="C85" s="1166"/>
      <c r="D85" s="1166"/>
      <c r="E85" s="875"/>
      <c r="G85" s="876"/>
    </row>
    <row r="86" spans="1:7" s="232" customFormat="1" ht="15.6" x14ac:dyDescent="0.3">
      <c r="A86" s="992" t="s">
        <v>139</v>
      </c>
      <c r="B86" s="879">
        <v>0</v>
      </c>
      <c r="C86" s="1167"/>
      <c r="D86" s="1167"/>
      <c r="E86" s="878">
        <f t="shared" si="5"/>
        <v>0</v>
      </c>
      <c r="G86" s="882"/>
    </row>
    <row r="87" spans="1:7" ht="15.6" x14ac:dyDescent="0.3">
      <c r="A87" s="992"/>
      <c r="B87" s="990"/>
      <c r="C87" s="1167"/>
      <c r="D87" s="1167"/>
      <c r="E87" s="875"/>
      <c r="G87" s="876"/>
    </row>
    <row r="88" spans="1:7" ht="15.6" x14ac:dyDescent="0.3">
      <c r="A88" s="992" t="s">
        <v>869</v>
      </c>
      <c r="B88" s="990"/>
      <c r="C88" s="1166"/>
      <c r="D88" s="1166"/>
      <c r="E88" s="875"/>
      <c r="G88" s="876"/>
    </row>
    <row r="89" spans="1:7" ht="15" x14ac:dyDescent="0.25">
      <c r="A89" s="993" t="s">
        <v>870</v>
      </c>
      <c r="B89" s="874">
        <v>1996440</v>
      </c>
      <c r="C89" s="874">
        <v>1996440</v>
      </c>
      <c r="D89" s="874">
        <v>1996440</v>
      </c>
      <c r="E89" s="875">
        <f t="shared" si="5"/>
        <v>0</v>
      </c>
      <c r="G89" s="876"/>
    </row>
    <row r="90" spans="1:7" ht="27.6" x14ac:dyDescent="0.25">
      <c r="A90" s="877" t="s">
        <v>871</v>
      </c>
      <c r="B90" s="874">
        <v>300000</v>
      </c>
      <c r="C90" s="874">
        <v>300000</v>
      </c>
      <c r="D90" s="874">
        <v>300000</v>
      </c>
      <c r="E90" s="875">
        <f t="shared" si="5"/>
        <v>0</v>
      </c>
      <c r="G90" s="876"/>
    </row>
    <row r="91" spans="1:7" s="232" customFormat="1" ht="15.6" x14ac:dyDescent="0.3">
      <c r="A91" s="992" t="s">
        <v>139</v>
      </c>
      <c r="B91" s="879">
        <f>SUM(B89:B90)</f>
        <v>2296440</v>
      </c>
      <c r="C91" s="1167">
        <f>SUM(C89:C90)</f>
        <v>2296440</v>
      </c>
      <c r="D91" s="1167">
        <f>SUM(D89:D90)</f>
        <v>2296440</v>
      </c>
      <c r="E91" s="878">
        <f t="shared" si="5"/>
        <v>0</v>
      </c>
      <c r="G91" s="882"/>
    </row>
    <row r="92" spans="1:7" ht="15" x14ac:dyDescent="0.25">
      <c r="A92" s="993"/>
      <c r="B92" s="990"/>
      <c r="C92" s="1166"/>
      <c r="D92" s="1166"/>
      <c r="E92" s="875"/>
      <c r="G92" s="876"/>
    </row>
    <row r="93" spans="1:7" ht="31.2" x14ac:dyDescent="0.3">
      <c r="A93" s="992" t="s">
        <v>936</v>
      </c>
      <c r="B93" s="990"/>
      <c r="C93" s="1166"/>
      <c r="D93" s="1166"/>
      <c r="E93" s="875"/>
      <c r="G93" s="876"/>
    </row>
    <row r="94" spans="1:7" s="232" customFormat="1" ht="15.6" x14ac:dyDescent="0.3">
      <c r="A94" s="992" t="s">
        <v>139</v>
      </c>
      <c r="B94" s="879">
        <v>0</v>
      </c>
      <c r="C94" s="1167"/>
      <c r="D94" s="1167"/>
      <c r="E94" s="878">
        <f t="shared" si="5"/>
        <v>0</v>
      </c>
      <c r="G94" s="882"/>
    </row>
    <row r="95" spans="1:7" ht="15" x14ac:dyDescent="0.25">
      <c r="A95" s="993"/>
      <c r="B95" s="990"/>
      <c r="C95" s="1166"/>
      <c r="D95" s="1166"/>
      <c r="E95" s="875"/>
      <c r="G95" s="876"/>
    </row>
    <row r="96" spans="1:7" ht="31.2" x14ac:dyDescent="0.3">
      <c r="A96" s="992" t="s">
        <v>872</v>
      </c>
      <c r="B96" s="990"/>
      <c r="C96" s="1166"/>
      <c r="D96" s="1166"/>
      <c r="E96" s="875"/>
      <c r="G96" s="876"/>
    </row>
    <row r="97" spans="1:7" s="232" customFormat="1" ht="15.6" x14ac:dyDescent="0.3">
      <c r="A97" s="992" t="s">
        <v>139</v>
      </c>
      <c r="B97" s="991"/>
      <c r="C97" s="1167"/>
      <c r="D97" s="1167"/>
      <c r="E97" s="878">
        <f t="shared" si="5"/>
        <v>0</v>
      </c>
      <c r="G97" s="882"/>
    </row>
    <row r="98" spans="1:7" ht="15" x14ac:dyDescent="0.25">
      <c r="A98" s="993"/>
      <c r="B98" s="990"/>
      <c r="C98" s="1166"/>
      <c r="D98" s="1166"/>
      <c r="E98" s="875"/>
      <c r="G98" s="876"/>
    </row>
    <row r="99" spans="1:7" ht="46.8" x14ac:dyDescent="0.3">
      <c r="A99" s="992" t="s">
        <v>937</v>
      </c>
      <c r="B99" s="990"/>
      <c r="C99" s="1166"/>
      <c r="D99" s="1166"/>
      <c r="E99" s="875"/>
      <c r="G99" s="876"/>
    </row>
    <row r="100" spans="1:7" ht="30" x14ac:dyDescent="0.25">
      <c r="A100" s="993" t="s">
        <v>873</v>
      </c>
      <c r="B100" s="874">
        <v>2044484</v>
      </c>
      <c r="C100" s="874">
        <v>2044484</v>
      </c>
      <c r="D100" s="874">
        <v>2044484</v>
      </c>
      <c r="E100" s="875">
        <f t="shared" si="5"/>
        <v>0</v>
      </c>
      <c r="G100" s="876"/>
    </row>
    <row r="101" spans="1:7" ht="43.5" customHeight="1" x14ac:dyDescent="0.25">
      <c r="A101" s="993" t="s">
        <v>874</v>
      </c>
      <c r="B101" s="874">
        <v>998220</v>
      </c>
      <c r="C101" s="874">
        <v>998220</v>
      </c>
      <c r="D101" s="874">
        <v>998220</v>
      </c>
      <c r="E101" s="875">
        <f t="shared" si="5"/>
        <v>0</v>
      </c>
      <c r="G101" s="876"/>
    </row>
    <row r="102" spans="1:7" ht="28.5" customHeight="1" x14ac:dyDescent="0.25">
      <c r="A102" s="877" t="s">
        <v>875</v>
      </c>
      <c r="B102" s="874">
        <v>15700000</v>
      </c>
      <c r="C102" s="874">
        <v>16200000</v>
      </c>
      <c r="D102" s="874">
        <v>15700000</v>
      </c>
      <c r="E102" s="875">
        <f t="shared" si="5"/>
        <v>-500000</v>
      </c>
      <c r="G102" s="876"/>
    </row>
    <row r="103" spans="1:7" s="232" customFormat="1" ht="15.6" x14ac:dyDescent="0.3">
      <c r="A103" s="992" t="s">
        <v>139</v>
      </c>
      <c r="B103" s="879">
        <f>SUM(B100:B102)</f>
        <v>18742704</v>
      </c>
      <c r="C103" s="1167">
        <f>SUM(C100:C102)</f>
        <v>19242704</v>
      </c>
      <c r="D103" s="1167">
        <f>SUM(D100:D102)</f>
        <v>18742704</v>
      </c>
      <c r="E103" s="878">
        <f t="shared" si="5"/>
        <v>-500000</v>
      </c>
      <c r="G103" s="882"/>
    </row>
    <row r="104" spans="1:7" ht="15.6" x14ac:dyDescent="0.3">
      <c r="A104" s="992"/>
      <c r="B104" s="990"/>
      <c r="C104" s="1167"/>
      <c r="D104" s="1167"/>
      <c r="E104" s="875">
        <f t="shared" si="5"/>
        <v>0</v>
      </c>
      <c r="G104" s="876"/>
    </row>
    <row r="105" spans="1:7" ht="15.6" x14ac:dyDescent="0.3">
      <c r="A105" s="992" t="s">
        <v>938</v>
      </c>
      <c r="B105" s="990"/>
      <c r="C105" s="1167"/>
      <c r="D105" s="1167"/>
      <c r="E105" s="875">
        <f t="shared" si="5"/>
        <v>0</v>
      </c>
      <c r="G105" s="876"/>
    </row>
    <row r="106" spans="1:7" ht="15" x14ac:dyDescent="0.25">
      <c r="A106" s="1355" t="s">
        <v>950</v>
      </c>
      <c r="B106" s="874">
        <v>0</v>
      </c>
      <c r="C106" s="874">
        <v>2000000</v>
      </c>
      <c r="D106" s="874">
        <v>2000000</v>
      </c>
      <c r="E106" s="875">
        <f t="shared" si="5"/>
        <v>0</v>
      </c>
      <c r="G106" s="876"/>
    </row>
    <row r="107" spans="1:7" s="232" customFormat="1" ht="27.6" x14ac:dyDescent="0.25">
      <c r="A107" s="1355" t="s">
        <v>951</v>
      </c>
      <c r="B107" s="874">
        <v>0</v>
      </c>
      <c r="C107" s="874">
        <v>2000000</v>
      </c>
      <c r="D107" s="874">
        <v>2000000</v>
      </c>
      <c r="E107" s="875">
        <f t="shared" si="5"/>
        <v>0</v>
      </c>
      <c r="G107" s="882"/>
    </row>
    <row r="108" spans="1:7" s="232" customFormat="1" ht="15.6" x14ac:dyDescent="0.3">
      <c r="A108" s="992" t="s">
        <v>139</v>
      </c>
      <c r="B108" s="879">
        <f t="shared" ref="B108" si="6">SUM(B106:B107)</f>
        <v>0</v>
      </c>
      <c r="C108" s="1167">
        <f>SUM(C106:C107)</f>
        <v>4000000</v>
      </c>
      <c r="D108" s="1167">
        <f>SUM(D106:D107)</f>
        <v>4000000</v>
      </c>
      <c r="E108" s="878">
        <f t="shared" si="5"/>
        <v>0</v>
      </c>
      <c r="G108" s="882"/>
    </row>
    <row r="109" spans="1:7" ht="15.6" x14ac:dyDescent="0.3">
      <c r="A109" s="992"/>
      <c r="B109" s="990"/>
      <c r="C109" s="1167"/>
      <c r="D109" s="1167"/>
      <c r="E109" s="875">
        <f t="shared" si="5"/>
        <v>0</v>
      </c>
      <c r="G109" s="876"/>
    </row>
    <row r="110" spans="1:7" s="232" customFormat="1" ht="15.6" x14ac:dyDescent="0.3">
      <c r="A110" s="992" t="s">
        <v>876</v>
      </c>
      <c r="B110" s="991"/>
      <c r="C110" s="1167"/>
      <c r="D110" s="1167"/>
      <c r="E110" s="875">
        <f t="shared" si="5"/>
        <v>0</v>
      </c>
      <c r="G110" s="882"/>
    </row>
    <row r="111" spans="1:7" s="232" customFormat="1" ht="15.6" x14ac:dyDescent="0.3">
      <c r="A111" s="992" t="s">
        <v>139</v>
      </c>
      <c r="B111" s="991"/>
      <c r="C111" s="1166"/>
      <c r="D111" s="1166"/>
      <c r="E111" s="875">
        <f t="shared" si="5"/>
        <v>0</v>
      </c>
      <c r="G111" s="882"/>
    </row>
    <row r="112" spans="1:7" ht="15.6" x14ac:dyDescent="0.3">
      <c r="A112" s="992"/>
      <c r="B112" s="990"/>
      <c r="C112" s="1167"/>
      <c r="D112" s="1167"/>
      <c r="E112" s="875">
        <f t="shared" si="5"/>
        <v>0</v>
      </c>
      <c r="G112" s="876"/>
    </row>
    <row r="113" spans="1:9" ht="15.6" x14ac:dyDescent="0.3">
      <c r="A113" s="992" t="s">
        <v>877</v>
      </c>
      <c r="B113" s="874"/>
      <c r="C113" s="1166"/>
      <c r="D113" s="1166">
        <v>1242098</v>
      </c>
      <c r="E113" s="875">
        <f t="shared" si="5"/>
        <v>1242098</v>
      </c>
    </row>
    <row r="114" spans="1:9" ht="18.75" customHeight="1" x14ac:dyDescent="0.3">
      <c r="A114" s="992" t="s">
        <v>976</v>
      </c>
      <c r="B114" s="874">
        <v>9000000</v>
      </c>
      <c r="C114" s="874">
        <v>11000000</v>
      </c>
      <c r="D114" s="874">
        <v>11000000</v>
      </c>
      <c r="E114" s="875">
        <f t="shared" si="5"/>
        <v>0</v>
      </c>
    </row>
    <row r="115" spans="1:9" s="232" customFormat="1" ht="15.6" x14ac:dyDescent="0.3">
      <c r="A115" s="992" t="s">
        <v>878</v>
      </c>
      <c r="B115" s="874"/>
      <c r="C115" s="874"/>
      <c r="D115" s="874"/>
      <c r="E115" s="875">
        <f t="shared" si="5"/>
        <v>0</v>
      </c>
      <c r="G115" s="891"/>
    </row>
    <row r="116" spans="1:9" s="232" customFormat="1" ht="15" x14ac:dyDescent="0.25">
      <c r="A116" s="993" t="s">
        <v>1060</v>
      </c>
      <c r="B116" s="874">
        <v>5359527</v>
      </c>
      <c r="C116" s="874">
        <v>5359527</v>
      </c>
      <c r="D116" s="874">
        <v>5359527</v>
      </c>
      <c r="E116" s="875">
        <f t="shared" si="5"/>
        <v>0</v>
      </c>
      <c r="F116" s="881"/>
      <c r="G116" s="891"/>
    </row>
    <row r="117" spans="1:9" s="232" customFormat="1" ht="30" x14ac:dyDescent="0.25">
      <c r="A117" s="993" t="s">
        <v>1061</v>
      </c>
      <c r="B117" s="874">
        <v>5800000</v>
      </c>
      <c r="C117" s="874">
        <v>5800000</v>
      </c>
      <c r="D117" s="874">
        <v>5800000</v>
      </c>
      <c r="E117" s="875">
        <f t="shared" si="5"/>
        <v>0</v>
      </c>
      <c r="F117" s="881"/>
      <c r="G117" s="891"/>
    </row>
    <row r="118" spans="1:9" s="232" customFormat="1" ht="15.6" x14ac:dyDescent="0.3">
      <c r="A118" s="992" t="s">
        <v>139</v>
      </c>
      <c r="B118" s="879">
        <f t="shared" ref="B118:C118" si="7">SUM(B116:B117)</f>
        <v>11159527</v>
      </c>
      <c r="C118" s="879">
        <f t="shared" si="7"/>
        <v>11159527</v>
      </c>
      <c r="D118" s="879">
        <f t="shared" ref="D118" si="8">SUM(D116:D117)</f>
        <v>11159527</v>
      </c>
      <c r="E118" s="875">
        <f t="shared" si="5"/>
        <v>0</v>
      </c>
      <c r="F118" s="881"/>
      <c r="G118" s="891"/>
    </row>
    <row r="119" spans="1:9" s="892" customFormat="1" ht="16.2" thickBot="1" x14ac:dyDescent="0.35">
      <c r="A119" s="994" t="s">
        <v>128</v>
      </c>
      <c r="B119" s="889">
        <f>B114+B103+B97+B94+B91+B86+B83+B70+B67+B63+B59+B56+B47+B40+B27+B21+B15+B76+B113+B111+B108+B73+B79+B118</f>
        <v>86073257</v>
      </c>
      <c r="C119" s="889">
        <f>C114+C103+C97+C94+C91+C86+C83+C70+C67+C63+C59+C56+C47+C40+C27+C21+C15+C76+C113+C111+C108+C73+C79+C118</f>
        <v>93407357</v>
      </c>
      <c r="D119" s="889">
        <f>D114+D103+D97+D94+D91+D86+D83+D70+D67+D63+D59+D56+D47+D40+D27+D21+D15+D76+D113+D111+D108+D73+D79+D118</f>
        <v>90593955</v>
      </c>
      <c r="E119" s="890">
        <f t="shared" si="5"/>
        <v>-2813402</v>
      </c>
    </row>
    <row r="120" spans="1:9" s="893" customFormat="1" ht="15" x14ac:dyDescent="0.25">
      <c r="A120" s="893" t="s">
        <v>879</v>
      </c>
      <c r="B120" s="894">
        <f>B116+B101+B100+B89+B52+B51+B50+B25+B44+B36+B35+B34+B33+B32+B31+B30+B24+B7+B6</f>
        <v>37073257</v>
      </c>
      <c r="C120" s="894">
        <f>C116+C101+C100+C89+C52+C51+C50+C25+C44+C36+C35+C34+C33+C32+C31+C30+C24+C7+C6</f>
        <v>37073257</v>
      </c>
      <c r="D120" s="894">
        <f>D116+D101+D100+D89+D52+D51+D50+D25+D44+D36+D35+D34+D33+D32+D31+D30+D24+D7+D6</f>
        <v>37073257</v>
      </c>
      <c r="E120" s="894">
        <f>E116+E101+E100+E89+E52+E51+E50+E25+E44+E36+E35+E34+E33+E32+E31+E30+E24+E7+E6</f>
        <v>0</v>
      </c>
      <c r="F120" s="895"/>
      <c r="G120" s="895"/>
      <c r="H120" s="895"/>
    </row>
    <row r="121" spans="1:9" s="893" customFormat="1" ht="15" x14ac:dyDescent="0.25">
      <c r="A121" s="893" t="s">
        <v>880</v>
      </c>
      <c r="B121" s="896">
        <f>B117+B102+B90+B66+B54+B53+B46+B39+B38+B37+B26+B10+B9+B8+B45</f>
        <v>40000000</v>
      </c>
      <c r="C121" s="896">
        <f>C117+C102+C90+C66+C54+C53+C46+C39+C38+C37+C26+C10+C9+C8+C45+C55+C106+C107+C13+C12+C11+C20+C19+C18</f>
        <v>45334100</v>
      </c>
      <c r="D121" s="896">
        <f>D117+D102+D90+D66+D54+D53+D46+D39+D38+D37+D26+D10+D9+D8+D45+D55+D106+D107+D13+D12+D11+D20+D19+D18+D113+D14</f>
        <v>42520698</v>
      </c>
      <c r="E121" s="896">
        <f>E117+E102+E90+E66+E54+E53+E46+E39+E38+E37+E26+E10+E9+E8+E45+E55+E106+E107+E13+E12+E11+E20+E19+E18+E113+E14</f>
        <v>-2813402</v>
      </c>
      <c r="G121" s="894"/>
    </row>
    <row r="122" spans="1:9" s="893" customFormat="1" ht="15" x14ac:dyDescent="0.25">
      <c r="A122" s="893" t="s">
        <v>881</v>
      </c>
      <c r="B122" s="894">
        <f>B114</f>
        <v>9000000</v>
      </c>
      <c r="C122" s="894">
        <f>C114</f>
        <v>11000000</v>
      </c>
      <c r="D122" s="894">
        <f>D114</f>
        <v>11000000</v>
      </c>
      <c r="E122" s="894">
        <f>E114</f>
        <v>0</v>
      </c>
    </row>
    <row r="123" spans="1:9" s="893" customFormat="1" ht="15" x14ac:dyDescent="0.25">
      <c r="A123" s="893" t="s">
        <v>882</v>
      </c>
      <c r="B123" s="894">
        <f>SUM(B120:B122)</f>
        <v>86073257</v>
      </c>
      <c r="C123" s="894">
        <f>SUM(C120:C122)</f>
        <v>93407357</v>
      </c>
      <c r="D123" s="894">
        <f>SUM(D120:D122)</f>
        <v>90593955</v>
      </c>
      <c r="E123" s="894">
        <f>SUM(E120:E122)</f>
        <v>-2813402</v>
      </c>
      <c r="F123" s="894"/>
      <c r="G123" s="894"/>
      <c r="H123" s="894"/>
      <c r="I123" s="894"/>
    </row>
    <row r="124" spans="1:9" ht="15" x14ac:dyDescent="0.25">
      <c r="A124" s="893"/>
      <c r="B124" s="893"/>
      <c r="C124" s="897"/>
      <c r="D124" s="897"/>
    </row>
    <row r="125" spans="1:9" ht="15" x14ac:dyDescent="0.25">
      <c r="C125" s="893"/>
      <c r="D125" s="893"/>
    </row>
  </sheetData>
  <sheetProtection selectLockedCells="1" selectUnlockedCells="1"/>
  <mergeCells count="1">
    <mergeCell ref="A2:E2"/>
  </mergeCells>
  <pageMargins left="0.74791666666666667" right="0.74791666666666667" top="0.98402777777777772" bottom="0.98402777777777772" header="0.5" footer="0.51180555555555551"/>
  <pageSetup paperSize="9" scale="80" firstPageNumber="0" orientation="portrait" r:id="rId1"/>
  <headerFooter alignWithMargins="0">
    <oddHeader xml:space="preserve">&amp;C
6. melléklet a 31/2019. (XII.13.) önkormányzati rendelethez
 az önkormányzat 2019. évi költségvetéséről szóló 6/2019. (II.28.) önkormányzati rendelet 
6. mellékletének helyébe a következő 6. melléklet lép:  
&amp;R&amp;P. oldal
</oddHeader>
  </headerFooter>
  <rowBreaks count="2" manualBreakCount="2">
    <brk id="41" max="3" man="1"/>
    <brk id="79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224"/>
  <sheetViews>
    <sheetView view="pageLayout" zoomScaleNormal="80" zoomScaleSheetLayoutView="80" workbookViewId="0">
      <selection activeCell="I10" sqref="I10"/>
    </sheetView>
  </sheetViews>
  <sheetFormatPr defaultColWidth="9.109375" defaultRowHeight="18" customHeight="1" x14ac:dyDescent="0.25"/>
  <cols>
    <col min="1" max="1" width="54.6640625" style="70" customWidth="1"/>
    <col min="2" max="2" width="15.88671875" style="228" customWidth="1"/>
    <col min="3" max="3" width="16.109375" style="228" customWidth="1"/>
    <col min="4" max="4" width="15.6640625" style="228" customWidth="1"/>
    <col min="5" max="5" width="18.109375" style="228" customWidth="1"/>
    <col min="6" max="6" width="17.33203125" style="56" customWidth="1"/>
    <col min="7" max="7" width="16.109375" style="56" customWidth="1"/>
    <col min="8" max="8" width="16.88671875" style="56" customWidth="1"/>
    <col min="9" max="9" width="16.33203125" style="57" customWidth="1"/>
    <col min="10" max="10" width="23.88671875" style="58" customWidth="1"/>
    <col min="11" max="16384" width="9.109375" style="58"/>
  </cols>
  <sheetData>
    <row r="1" spans="1:9" ht="18" customHeight="1" x14ac:dyDescent="0.3">
      <c r="A1" s="1449" t="s">
        <v>653</v>
      </c>
      <c r="B1" s="1449"/>
      <c r="C1" s="1449"/>
      <c r="D1" s="1449"/>
      <c r="E1" s="1449"/>
    </row>
    <row r="2" spans="1:9" ht="18" customHeight="1" thickBot="1" x14ac:dyDescent="0.35">
      <c r="A2" s="559"/>
      <c r="B2" s="559"/>
      <c r="C2" s="559"/>
      <c r="D2" s="559"/>
      <c r="E2" s="666"/>
    </row>
    <row r="3" spans="1:9" ht="48.75" customHeight="1" thickBot="1" x14ac:dyDescent="0.3">
      <c r="A3" s="1015" t="s">
        <v>101</v>
      </c>
      <c r="B3" s="550" t="s">
        <v>591</v>
      </c>
      <c r="C3" s="550" t="s">
        <v>978</v>
      </c>
      <c r="D3" s="550" t="s">
        <v>1044</v>
      </c>
      <c r="E3" s="966" t="s">
        <v>934</v>
      </c>
      <c r="F3" s="55"/>
    </row>
    <row r="4" spans="1:9" ht="18" customHeight="1" x14ac:dyDescent="0.3">
      <c r="A4" s="333" t="s">
        <v>235</v>
      </c>
      <c r="B4" s="1001"/>
      <c r="C4" s="1212"/>
      <c r="D4" s="1212"/>
      <c r="E4" s="667"/>
      <c r="F4" s="59"/>
    </row>
    <row r="5" spans="1:9" s="63" customFormat="1" ht="33" customHeight="1" x14ac:dyDescent="0.25">
      <c r="A5" s="261" t="s">
        <v>1001</v>
      </c>
      <c r="B5" s="1002">
        <v>0</v>
      </c>
      <c r="C5" s="307"/>
      <c r="D5" s="307"/>
      <c r="E5" s="668">
        <f>D5-C5</f>
        <v>0</v>
      </c>
      <c r="F5" s="64"/>
      <c r="G5" s="61"/>
      <c r="H5" s="61"/>
      <c r="I5" s="62"/>
    </row>
    <row r="6" spans="1:9" s="63" customFormat="1" ht="30.75" customHeight="1" x14ac:dyDescent="0.25">
      <c r="A6" s="263" t="s">
        <v>239</v>
      </c>
      <c r="B6" s="1002">
        <v>2921000</v>
      </c>
      <c r="C6" s="1002">
        <v>2921000</v>
      </c>
      <c r="D6" s="1002">
        <v>2921000</v>
      </c>
      <c r="E6" s="668">
        <f t="shared" ref="E6:E59" si="0">D6-C6</f>
        <v>0</v>
      </c>
      <c r="F6" s="64"/>
      <c r="G6" s="61"/>
      <c r="H6" s="61"/>
      <c r="I6" s="62"/>
    </row>
    <row r="7" spans="1:9" s="68" customFormat="1" ht="21.75" customHeight="1" x14ac:dyDescent="0.25">
      <c r="A7" s="263" t="s">
        <v>583</v>
      </c>
      <c r="B7" s="1002">
        <v>50000</v>
      </c>
      <c r="C7" s="1002">
        <v>50000</v>
      </c>
      <c r="D7" s="1002">
        <v>50000</v>
      </c>
      <c r="E7" s="668">
        <f t="shared" si="0"/>
        <v>0</v>
      </c>
      <c r="F7" s="65"/>
      <c r="G7" s="66"/>
      <c r="H7" s="66"/>
      <c r="I7" s="67"/>
    </row>
    <row r="8" spans="1:9" s="68" customFormat="1" ht="18" customHeight="1" x14ac:dyDescent="0.25">
      <c r="A8" s="262" t="s">
        <v>584</v>
      </c>
      <c r="B8" s="1002">
        <v>45111110</v>
      </c>
      <c r="C8" s="1002">
        <v>45111110</v>
      </c>
      <c r="D8" s="1002">
        <v>45111110</v>
      </c>
      <c r="E8" s="668">
        <f t="shared" si="0"/>
        <v>0</v>
      </c>
      <c r="F8" s="65"/>
      <c r="G8" s="66"/>
      <c r="H8" s="66"/>
      <c r="I8" s="67"/>
    </row>
    <row r="9" spans="1:9" s="68" customFormat="1" ht="18" customHeight="1" x14ac:dyDescent="0.25">
      <c r="A9" s="262" t="s">
        <v>365</v>
      </c>
      <c r="B9" s="1002">
        <v>349250</v>
      </c>
      <c r="C9" s="1002">
        <v>349250</v>
      </c>
      <c r="D9" s="1002">
        <v>349250</v>
      </c>
      <c r="E9" s="668">
        <f t="shared" si="0"/>
        <v>0</v>
      </c>
      <c r="F9" s="65"/>
      <c r="G9" s="66"/>
      <c r="H9" s="66"/>
      <c r="I9" s="67"/>
    </row>
    <row r="10" spans="1:9" s="68" customFormat="1" ht="24.75" customHeight="1" x14ac:dyDescent="0.25">
      <c r="A10" s="263" t="s">
        <v>488</v>
      </c>
      <c r="B10" s="1002">
        <v>1492248</v>
      </c>
      <c r="C10" s="1002">
        <v>1492248</v>
      </c>
      <c r="D10" s="1002">
        <v>1492248</v>
      </c>
      <c r="E10" s="668">
        <f t="shared" si="0"/>
        <v>0</v>
      </c>
      <c r="F10" s="65"/>
      <c r="G10" s="66"/>
      <c r="H10" s="66"/>
      <c r="I10" s="67"/>
    </row>
    <row r="11" spans="1:9" s="68" customFormat="1" ht="24.75" customHeight="1" x14ac:dyDescent="0.25">
      <c r="A11" s="418" t="s">
        <v>519</v>
      </c>
      <c r="B11" s="1002">
        <v>193737563</v>
      </c>
      <c r="C11" s="1002">
        <v>193737563</v>
      </c>
      <c r="D11" s="1002">
        <v>139230568</v>
      </c>
      <c r="E11" s="668">
        <f t="shared" si="0"/>
        <v>-54506995</v>
      </c>
      <c r="F11" s="65"/>
      <c r="G11" s="66"/>
      <c r="H11" s="66"/>
      <c r="I11" s="67"/>
    </row>
    <row r="12" spans="1:9" s="68" customFormat="1" ht="29.25" customHeight="1" x14ac:dyDescent="0.25">
      <c r="A12" s="418" t="s">
        <v>520</v>
      </c>
      <c r="B12" s="1002">
        <v>584500650</v>
      </c>
      <c r="C12" s="1002">
        <v>584500650</v>
      </c>
      <c r="D12" s="1002">
        <v>0</v>
      </c>
      <c r="E12" s="668">
        <f t="shared" si="0"/>
        <v>-584500650</v>
      </c>
      <c r="F12" s="65"/>
      <c r="G12" s="66"/>
      <c r="H12" s="66"/>
      <c r="I12" s="67"/>
    </row>
    <row r="13" spans="1:9" s="68" customFormat="1" ht="28.5" customHeight="1" x14ac:dyDescent="0.25">
      <c r="A13" s="418" t="s">
        <v>521</v>
      </c>
      <c r="B13" s="1002">
        <v>83425953</v>
      </c>
      <c r="C13" s="1002">
        <v>83425953</v>
      </c>
      <c r="D13" s="1002">
        <v>83425953</v>
      </c>
      <c r="E13" s="668">
        <f t="shared" si="0"/>
        <v>0</v>
      </c>
      <c r="F13" s="65"/>
      <c r="G13" s="66"/>
      <c r="H13" s="66"/>
      <c r="I13" s="67"/>
    </row>
    <row r="14" spans="1:9" s="68" customFormat="1" ht="30.15" customHeight="1" x14ac:dyDescent="0.25">
      <c r="A14" s="263" t="s">
        <v>522</v>
      </c>
      <c r="B14" s="1002">
        <v>42000000</v>
      </c>
      <c r="C14" s="1002">
        <v>42000000</v>
      </c>
      <c r="D14" s="1002">
        <v>42000000</v>
      </c>
      <c r="E14" s="668">
        <f t="shared" si="0"/>
        <v>0</v>
      </c>
      <c r="F14" s="65"/>
      <c r="G14" s="66"/>
      <c r="H14" s="66"/>
      <c r="I14" s="67"/>
    </row>
    <row r="15" spans="1:9" s="68" customFormat="1" ht="30.15" customHeight="1" x14ac:dyDescent="0.25">
      <c r="A15" s="367" t="s">
        <v>1083</v>
      </c>
      <c r="B15" s="1002">
        <v>73660000</v>
      </c>
      <c r="C15" s="1002">
        <v>73660000</v>
      </c>
      <c r="D15" s="1002">
        <v>73660000</v>
      </c>
      <c r="E15" s="668">
        <f t="shared" si="0"/>
        <v>0</v>
      </c>
      <c r="F15" s="65"/>
      <c r="G15" s="66"/>
      <c r="H15" s="66"/>
      <c r="I15" s="67"/>
    </row>
    <row r="16" spans="1:9" s="68" customFormat="1" ht="23.25" customHeight="1" x14ac:dyDescent="0.25">
      <c r="A16" s="366" t="s">
        <v>486</v>
      </c>
      <c r="B16" s="1002">
        <v>1905000</v>
      </c>
      <c r="C16" s="1002">
        <v>3619500</v>
      </c>
      <c r="D16" s="1002">
        <v>3619500</v>
      </c>
      <c r="E16" s="668">
        <f t="shared" si="0"/>
        <v>0</v>
      </c>
      <c r="F16" s="65"/>
      <c r="G16" s="66"/>
      <c r="H16" s="66"/>
      <c r="I16" s="67"/>
    </row>
    <row r="17" spans="1:9" s="68" customFormat="1" ht="20.25" customHeight="1" x14ac:dyDescent="0.25">
      <c r="A17" s="366" t="s">
        <v>487</v>
      </c>
      <c r="B17" s="1002">
        <v>1290320</v>
      </c>
      <c r="C17" s="1002">
        <v>1290320</v>
      </c>
      <c r="D17" s="1002">
        <v>1290320</v>
      </c>
      <c r="E17" s="668">
        <f t="shared" si="0"/>
        <v>0</v>
      </c>
      <c r="F17" s="65"/>
      <c r="G17" s="66"/>
      <c r="H17" s="66"/>
      <c r="I17" s="67"/>
    </row>
    <row r="18" spans="1:9" s="68" customFormat="1" ht="20.25" customHeight="1" x14ac:dyDescent="0.25">
      <c r="A18" s="367" t="s">
        <v>573</v>
      </c>
      <c r="B18" s="1002">
        <v>9080500</v>
      </c>
      <c r="C18" s="1002">
        <v>10541000</v>
      </c>
      <c r="D18" s="1002">
        <v>11049000</v>
      </c>
      <c r="E18" s="668">
        <f t="shared" si="0"/>
        <v>508000</v>
      </c>
      <c r="F18" s="65"/>
      <c r="G18" s="66"/>
      <c r="H18" s="66"/>
      <c r="I18" s="67"/>
    </row>
    <row r="19" spans="1:9" s="68" customFormat="1" ht="15" x14ac:dyDescent="0.25">
      <c r="A19" s="367" t="s">
        <v>32</v>
      </c>
      <c r="B19" s="1002">
        <v>3810000</v>
      </c>
      <c r="C19" s="1002">
        <v>3810000</v>
      </c>
      <c r="D19" s="1002">
        <v>3810000</v>
      </c>
      <c r="E19" s="668">
        <f t="shared" si="0"/>
        <v>0</v>
      </c>
      <c r="F19" s="65"/>
      <c r="G19" s="66"/>
      <c r="H19" s="66"/>
      <c r="I19" s="67"/>
    </row>
    <row r="20" spans="1:9" s="68" customFormat="1" ht="15" x14ac:dyDescent="0.25">
      <c r="A20" s="367" t="s">
        <v>33</v>
      </c>
      <c r="B20" s="1002">
        <v>3883501</v>
      </c>
      <c r="C20" s="1002">
        <v>3883501</v>
      </c>
      <c r="D20" s="1002">
        <v>3883501</v>
      </c>
      <c r="E20" s="668">
        <f t="shared" si="0"/>
        <v>0</v>
      </c>
      <c r="F20" s="65"/>
      <c r="G20" s="66"/>
      <c r="H20" s="66"/>
      <c r="I20" s="67"/>
    </row>
    <row r="21" spans="1:9" s="68" customFormat="1" ht="15" x14ac:dyDescent="0.25">
      <c r="A21" s="367" t="s">
        <v>34</v>
      </c>
      <c r="B21" s="1002">
        <v>3900576</v>
      </c>
      <c r="C21" s="1002">
        <v>3900576</v>
      </c>
      <c r="D21" s="1002">
        <v>3900576</v>
      </c>
      <c r="E21" s="668">
        <f t="shared" si="0"/>
        <v>0</v>
      </c>
      <c r="F21" s="65"/>
      <c r="G21" s="66"/>
      <c r="H21" s="66"/>
      <c r="I21" s="67"/>
    </row>
    <row r="22" spans="1:9" s="68" customFormat="1" ht="15" x14ac:dyDescent="0.25">
      <c r="A22" s="367" t="s">
        <v>500</v>
      </c>
      <c r="B22" s="1002">
        <v>1905000</v>
      </c>
      <c r="C22" s="1002">
        <v>1905000</v>
      </c>
      <c r="D22" s="1002">
        <v>1905000</v>
      </c>
      <c r="E22" s="668">
        <f t="shared" si="0"/>
        <v>0</v>
      </c>
      <c r="F22" s="65"/>
      <c r="G22" s="66"/>
      <c r="H22" s="66"/>
      <c r="I22" s="67"/>
    </row>
    <row r="23" spans="1:9" s="68" customFormat="1" ht="30" x14ac:dyDescent="0.25">
      <c r="A23" s="367" t="s">
        <v>222</v>
      </c>
      <c r="B23" s="1002">
        <v>2652649</v>
      </c>
      <c r="C23" s="1002">
        <v>2652649</v>
      </c>
      <c r="D23" s="1002">
        <v>2652649</v>
      </c>
      <c r="E23" s="668">
        <f t="shared" si="0"/>
        <v>0</v>
      </c>
      <c r="F23" s="65"/>
      <c r="G23" s="66"/>
      <c r="H23" s="66"/>
      <c r="I23" s="67"/>
    </row>
    <row r="24" spans="1:9" s="68" customFormat="1" ht="15" x14ac:dyDescent="0.25">
      <c r="A24" s="669" t="s">
        <v>563</v>
      </c>
      <c r="B24" s="1002">
        <v>140154957</v>
      </c>
      <c r="C24" s="1002">
        <v>140154957</v>
      </c>
      <c r="D24" s="1002">
        <v>140154957</v>
      </c>
      <c r="E24" s="668">
        <f t="shared" si="0"/>
        <v>0</v>
      </c>
      <c r="F24" s="65"/>
      <c r="G24" s="66"/>
      <c r="H24" s="66"/>
      <c r="I24" s="67"/>
    </row>
    <row r="25" spans="1:9" s="68" customFormat="1" ht="15" x14ac:dyDescent="0.25">
      <c r="A25" s="671" t="s">
        <v>564</v>
      </c>
      <c r="B25" s="1002">
        <v>24299241</v>
      </c>
      <c r="C25" s="1002">
        <v>24299241</v>
      </c>
      <c r="D25" s="1002">
        <v>24299241</v>
      </c>
      <c r="E25" s="668">
        <f t="shared" si="0"/>
        <v>0</v>
      </c>
      <c r="F25" s="65"/>
      <c r="G25" s="66"/>
      <c r="H25" s="66"/>
      <c r="I25" s="67"/>
    </row>
    <row r="26" spans="1:9" s="68" customFormat="1" ht="150" x14ac:dyDescent="0.25">
      <c r="A26" s="264" t="s">
        <v>654</v>
      </c>
      <c r="B26" s="1006">
        <v>15741700</v>
      </c>
      <c r="C26" s="1006">
        <v>15741700</v>
      </c>
      <c r="D26" s="1006">
        <v>15741700</v>
      </c>
      <c r="E26" s="668">
        <f t="shared" si="0"/>
        <v>0</v>
      </c>
      <c r="F26" s="65"/>
      <c r="G26" s="66"/>
      <c r="H26" s="66"/>
      <c r="I26" s="67"/>
    </row>
    <row r="27" spans="1:9" s="68" customFormat="1" ht="30" x14ac:dyDescent="0.25">
      <c r="A27" s="264" t="s">
        <v>497</v>
      </c>
      <c r="B27" s="1002">
        <v>505460</v>
      </c>
      <c r="C27" s="1002">
        <v>505460</v>
      </c>
      <c r="D27" s="1002">
        <v>505460</v>
      </c>
      <c r="E27" s="668">
        <f t="shared" si="0"/>
        <v>0</v>
      </c>
      <c r="F27" s="65"/>
      <c r="G27" s="66"/>
      <c r="H27" s="66"/>
      <c r="I27" s="67"/>
    </row>
    <row r="28" spans="1:9" s="68" customFormat="1" ht="15" x14ac:dyDescent="0.25">
      <c r="A28" s="264" t="s">
        <v>565</v>
      </c>
      <c r="B28" s="1002">
        <v>5121364</v>
      </c>
      <c r="C28" s="1002">
        <v>5121364</v>
      </c>
      <c r="D28" s="1002">
        <v>5121364</v>
      </c>
      <c r="E28" s="668">
        <f t="shared" si="0"/>
        <v>0</v>
      </c>
      <c r="F28" s="65"/>
      <c r="G28" s="66"/>
      <c r="H28" s="66"/>
      <c r="I28" s="67"/>
    </row>
    <row r="29" spans="1:9" s="68" customFormat="1" ht="15" x14ac:dyDescent="0.25">
      <c r="A29" s="264" t="s">
        <v>655</v>
      </c>
      <c r="B29" s="1002">
        <v>3983609</v>
      </c>
      <c r="C29" s="1002">
        <v>3983609</v>
      </c>
      <c r="D29" s="1002">
        <v>3983609</v>
      </c>
      <c r="E29" s="668">
        <f t="shared" si="0"/>
        <v>0</v>
      </c>
      <c r="F29" s="65"/>
      <c r="G29" s="66"/>
      <c r="H29" s="66"/>
      <c r="I29" s="67"/>
    </row>
    <row r="30" spans="1:9" s="68" customFormat="1" ht="15" x14ac:dyDescent="0.25">
      <c r="A30" s="264" t="s">
        <v>656</v>
      </c>
      <c r="B30" s="1002">
        <v>2019300</v>
      </c>
      <c r="C30" s="1002">
        <v>2019300</v>
      </c>
      <c r="D30" s="1002">
        <v>2019300</v>
      </c>
      <c r="E30" s="668">
        <f t="shared" si="0"/>
        <v>0</v>
      </c>
      <c r="F30" s="65"/>
      <c r="G30" s="66"/>
      <c r="H30" s="66"/>
      <c r="I30" s="67"/>
    </row>
    <row r="31" spans="1:9" s="68" customFormat="1" ht="15" x14ac:dyDescent="0.25">
      <c r="A31" s="264" t="s">
        <v>657</v>
      </c>
      <c r="B31" s="1002">
        <v>9999878</v>
      </c>
      <c r="C31" s="1002">
        <v>9999878</v>
      </c>
      <c r="D31" s="1002">
        <v>9999878</v>
      </c>
      <c r="E31" s="668">
        <f t="shared" si="0"/>
        <v>0</v>
      </c>
      <c r="F31" s="65"/>
      <c r="G31" s="66"/>
      <c r="H31" s="66"/>
      <c r="I31" s="67"/>
    </row>
    <row r="32" spans="1:9" s="68" customFormat="1" ht="15" x14ac:dyDescent="0.25">
      <c r="A32" s="264" t="s">
        <v>567</v>
      </c>
      <c r="B32" s="1002">
        <v>492400</v>
      </c>
      <c r="C32" s="1002">
        <v>492400</v>
      </c>
      <c r="D32" s="1002">
        <v>492400</v>
      </c>
      <c r="E32" s="668">
        <f t="shared" si="0"/>
        <v>0</v>
      </c>
      <c r="F32" s="65"/>
      <c r="G32" s="66"/>
      <c r="H32" s="66"/>
      <c r="I32" s="67"/>
    </row>
    <row r="33" spans="1:9" s="68" customFormat="1" ht="15" x14ac:dyDescent="0.25">
      <c r="A33" s="264" t="s">
        <v>571</v>
      </c>
      <c r="B33" s="1002">
        <v>894000</v>
      </c>
      <c r="C33" s="1002">
        <v>894000</v>
      </c>
      <c r="D33" s="1002">
        <v>894000</v>
      </c>
      <c r="E33" s="668">
        <f t="shared" si="0"/>
        <v>0</v>
      </c>
      <c r="F33" s="65"/>
      <c r="G33" s="66"/>
      <c r="H33" s="66"/>
      <c r="I33" s="67"/>
    </row>
    <row r="34" spans="1:9" s="68" customFormat="1" ht="15.6" thickBot="1" x14ac:dyDescent="0.3">
      <c r="A34" s="670" t="s">
        <v>572</v>
      </c>
      <c r="B34" s="1003">
        <v>5110480</v>
      </c>
      <c r="C34" s="1003">
        <v>5110480</v>
      </c>
      <c r="D34" s="1003">
        <v>5745048</v>
      </c>
      <c r="E34" s="1301">
        <f t="shared" si="0"/>
        <v>634568</v>
      </c>
      <c r="F34" s="65"/>
      <c r="G34" s="66"/>
      <c r="H34" s="66"/>
      <c r="I34" s="67"/>
    </row>
    <row r="35" spans="1:9" s="68" customFormat="1" ht="42" thickBot="1" x14ac:dyDescent="0.3">
      <c r="A35" s="1015" t="s">
        <v>101</v>
      </c>
      <c r="B35" s="550" t="s">
        <v>591</v>
      </c>
      <c r="C35" s="550" t="s">
        <v>978</v>
      </c>
      <c r="D35" s="550" t="s">
        <v>1044</v>
      </c>
      <c r="E35" s="966" t="s">
        <v>934</v>
      </c>
      <c r="F35" s="65"/>
      <c r="G35" s="66"/>
      <c r="H35" s="66"/>
      <c r="I35" s="67"/>
    </row>
    <row r="36" spans="1:9" s="68" customFormat="1" ht="15" x14ac:dyDescent="0.25">
      <c r="A36" s="660" t="s">
        <v>658</v>
      </c>
      <c r="B36" s="1004">
        <v>4365625</v>
      </c>
      <c r="C36" s="1004">
        <v>4365625</v>
      </c>
      <c r="D36" s="1004">
        <v>4365625</v>
      </c>
      <c r="E36" s="668">
        <f t="shared" si="0"/>
        <v>0</v>
      </c>
      <c r="F36" s="65"/>
      <c r="G36" s="66"/>
      <c r="H36" s="66"/>
      <c r="I36" s="67"/>
    </row>
    <row r="37" spans="1:9" s="68" customFormat="1" ht="15" x14ac:dyDescent="0.25">
      <c r="A37" s="367" t="s">
        <v>19</v>
      </c>
      <c r="B37" s="1004">
        <v>114445321</v>
      </c>
      <c r="C37" s="1004">
        <v>114641917</v>
      </c>
      <c r="D37" s="1004">
        <v>114641917</v>
      </c>
      <c r="E37" s="668">
        <f t="shared" si="0"/>
        <v>0</v>
      </c>
      <c r="F37" s="65"/>
      <c r="G37" s="66"/>
      <c r="H37" s="66"/>
      <c r="I37" s="67"/>
    </row>
    <row r="38" spans="1:9" s="68" customFormat="1" ht="30" x14ac:dyDescent="0.25">
      <c r="A38" s="367" t="s">
        <v>524</v>
      </c>
      <c r="B38" s="1004">
        <v>889948</v>
      </c>
      <c r="C38" s="1004">
        <v>889948</v>
      </c>
      <c r="D38" s="1004">
        <v>889948</v>
      </c>
      <c r="E38" s="668">
        <f t="shared" si="0"/>
        <v>0</v>
      </c>
      <c r="F38" s="65"/>
      <c r="G38" s="66"/>
      <c r="H38" s="66"/>
      <c r="I38" s="67"/>
    </row>
    <row r="39" spans="1:9" s="68" customFormat="1" ht="30" x14ac:dyDescent="0.25">
      <c r="A39" s="367" t="s">
        <v>659</v>
      </c>
      <c r="B39" s="1004">
        <v>660400</v>
      </c>
      <c r="C39" s="1004">
        <v>660400</v>
      </c>
      <c r="D39" s="1004">
        <v>660400</v>
      </c>
      <c r="E39" s="668">
        <f t="shared" si="0"/>
        <v>0</v>
      </c>
      <c r="F39" s="65"/>
      <c r="G39" s="66"/>
      <c r="H39" s="66"/>
      <c r="I39" s="67"/>
    </row>
    <row r="40" spans="1:9" s="68" customFormat="1" ht="15" x14ac:dyDescent="0.25">
      <c r="A40" s="367" t="s">
        <v>660</v>
      </c>
      <c r="B40" s="1004">
        <v>1394460</v>
      </c>
      <c r="C40" s="1004">
        <v>1394460</v>
      </c>
      <c r="D40" s="1004">
        <v>1394460</v>
      </c>
      <c r="E40" s="668">
        <f t="shared" si="0"/>
        <v>0</v>
      </c>
      <c r="F40" s="65"/>
      <c r="G40" s="66"/>
      <c r="H40" s="66"/>
      <c r="I40" s="67"/>
    </row>
    <row r="41" spans="1:9" s="68" customFormat="1" ht="30" x14ac:dyDescent="0.25">
      <c r="A41" s="367" t="s">
        <v>661</v>
      </c>
      <c r="B41" s="1004">
        <v>9779000</v>
      </c>
      <c r="C41" s="1004">
        <v>9779000</v>
      </c>
      <c r="D41" s="1004">
        <v>9779000</v>
      </c>
      <c r="E41" s="668">
        <f t="shared" si="0"/>
        <v>0</v>
      </c>
      <c r="F41" s="65"/>
      <c r="G41" s="66"/>
      <c r="H41" s="66"/>
      <c r="I41" s="67"/>
    </row>
    <row r="42" spans="1:9" s="68" customFormat="1" ht="30" x14ac:dyDescent="0.25">
      <c r="A42" s="367" t="s">
        <v>662</v>
      </c>
      <c r="B42" s="1004">
        <v>336778400</v>
      </c>
      <c r="C42" s="1010">
        <v>336778400</v>
      </c>
      <c r="D42" s="1010">
        <v>331698400</v>
      </c>
      <c r="E42" s="668">
        <f t="shared" si="0"/>
        <v>-5080000</v>
      </c>
      <c r="F42" s="65"/>
      <c r="G42" s="66"/>
      <c r="H42" s="66"/>
      <c r="I42" s="67"/>
    </row>
    <row r="43" spans="1:9" s="68" customFormat="1" ht="45" x14ac:dyDescent="0.25">
      <c r="A43" s="661" t="s">
        <v>8</v>
      </c>
      <c r="B43" s="1002">
        <v>40661762</v>
      </c>
      <c r="C43" s="1213">
        <v>138744432</v>
      </c>
      <c r="D43" s="1213">
        <v>138744432</v>
      </c>
      <c r="E43" s="668">
        <f t="shared" si="0"/>
        <v>0</v>
      </c>
      <c r="F43" s="65"/>
      <c r="G43" s="66"/>
      <c r="H43" s="66"/>
      <c r="I43" s="67"/>
    </row>
    <row r="44" spans="1:9" s="68" customFormat="1" ht="45" x14ac:dyDescent="0.25">
      <c r="A44" s="660" t="s">
        <v>6</v>
      </c>
      <c r="B44" s="1004">
        <v>19185827</v>
      </c>
      <c r="C44" s="1004">
        <v>19185827</v>
      </c>
      <c r="D44" s="1004">
        <v>19185827</v>
      </c>
      <c r="E44" s="668">
        <f t="shared" si="0"/>
        <v>0</v>
      </c>
      <c r="F44" s="65"/>
      <c r="G44" s="66"/>
      <c r="H44" s="66"/>
      <c r="I44" s="67"/>
    </row>
    <row r="45" spans="1:9" s="68" customFormat="1" ht="30" x14ac:dyDescent="0.25">
      <c r="A45" s="367" t="s">
        <v>663</v>
      </c>
      <c r="B45" s="1004">
        <v>853855902</v>
      </c>
      <c r="C45" s="1004">
        <v>898305902</v>
      </c>
      <c r="D45" s="1004">
        <v>898305902</v>
      </c>
      <c r="E45" s="668">
        <f t="shared" si="0"/>
        <v>0</v>
      </c>
      <c r="F45" s="65"/>
      <c r="G45" s="66"/>
      <c r="H45" s="66"/>
      <c r="I45" s="67"/>
    </row>
    <row r="46" spans="1:9" s="68" customFormat="1" ht="30" x14ac:dyDescent="0.25">
      <c r="A46" s="660" t="s">
        <v>9</v>
      </c>
      <c r="B46" s="1004">
        <v>106866924</v>
      </c>
      <c r="C46" s="1004">
        <v>105380494</v>
      </c>
      <c r="D46" s="1004">
        <v>105380494</v>
      </c>
      <c r="E46" s="668">
        <f t="shared" si="0"/>
        <v>0</v>
      </c>
      <c r="F46" s="65"/>
      <c r="G46" s="66"/>
      <c r="H46" s="66"/>
      <c r="I46" s="67"/>
    </row>
    <row r="47" spans="1:9" s="68" customFormat="1" ht="30" x14ac:dyDescent="0.25">
      <c r="A47" s="660" t="s">
        <v>10</v>
      </c>
      <c r="B47" s="1004">
        <v>815784138</v>
      </c>
      <c r="C47" s="1004">
        <v>818869138</v>
      </c>
      <c r="D47" s="1004">
        <v>818869138</v>
      </c>
      <c r="E47" s="668">
        <f t="shared" si="0"/>
        <v>0</v>
      </c>
      <c r="F47" s="65"/>
      <c r="G47" s="66"/>
      <c r="H47" s="66"/>
      <c r="I47" s="67"/>
    </row>
    <row r="48" spans="1:9" s="68" customFormat="1" ht="15" x14ac:dyDescent="0.25">
      <c r="A48" s="660" t="s">
        <v>664</v>
      </c>
      <c r="B48" s="1004">
        <v>173639834</v>
      </c>
      <c r="C48" s="1004">
        <v>173639834</v>
      </c>
      <c r="D48" s="1004">
        <v>173639834</v>
      </c>
      <c r="E48" s="668">
        <f t="shared" si="0"/>
        <v>0</v>
      </c>
      <c r="F48" s="65"/>
      <c r="G48" s="66"/>
      <c r="H48" s="66"/>
      <c r="I48" s="67"/>
    </row>
    <row r="49" spans="1:9" s="68" customFormat="1" ht="15" x14ac:dyDescent="0.25">
      <c r="A49" s="660" t="s">
        <v>665</v>
      </c>
      <c r="B49" s="1004">
        <v>47774080</v>
      </c>
      <c r="C49" s="1004">
        <v>47774080</v>
      </c>
      <c r="D49" s="1004">
        <v>47774080</v>
      </c>
      <c r="E49" s="668">
        <f t="shared" si="0"/>
        <v>0</v>
      </c>
      <c r="F49" s="65"/>
      <c r="G49" s="66"/>
      <c r="H49" s="66"/>
      <c r="I49" s="67"/>
    </row>
    <row r="50" spans="1:9" s="68" customFormat="1" ht="45" x14ac:dyDescent="0.25">
      <c r="A50" s="660" t="s">
        <v>11</v>
      </c>
      <c r="B50" s="1004">
        <v>787353832</v>
      </c>
      <c r="C50" s="1004">
        <v>787353832</v>
      </c>
      <c r="D50" s="1004">
        <v>787353832</v>
      </c>
      <c r="E50" s="668">
        <f t="shared" si="0"/>
        <v>0</v>
      </c>
      <c r="F50" s="65"/>
      <c r="G50" s="66"/>
      <c r="H50" s="66"/>
      <c r="I50" s="67"/>
    </row>
    <row r="51" spans="1:9" s="68" customFormat="1" ht="30" x14ac:dyDescent="0.25">
      <c r="A51" s="367" t="s">
        <v>666</v>
      </c>
      <c r="B51" s="1004">
        <v>211289111</v>
      </c>
      <c r="C51" s="1004">
        <v>211289111</v>
      </c>
      <c r="D51" s="1004">
        <v>211289111</v>
      </c>
      <c r="E51" s="668">
        <f t="shared" si="0"/>
        <v>0</v>
      </c>
      <c r="F51" s="65"/>
      <c r="G51" s="66"/>
      <c r="H51" s="66"/>
      <c r="I51" s="67"/>
    </row>
    <row r="52" spans="1:9" s="68" customFormat="1" ht="15" x14ac:dyDescent="0.25">
      <c r="A52" s="660" t="s">
        <v>667</v>
      </c>
      <c r="B52" s="1004">
        <v>13442366</v>
      </c>
      <c r="C52" s="1004">
        <v>13502355</v>
      </c>
      <c r="D52" s="1004">
        <v>13502355</v>
      </c>
      <c r="E52" s="668">
        <f t="shared" si="0"/>
        <v>0</v>
      </c>
      <c r="F52" s="65"/>
      <c r="G52" s="66"/>
      <c r="H52" s="66"/>
      <c r="I52" s="67"/>
    </row>
    <row r="53" spans="1:9" s="68" customFormat="1" ht="30" x14ac:dyDescent="0.25">
      <c r="A53" s="660" t="s">
        <v>668</v>
      </c>
      <c r="B53" s="1004">
        <v>20000000</v>
      </c>
      <c r="C53" s="1004">
        <v>20099000</v>
      </c>
      <c r="D53" s="1004">
        <v>20099000</v>
      </c>
      <c r="E53" s="668">
        <f t="shared" si="0"/>
        <v>0</v>
      </c>
      <c r="F53" s="65"/>
      <c r="G53" s="66"/>
      <c r="H53" s="66"/>
      <c r="I53" s="67"/>
    </row>
    <row r="54" spans="1:9" s="68" customFormat="1" ht="30" x14ac:dyDescent="0.25">
      <c r="A54" s="369" t="s">
        <v>566</v>
      </c>
      <c r="B54" s="1004">
        <v>3989834</v>
      </c>
      <c r="C54" s="1004">
        <v>3989834</v>
      </c>
      <c r="D54" s="1004">
        <v>3989834</v>
      </c>
      <c r="E54" s="668">
        <f t="shared" si="0"/>
        <v>0</v>
      </c>
      <c r="F54" s="65"/>
      <c r="G54" s="66"/>
      <c r="H54" s="66"/>
      <c r="I54" s="67"/>
    </row>
    <row r="55" spans="1:9" s="68" customFormat="1" ht="15" x14ac:dyDescent="0.25">
      <c r="A55" s="661" t="s">
        <v>669</v>
      </c>
      <c r="B55" s="1004">
        <v>318770</v>
      </c>
      <c r="C55" s="1004">
        <v>318770</v>
      </c>
      <c r="D55" s="1004">
        <v>318770</v>
      </c>
      <c r="E55" s="668">
        <f t="shared" si="0"/>
        <v>0</v>
      </c>
      <c r="F55" s="65"/>
      <c r="G55" s="66"/>
      <c r="H55" s="66"/>
      <c r="I55" s="67"/>
    </row>
    <row r="56" spans="1:9" s="68" customFormat="1" ht="15" x14ac:dyDescent="0.25">
      <c r="A56" s="367" t="s">
        <v>670</v>
      </c>
      <c r="B56" s="1004">
        <v>19000000</v>
      </c>
      <c r="C56" s="1004">
        <v>19000000</v>
      </c>
      <c r="D56" s="1004">
        <v>19000000</v>
      </c>
      <c r="E56" s="668">
        <f t="shared" si="0"/>
        <v>0</v>
      </c>
      <c r="F56" s="65"/>
      <c r="G56" s="66"/>
      <c r="H56" s="66"/>
      <c r="I56" s="67"/>
    </row>
    <row r="57" spans="1:9" s="68" customFormat="1" ht="30" x14ac:dyDescent="0.25">
      <c r="A57" s="367" t="s">
        <v>671</v>
      </c>
      <c r="B57" s="1004">
        <v>6604000</v>
      </c>
      <c r="C57" s="1004">
        <v>6604000</v>
      </c>
      <c r="D57" s="1004">
        <v>6604000</v>
      </c>
      <c r="E57" s="668">
        <f t="shared" si="0"/>
        <v>0</v>
      </c>
      <c r="F57" s="65"/>
      <c r="G57" s="66"/>
      <c r="H57" s="66"/>
      <c r="I57" s="67"/>
    </row>
    <row r="58" spans="1:9" s="68" customFormat="1" ht="30" x14ac:dyDescent="0.25">
      <c r="A58" s="672" t="s">
        <v>672</v>
      </c>
      <c r="B58" s="1004">
        <v>6816800</v>
      </c>
      <c r="C58" s="1004">
        <v>6816800</v>
      </c>
      <c r="D58" s="1004">
        <v>6816800</v>
      </c>
      <c r="E58" s="668">
        <f t="shared" si="0"/>
        <v>0</v>
      </c>
      <c r="F58" s="65"/>
      <c r="G58" s="66"/>
      <c r="H58" s="66"/>
      <c r="I58" s="67"/>
    </row>
    <row r="59" spans="1:9" s="68" customFormat="1" ht="30" x14ac:dyDescent="0.25">
      <c r="A59" s="367" t="s">
        <v>673</v>
      </c>
      <c r="B59" s="1002">
        <v>29999755</v>
      </c>
      <c r="C59" s="1002">
        <v>29999755</v>
      </c>
      <c r="D59" s="1002">
        <v>30045015</v>
      </c>
      <c r="E59" s="668">
        <f t="shared" si="0"/>
        <v>45260</v>
      </c>
      <c r="F59" s="65"/>
      <c r="G59" s="66"/>
      <c r="H59" s="66"/>
      <c r="I59" s="67"/>
    </row>
    <row r="60" spans="1:9" s="68" customFormat="1" ht="24" customHeight="1" thickBot="1" x14ac:dyDescent="0.35">
      <c r="A60" s="266" t="s">
        <v>240</v>
      </c>
      <c r="B60" s="378">
        <f>SUM(B5:B59)</f>
        <v>4888893798</v>
      </c>
      <c r="C60" s="227">
        <f>SUM(C5:C59)</f>
        <v>5036555623</v>
      </c>
      <c r="D60" s="227">
        <f>SUM(D5:D59)</f>
        <v>4393655806</v>
      </c>
      <c r="E60" s="1140">
        <f>D60-C60</f>
        <v>-642899817</v>
      </c>
      <c r="F60" s="59"/>
      <c r="G60" s="66"/>
      <c r="H60" s="66"/>
      <c r="I60" s="67"/>
    </row>
    <row r="61" spans="1:9" s="68" customFormat="1" ht="42" customHeight="1" thickBot="1" x14ac:dyDescent="0.3">
      <c r="A61" s="440" t="s">
        <v>101</v>
      </c>
      <c r="B61" s="550" t="s">
        <v>591</v>
      </c>
      <c r="C61" s="550" t="s">
        <v>978</v>
      </c>
      <c r="D61" s="550" t="s">
        <v>1044</v>
      </c>
      <c r="E61" s="966" t="s">
        <v>934</v>
      </c>
      <c r="F61" s="59"/>
      <c r="G61" s="66"/>
      <c r="H61" s="66"/>
      <c r="I61" s="67"/>
    </row>
    <row r="62" spans="1:9" s="68" customFormat="1" ht="24" customHeight="1" x14ac:dyDescent="0.3">
      <c r="A62" s="93" t="s">
        <v>397</v>
      </c>
      <c r="B62" s="1005"/>
      <c r="C62" s="1214"/>
      <c r="D62" s="1214"/>
      <c r="E62" s="673"/>
      <c r="F62" s="59"/>
      <c r="G62" s="66"/>
      <c r="H62" s="66"/>
      <c r="I62" s="67"/>
    </row>
    <row r="63" spans="1:9" s="68" customFormat="1" ht="18" customHeight="1" x14ac:dyDescent="0.25">
      <c r="A63" s="267" t="s">
        <v>674</v>
      </c>
      <c r="B63" s="1002">
        <v>15000000</v>
      </c>
      <c r="C63" s="1215">
        <v>1249162</v>
      </c>
      <c r="D63" s="1215">
        <v>615902</v>
      </c>
      <c r="E63" s="668">
        <f>D63-C63</f>
        <v>-633260</v>
      </c>
      <c r="F63" s="65"/>
      <c r="G63" s="66"/>
      <c r="H63" s="66"/>
      <c r="I63" s="67"/>
    </row>
    <row r="64" spans="1:9" s="68" customFormat="1" ht="18" customHeight="1" x14ac:dyDescent="0.25">
      <c r="A64" s="268" t="s">
        <v>675</v>
      </c>
      <c r="B64" s="1002">
        <v>100000000</v>
      </c>
      <c r="C64" s="1007">
        <v>99111000</v>
      </c>
      <c r="D64" s="1007">
        <v>94891798</v>
      </c>
      <c r="E64" s="668">
        <f t="shared" ref="E64:E101" si="1">D64-C64</f>
        <v>-4219202</v>
      </c>
      <c r="F64" s="65"/>
      <c r="G64" s="66"/>
      <c r="H64" s="66"/>
      <c r="I64" s="67"/>
    </row>
    <row r="65" spans="1:9" s="68" customFormat="1" ht="45" x14ac:dyDescent="0.25">
      <c r="A65" s="268" t="s">
        <v>1062</v>
      </c>
      <c r="B65" s="1002"/>
      <c r="C65" s="1215"/>
      <c r="D65" s="1215">
        <v>14219202</v>
      </c>
      <c r="E65" s="668">
        <f t="shared" si="1"/>
        <v>14219202</v>
      </c>
      <c r="F65" s="65"/>
      <c r="G65" s="66"/>
      <c r="H65" s="66"/>
      <c r="I65" s="67"/>
    </row>
    <row r="66" spans="1:9" s="68" customFormat="1" ht="18" customHeight="1" x14ac:dyDescent="0.25">
      <c r="A66" s="268" t="s">
        <v>676</v>
      </c>
      <c r="B66" s="1002">
        <v>80000000</v>
      </c>
      <c r="C66" s="1002">
        <v>80000000</v>
      </c>
      <c r="D66" s="1002">
        <v>90000000</v>
      </c>
      <c r="E66" s="668">
        <f t="shared" si="1"/>
        <v>10000000</v>
      </c>
      <c r="F66" s="65"/>
      <c r="G66" s="66"/>
      <c r="H66" s="66"/>
      <c r="I66" s="67"/>
    </row>
    <row r="67" spans="1:9" s="68" customFormat="1" ht="18" customHeight="1" x14ac:dyDescent="0.25">
      <c r="A67" s="268" t="s">
        <v>677</v>
      </c>
      <c r="B67" s="1002">
        <v>20000000</v>
      </c>
      <c r="C67" s="1002">
        <v>20000000</v>
      </c>
      <c r="D67" s="1002">
        <v>20000000</v>
      </c>
      <c r="E67" s="668">
        <f t="shared" si="1"/>
        <v>0</v>
      </c>
      <c r="F67" s="65"/>
      <c r="G67" s="66"/>
      <c r="H67" s="66"/>
      <c r="I67" s="67"/>
    </row>
    <row r="68" spans="1:9" s="68" customFormat="1" ht="18" customHeight="1" x14ac:dyDescent="0.25">
      <c r="A68" s="268" t="s">
        <v>678</v>
      </c>
      <c r="B68" s="1002">
        <v>6000000</v>
      </c>
      <c r="C68" s="1002">
        <v>6000000</v>
      </c>
      <c r="D68" s="1002">
        <v>6000000</v>
      </c>
      <c r="E68" s="668">
        <f t="shared" si="1"/>
        <v>0</v>
      </c>
      <c r="F68" s="65"/>
      <c r="G68" s="66"/>
      <c r="H68" s="66"/>
      <c r="I68" s="67"/>
    </row>
    <row r="69" spans="1:9" s="68" customFormat="1" ht="18" customHeight="1" x14ac:dyDescent="0.25">
      <c r="A69" s="268" t="s">
        <v>679</v>
      </c>
      <c r="B69" s="1002">
        <v>7000000</v>
      </c>
      <c r="C69" s="1002">
        <v>7000000</v>
      </c>
      <c r="D69" s="1002">
        <v>7000000</v>
      </c>
      <c r="E69" s="668">
        <f t="shared" si="1"/>
        <v>0</v>
      </c>
      <c r="F69" s="65"/>
      <c r="G69" s="66"/>
      <c r="H69" s="66"/>
      <c r="I69" s="67"/>
    </row>
    <row r="70" spans="1:9" s="68" customFormat="1" ht="18" customHeight="1" x14ac:dyDescent="0.25">
      <c r="A70" s="268" t="s">
        <v>680</v>
      </c>
      <c r="B70" s="1002">
        <v>9000000</v>
      </c>
      <c r="C70" s="1002">
        <v>9000000</v>
      </c>
      <c r="D70" s="1002">
        <v>8555970</v>
      </c>
      <c r="E70" s="668">
        <f t="shared" si="1"/>
        <v>-444030</v>
      </c>
      <c r="F70" s="65"/>
      <c r="G70" s="66"/>
      <c r="H70" s="66"/>
      <c r="I70" s="67"/>
    </row>
    <row r="71" spans="1:9" s="68" customFormat="1" ht="16.5" customHeight="1" x14ac:dyDescent="0.25">
      <c r="A71" s="264" t="s">
        <v>568</v>
      </c>
      <c r="B71" s="1002">
        <v>5000000</v>
      </c>
      <c r="C71" s="1002">
        <v>5000000</v>
      </c>
      <c r="D71" s="1002">
        <v>4555500</v>
      </c>
      <c r="E71" s="668">
        <f t="shared" si="1"/>
        <v>-444500</v>
      </c>
      <c r="F71" s="65"/>
      <c r="G71" s="66"/>
      <c r="H71" s="66"/>
      <c r="I71" s="67"/>
    </row>
    <row r="72" spans="1:9" s="68" customFormat="1" ht="16.5" customHeight="1" x14ac:dyDescent="0.25">
      <c r="A72" s="264" t="s">
        <v>569</v>
      </c>
      <c r="B72" s="1002">
        <v>2000000</v>
      </c>
      <c r="C72" s="1002">
        <v>497</v>
      </c>
      <c r="D72" s="1002">
        <v>497</v>
      </c>
      <c r="E72" s="668">
        <f t="shared" si="1"/>
        <v>0</v>
      </c>
      <c r="F72" s="65"/>
      <c r="G72" s="66"/>
      <c r="H72" s="66"/>
      <c r="I72" s="67"/>
    </row>
    <row r="73" spans="1:9" s="68" customFormat="1" ht="16.5" customHeight="1" x14ac:dyDescent="0.25">
      <c r="A73" s="264" t="s">
        <v>570</v>
      </c>
      <c r="B73" s="1002">
        <v>6000000</v>
      </c>
      <c r="C73" s="1002">
        <v>6000000</v>
      </c>
      <c r="D73" s="1002">
        <v>6000000</v>
      </c>
      <c r="E73" s="668">
        <f t="shared" si="1"/>
        <v>0</v>
      </c>
      <c r="F73" s="65"/>
      <c r="G73" s="66"/>
      <c r="H73" s="66"/>
      <c r="I73" s="67"/>
    </row>
    <row r="74" spans="1:9" s="68" customFormat="1" ht="30" x14ac:dyDescent="0.25">
      <c r="A74" s="660" t="s">
        <v>7</v>
      </c>
      <c r="B74" s="1002">
        <v>601785000</v>
      </c>
      <c r="C74" s="1002">
        <v>601785000</v>
      </c>
      <c r="D74" s="1002">
        <v>601785000</v>
      </c>
      <c r="E74" s="668">
        <f t="shared" si="1"/>
        <v>0</v>
      </c>
      <c r="F74" s="65"/>
      <c r="G74" s="66"/>
      <c r="H74" s="66"/>
      <c r="I74" s="67"/>
    </row>
    <row r="75" spans="1:9" s="68" customFormat="1" ht="15" x14ac:dyDescent="0.25">
      <c r="A75" s="661" t="s">
        <v>790</v>
      </c>
      <c r="B75" s="1006">
        <v>184189407</v>
      </c>
      <c r="C75" s="1006">
        <v>0</v>
      </c>
      <c r="D75" s="1006">
        <v>0</v>
      </c>
      <c r="E75" s="668">
        <f t="shared" si="1"/>
        <v>0</v>
      </c>
      <c r="F75" s="65"/>
      <c r="G75" s="66"/>
      <c r="H75" s="66"/>
      <c r="I75" s="67"/>
    </row>
    <row r="76" spans="1:9" s="68" customFormat="1" ht="15" x14ac:dyDescent="0.25">
      <c r="A76" s="661" t="s">
        <v>1043</v>
      </c>
      <c r="B76" s="1006"/>
      <c r="C76" s="1006">
        <v>122199565</v>
      </c>
      <c r="D76" s="1006">
        <v>122199565</v>
      </c>
      <c r="E76" s="668">
        <f t="shared" si="1"/>
        <v>0</v>
      </c>
      <c r="F76" s="65"/>
      <c r="G76" s="66"/>
      <c r="H76" s="66"/>
      <c r="I76" s="67"/>
    </row>
    <row r="77" spans="1:9" s="68" customFormat="1" ht="15" x14ac:dyDescent="0.25">
      <c r="A77" s="661" t="s">
        <v>681</v>
      </c>
      <c r="B77" s="1006">
        <v>20000000</v>
      </c>
      <c r="C77" s="1006">
        <v>20000000</v>
      </c>
      <c r="D77" s="1006">
        <v>21112333</v>
      </c>
      <c r="E77" s="668">
        <f t="shared" si="1"/>
        <v>1112333</v>
      </c>
      <c r="F77" s="65"/>
      <c r="G77" s="66"/>
      <c r="H77" s="66"/>
      <c r="I77" s="67"/>
    </row>
    <row r="78" spans="1:9" s="68" customFormat="1" ht="15" x14ac:dyDescent="0.25">
      <c r="A78" s="661" t="s">
        <v>1020</v>
      </c>
      <c r="B78" s="1006"/>
      <c r="C78" s="1006">
        <v>120000</v>
      </c>
      <c r="D78" s="1006">
        <v>120000</v>
      </c>
      <c r="E78" s="668">
        <f t="shared" si="1"/>
        <v>0</v>
      </c>
      <c r="F78" s="65"/>
      <c r="G78" s="66"/>
      <c r="H78" s="66"/>
      <c r="I78" s="67"/>
    </row>
    <row r="79" spans="1:9" s="68" customFormat="1" ht="15" x14ac:dyDescent="0.25">
      <c r="A79" s="367" t="s">
        <v>682</v>
      </c>
      <c r="B79" s="1002">
        <v>30000000</v>
      </c>
      <c r="C79" s="1002">
        <v>19500000</v>
      </c>
      <c r="D79" s="1002">
        <v>19500000</v>
      </c>
      <c r="E79" s="668">
        <f t="shared" si="1"/>
        <v>0</v>
      </c>
      <c r="F79" s="65"/>
      <c r="G79" s="66"/>
      <c r="H79" s="66"/>
      <c r="I79" s="67"/>
    </row>
    <row r="80" spans="1:9" s="68" customFormat="1" ht="15" x14ac:dyDescent="0.25">
      <c r="A80" s="367" t="s">
        <v>683</v>
      </c>
      <c r="B80" s="1002">
        <v>6000000</v>
      </c>
      <c r="C80" s="1002">
        <v>6000000</v>
      </c>
      <c r="D80" s="1002">
        <v>6000000</v>
      </c>
      <c r="E80" s="668">
        <f t="shared" si="1"/>
        <v>0</v>
      </c>
      <c r="F80" s="65"/>
      <c r="G80" s="66"/>
      <c r="H80" s="66"/>
      <c r="I80" s="67"/>
    </row>
    <row r="81" spans="1:9" s="68" customFormat="1" ht="15" x14ac:dyDescent="0.25">
      <c r="A81" s="367" t="s">
        <v>684</v>
      </c>
      <c r="B81" s="1002">
        <v>3000000</v>
      </c>
      <c r="C81" s="1002">
        <v>0</v>
      </c>
      <c r="D81" s="1002">
        <v>0</v>
      </c>
      <c r="E81" s="668">
        <f t="shared" si="1"/>
        <v>0</v>
      </c>
      <c r="F81" s="65"/>
      <c r="G81" s="66"/>
      <c r="H81" s="66"/>
      <c r="I81" s="67"/>
    </row>
    <row r="82" spans="1:9" s="68" customFormat="1" ht="15" x14ac:dyDescent="0.25">
      <c r="A82" s="367" t="s">
        <v>685</v>
      </c>
      <c r="B82" s="1002">
        <v>12000000</v>
      </c>
      <c r="C82" s="1002">
        <v>12000000</v>
      </c>
      <c r="D82" s="1002">
        <v>12000000</v>
      </c>
      <c r="E82" s="668">
        <f t="shared" si="1"/>
        <v>0</v>
      </c>
      <c r="F82" s="65"/>
      <c r="G82" s="66"/>
      <c r="H82" s="66"/>
      <c r="I82" s="67"/>
    </row>
    <row r="83" spans="1:9" s="68" customFormat="1" ht="15" x14ac:dyDescent="0.25">
      <c r="A83" s="367" t="s">
        <v>686</v>
      </c>
      <c r="B83" s="1002">
        <v>5000000</v>
      </c>
      <c r="C83" s="1002">
        <v>500000</v>
      </c>
      <c r="D83" s="1002">
        <v>500000</v>
      </c>
      <c r="E83" s="668">
        <f t="shared" si="1"/>
        <v>0</v>
      </c>
      <c r="F83" s="65"/>
      <c r="G83" s="66"/>
      <c r="H83" s="66"/>
      <c r="I83" s="67"/>
    </row>
    <row r="84" spans="1:9" s="68" customFormat="1" ht="15" x14ac:dyDescent="0.25">
      <c r="A84" s="367" t="s">
        <v>687</v>
      </c>
      <c r="B84" s="1002">
        <v>10000000</v>
      </c>
      <c r="C84" s="1002">
        <v>10000000</v>
      </c>
      <c r="D84" s="1002">
        <v>10000000</v>
      </c>
      <c r="E84" s="668">
        <f t="shared" si="1"/>
        <v>0</v>
      </c>
      <c r="F84" s="65"/>
      <c r="G84" s="66"/>
      <c r="H84" s="66"/>
      <c r="I84" s="67"/>
    </row>
    <row r="85" spans="1:9" s="68" customFormat="1" ht="15" x14ac:dyDescent="0.25">
      <c r="A85" s="367" t="s">
        <v>688</v>
      </c>
      <c r="B85" s="1002">
        <v>5000000</v>
      </c>
      <c r="C85" s="1002">
        <v>5000000</v>
      </c>
      <c r="D85" s="1002">
        <v>5000000</v>
      </c>
      <c r="E85" s="668">
        <f t="shared" si="1"/>
        <v>0</v>
      </c>
      <c r="F85" s="65"/>
      <c r="G85" s="66"/>
      <c r="H85" s="66"/>
      <c r="I85" s="67"/>
    </row>
    <row r="86" spans="1:9" s="68" customFormat="1" ht="15" x14ac:dyDescent="0.25">
      <c r="A86" s="367" t="s">
        <v>689</v>
      </c>
      <c r="B86" s="1002">
        <v>2000000</v>
      </c>
      <c r="C86" s="1002">
        <v>2000000</v>
      </c>
      <c r="D86" s="1002">
        <v>2000000</v>
      </c>
      <c r="E86" s="668">
        <f t="shared" si="1"/>
        <v>0</v>
      </c>
      <c r="F86" s="65"/>
      <c r="G86" s="66"/>
      <c r="H86" s="66"/>
      <c r="I86" s="67"/>
    </row>
    <row r="87" spans="1:9" s="68" customFormat="1" ht="15" x14ac:dyDescent="0.25">
      <c r="A87" s="367" t="s">
        <v>690</v>
      </c>
      <c r="B87" s="1002">
        <v>10000000</v>
      </c>
      <c r="C87" s="1002">
        <v>10000000</v>
      </c>
      <c r="D87" s="1002">
        <v>10000000</v>
      </c>
      <c r="E87" s="668">
        <f t="shared" si="1"/>
        <v>0</v>
      </c>
      <c r="F87" s="65"/>
      <c r="G87" s="66"/>
      <c r="H87" s="66"/>
      <c r="I87" s="67"/>
    </row>
    <row r="88" spans="1:9" s="68" customFormat="1" ht="15" x14ac:dyDescent="0.25">
      <c r="A88" s="367" t="s">
        <v>952</v>
      </c>
      <c r="B88" s="1002">
        <v>2000000</v>
      </c>
      <c r="C88" s="307">
        <v>0</v>
      </c>
      <c r="D88" s="307">
        <v>0</v>
      </c>
      <c r="E88" s="668">
        <f t="shared" si="1"/>
        <v>0</v>
      </c>
      <c r="F88" s="65"/>
      <c r="G88" s="66"/>
      <c r="H88" s="66"/>
      <c r="I88" s="67"/>
    </row>
    <row r="89" spans="1:9" s="68" customFormat="1" ht="15" x14ac:dyDescent="0.25">
      <c r="A89" s="367" t="s">
        <v>691</v>
      </c>
      <c r="B89" s="1002">
        <v>8000000</v>
      </c>
      <c r="C89" s="1002">
        <v>8000000</v>
      </c>
      <c r="D89" s="1002">
        <v>8000000</v>
      </c>
      <c r="E89" s="668">
        <f t="shared" si="1"/>
        <v>0</v>
      </c>
      <c r="F89" s="65"/>
      <c r="G89" s="66"/>
      <c r="H89" s="66"/>
      <c r="I89" s="67"/>
    </row>
    <row r="90" spans="1:9" s="68" customFormat="1" ht="15" x14ac:dyDescent="0.25">
      <c r="A90" s="367" t="s">
        <v>692</v>
      </c>
      <c r="B90" s="1002">
        <v>11430000</v>
      </c>
      <c r="C90" s="1002">
        <v>11430000</v>
      </c>
      <c r="D90" s="1002">
        <v>11430000</v>
      </c>
      <c r="E90" s="668">
        <f t="shared" si="1"/>
        <v>0</v>
      </c>
      <c r="F90" s="65"/>
      <c r="G90" s="66"/>
      <c r="H90" s="66"/>
      <c r="I90" s="67"/>
    </row>
    <row r="91" spans="1:9" s="68" customFormat="1" ht="30" x14ac:dyDescent="0.25">
      <c r="A91" s="367" t="s">
        <v>723</v>
      </c>
      <c r="B91" s="1002">
        <v>35000000</v>
      </c>
      <c r="C91" s="226">
        <v>33984000</v>
      </c>
      <c r="D91" s="226">
        <v>33984000</v>
      </c>
      <c r="E91" s="668">
        <f t="shared" si="1"/>
        <v>0</v>
      </c>
      <c r="F91" s="65"/>
      <c r="G91" s="66"/>
      <c r="H91" s="66"/>
      <c r="I91" s="67"/>
    </row>
    <row r="92" spans="1:9" s="68" customFormat="1" ht="15" x14ac:dyDescent="0.25">
      <c r="A92" s="367" t="s">
        <v>953</v>
      </c>
      <c r="B92" s="1002">
        <v>70000000</v>
      </c>
      <c r="C92" s="226">
        <v>59111000</v>
      </c>
      <c r="D92" s="226">
        <v>59111000</v>
      </c>
      <c r="E92" s="668">
        <f t="shared" si="1"/>
        <v>0</v>
      </c>
      <c r="F92" s="65"/>
      <c r="G92" s="66"/>
      <c r="H92" s="66"/>
      <c r="I92" s="67"/>
    </row>
    <row r="93" spans="1:9" s="68" customFormat="1" ht="30" x14ac:dyDescent="0.25">
      <c r="A93" s="367" t="s">
        <v>1021</v>
      </c>
      <c r="B93" s="1002"/>
      <c r="C93" s="226">
        <v>40000000</v>
      </c>
      <c r="D93" s="226">
        <v>40000000</v>
      </c>
      <c r="E93" s="668">
        <f t="shared" si="1"/>
        <v>0</v>
      </c>
      <c r="F93" s="65"/>
      <c r="G93" s="66"/>
      <c r="H93" s="66"/>
      <c r="I93" s="67"/>
    </row>
    <row r="94" spans="1:9" s="68" customFormat="1" ht="15" x14ac:dyDescent="0.25">
      <c r="A94" s="367" t="s">
        <v>959</v>
      </c>
      <c r="B94" s="1002"/>
      <c r="C94" s="226">
        <v>677437</v>
      </c>
      <c r="D94" s="226">
        <v>677437</v>
      </c>
      <c r="E94" s="668">
        <f t="shared" si="1"/>
        <v>0</v>
      </c>
      <c r="F94" s="65"/>
      <c r="G94" s="66"/>
      <c r="H94" s="66"/>
      <c r="I94" s="67"/>
    </row>
    <row r="95" spans="1:9" s="68" customFormat="1" ht="15" x14ac:dyDescent="0.25">
      <c r="A95" s="367" t="s">
        <v>693</v>
      </c>
      <c r="B95" s="1002">
        <v>50000000</v>
      </c>
      <c r="C95" s="226">
        <v>50000000</v>
      </c>
      <c r="D95" s="226">
        <v>50000000</v>
      </c>
      <c r="E95" s="668">
        <f t="shared" si="1"/>
        <v>0</v>
      </c>
      <c r="F95" s="65"/>
      <c r="G95" s="66"/>
      <c r="H95" s="66"/>
      <c r="I95" s="67"/>
    </row>
    <row r="96" spans="1:9" s="68" customFormat="1" ht="15" x14ac:dyDescent="0.25">
      <c r="A96" s="367" t="s">
        <v>694</v>
      </c>
      <c r="B96" s="1002">
        <v>15000000</v>
      </c>
      <c r="C96" s="226">
        <v>14580000</v>
      </c>
      <c r="D96" s="226">
        <v>14580000</v>
      </c>
      <c r="E96" s="668">
        <f t="shared" si="1"/>
        <v>0</v>
      </c>
      <c r="F96" s="65"/>
      <c r="G96" s="66"/>
      <c r="H96" s="66"/>
      <c r="I96" s="67"/>
    </row>
    <row r="97" spans="1:9" s="68" customFormat="1" ht="15" x14ac:dyDescent="0.25">
      <c r="A97" s="367" t="s">
        <v>695</v>
      </c>
      <c r="B97" s="1002">
        <v>10000000</v>
      </c>
      <c r="C97" s="1002">
        <v>10000000</v>
      </c>
      <c r="D97" s="1002">
        <v>10000000</v>
      </c>
      <c r="E97" s="668">
        <f t="shared" si="1"/>
        <v>0</v>
      </c>
      <c r="F97" s="65"/>
      <c r="G97" s="66"/>
      <c r="H97" s="66"/>
      <c r="I97" s="67"/>
    </row>
    <row r="98" spans="1:9" s="68" customFormat="1" ht="15" x14ac:dyDescent="0.25">
      <c r="A98" s="367" t="s">
        <v>696</v>
      </c>
      <c r="B98" s="1002">
        <v>2500000</v>
      </c>
      <c r="C98" s="1002">
        <v>0</v>
      </c>
      <c r="D98" s="1002">
        <v>0</v>
      </c>
      <c r="E98" s="668">
        <f t="shared" si="1"/>
        <v>0</v>
      </c>
      <c r="F98" s="65"/>
      <c r="G98" s="66"/>
      <c r="H98" s="66"/>
      <c r="I98" s="67"/>
    </row>
    <row r="99" spans="1:9" s="68" customFormat="1" ht="15" x14ac:dyDescent="0.25">
      <c r="A99" s="367" t="s">
        <v>697</v>
      </c>
      <c r="B99" s="1002">
        <v>2500000</v>
      </c>
      <c r="C99" s="1002">
        <v>2877249</v>
      </c>
      <c r="D99" s="1002">
        <v>2877249</v>
      </c>
      <c r="E99" s="668">
        <f t="shared" si="1"/>
        <v>0</v>
      </c>
      <c r="F99" s="65"/>
      <c r="G99" s="66"/>
      <c r="H99" s="66"/>
      <c r="I99" s="67"/>
    </row>
    <row r="100" spans="1:9" s="68" customFormat="1" ht="15" x14ac:dyDescent="0.25">
      <c r="A100" s="367" t="s">
        <v>698</v>
      </c>
      <c r="B100" s="1002">
        <v>2000000</v>
      </c>
      <c r="C100" s="1002">
        <v>1622751</v>
      </c>
      <c r="D100" s="1002">
        <v>1622751</v>
      </c>
      <c r="E100" s="668">
        <f t="shared" si="1"/>
        <v>0</v>
      </c>
      <c r="F100" s="65"/>
      <c r="G100" s="66"/>
      <c r="H100" s="66"/>
      <c r="I100" s="67"/>
    </row>
    <row r="101" spans="1:9" s="68" customFormat="1" ht="15" x14ac:dyDescent="0.25">
      <c r="A101" s="367" t="s">
        <v>699</v>
      </c>
      <c r="B101" s="1002">
        <v>8000000</v>
      </c>
      <c r="C101" s="1002">
        <v>8000000</v>
      </c>
      <c r="D101" s="1002">
        <v>8000000</v>
      </c>
      <c r="E101" s="668">
        <f t="shared" si="1"/>
        <v>0</v>
      </c>
      <c r="F101" s="65"/>
      <c r="G101" s="66"/>
      <c r="H101" s="66"/>
      <c r="I101" s="67"/>
    </row>
    <row r="102" spans="1:9" s="68" customFormat="1" ht="30" x14ac:dyDescent="0.25">
      <c r="A102" s="1302" t="s">
        <v>700</v>
      </c>
      <c r="B102" s="1006">
        <v>1500000</v>
      </c>
      <c r="C102" s="1006">
        <v>1500000</v>
      </c>
      <c r="D102" s="1006">
        <v>1500000</v>
      </c>
      <c r="E102" s="1303">
        <f>D102-C102</f>
        <v>0</v>
      </c>
      <c r="F102" s="65"/>
      <c r="G102" s="66"/>
      <c r="H102" s="66"/>
      <c r="I102" s="67"/>
    </row>
    <row r="103" spans="1:9" s="68" customFormat="1" ht="30.6" thickBot="1" x14ac:dyDescent="0.3">
      <c r="A103" s="1016" t="s">
        <v>701</v>
      </c>
      <c r="B103" s="1003">
        <v>1000000</v>
      </c>
      <c r="C103" s="1003">
        <v>0</v>
      </c>
      <c r="D103" s="1003">
        <v>0</v>
      </c>
      <c r="E103" s="1301">
        <f t="shared" ref="E103:E140" si="2">D103-C103</f>
        <v>0</v>
      </c>
      <c r="F103" s="65"/>
      <c r="G103" s="66"/>
      <c r="H103" s="66"/>
      <c r="I103" s="67"/>
    </row>
    <row r="104" spans="1:9" s="68" customFormat="1" ht="42" thickBot="1" x14ac:dyDescent="0.3">
      <c r="A104" s="440" t="s">
        <v>101</v>
      </c>
      <c r="B104" s="550" t="s">
        <v>591</v>
      </c>
      <c r="C104" s="550" t="s">
        <v>978</v>
      </c>
      <c r="D104" s="550" t="s">
        <v>1044</v>
      </c>
      <c r="E104" s="966" t="s">
        <v>934</v>
      </c>
      <c r="F104" s="65"/>
      <c r="G104" s="66"/>
      <c r="H104" s="66"/>
      <c r="I104" s="67"/>
    </row>
    <row r="105" spans="1:9" s="68" customFormat="1" ht="30" x14ac:dyDescent="0.25">
      <c r="A105" s="367" t="s">
        <v>954</v>
      </c>
      <c r="B105" s="1002">
        <v>170000000</v>
      </c>
      <c r="C105" s="307">
        <v>224415394</v>
      </c>
      <c r="D105" s="307">
        <v>224415394</v>
      </c>
      <c r="E105" s="668">
        <f t="shared" si="2"/>
        <v>0</v>
      </c>
      <c r="F105" s="65"/>
      <c r="G105" s="66"/>
      <c r="H105" s="66"/>
      <c r="I105" s="67"/>
    </row>
    <row r="106" spans="1:9" s="68" customFormat="1" ht="15" x14ac:dyDescent="0.25">
      <c r="A106" s="367" t="s">
        <v>722</v>
      </c>
      <c r="B106" s="1002">
        <v>50000000</v>
      </c>
      <c r="C106" s="1002">
        <v>50000000</v>
      </c>
      <c r="D106" s="1002">
        <v>50000000</v>
      </c>
      <c r="E106" s="668">
        <f t="shared" si="2"/>
        <v>0</v>
      </c>
      <c r="F106" s="65"/>
      <c r="G106" s="66"/>
      <c r="H106" s="66"/>
      <c r="I106" s="67"/>
    </row>
    <row r="107" spans="1:9" s="68" customFormat="1" ht="15" x14ac:dyDescent="0.25">
      <c r="A107" s="367" t="s">
        <v>1022</v>
      </c>
      <c r="B107" s="1002">
        <v>30000000</v>
      </c>
      <c r="C107" s="1002">
        <v>45000000</v>
      </c>
      <c r="D107" s="1002">
        <v>45000000</v>
      </c>
      <c r="E107" s="668">
        <f t="shared" si="2"/>
        <v>0</v>
      </c>
      <c r="F107" s="65"/>
      <c r="G107" s="66"/>
      <c r="H107" s="66"/>
      <c r="I107" s="67"/>
    </row>
    <row r="108" spans="1:9" s="68" customFormat="1" ht="15" x14ac:dyDescent="0.25">
      <c r="A108" s="367" t="s">
        <v>1023</v>
      </c>
      <c r="B108" s="1002"/>
      <c r="C108" s="1002">
        <v>21000000</v>
      </c>
      <c r="D108" s="1002">
        <v>21000000</v>
      </c>
      <c r="E108" s="668">
        <f t="shared" si="2"/>
        <v>0</v>
      </c>
      <c r="F108" s="65"/>
      <c r="G108" s="66"/>
      <c r="H108" s="66"/>
      <c r="I108" s="67"/>
    </row>
    <row r="109" spans="1:9" s="68" customFormat="1" ht="15" x14ac:dyDescent="0.25">
      <c r="A109" s="367" t="s">
        <v>1024</v>
      </c>
      <c r="B109" s="1002"/>
      <c r="C109" s="1002">
        <v>25000000</v>
      </c>
      <c r="D109" s="1002">
        <v>25000000</v>
      </c>
      <c r="E109" s="668">
        <f t="shared" si="2"/>
        <v>0</v>
      </c>
      <c r="F109" s="65"/>
      <c r="G109" s="66"/>
      <c r="H109" s="66"/>
      <c r="I109" s="67"/>
    </row>
    <row r="110" spans="1:9" s="68" customFormat="1" ht="45" x14ac:dyDescent="0.25">
      <c r="A110" s="367" t="s">
        <v>964</v>
      </c>
      <c r="B110" s="1002">
        <v>15373071</v>
      </c>
      <c r="C110" s="307">
        <v>115412686</v>
      </c>
      <c r="D110" s="307">
        <v>115412686</v>
      </c>
      <c r="E110" s="668">
        <f t="shared" si="2"/>
        <v>0</v>
      </c>
      <c r="F110" s="65"/>
      <c r="G110" s="66"/>
      <c r="H110" s="66"/>
      <c r="I110" s="67"/>
    </row>
    <row r="111" spans="1:9" s="68" customFormat="1" ht="15" x14ac:dyDescent="0.25">
      <c r="A111" s="367" t="s">
        <v>956</v>
      </c>
      <c r="B111" s="1002"/>
      <c r="C111" s="226">
        <v>7095744</v>
      </c>
      <c r="D111" s="226">
        <v>7095744</v>
      </c>
      <c r="E111" s="668">
        <f t="shared" si="2"/>
        <v>0</v>
      </c>
      <c r="F111" s="65"/>
      <c r="G111" s="66"/>
      <c r="H111" s="66"/>
      <c r="I111" s="67"/>
    </row>
    <row r="112" spans="1:9" s="68" customFormat="1" ht="15" x14ac:dyDescent="0.25">
      <c r="A112" s="367" t="s">
        <v>955</v>
      </c>
      <c r="B112" s="1002"/>
      <c r="C112" s="226">
        <v>15121636</v>
      </c>
      <c r="D112" s="226">
        <v>15121636</v>
      </c>
      <c r="E112" s="668">
        <f t="shared" si="2"/>
        <v>0</v>
      </c>
      <c r="F112" s="65"/>
      <c r="G112" s="66"/>
      <c r="H112" s="66"/>
      <c r="I112" s="67"/>
    </row>
    <row r="113" spans="1:9" s="68" customFormat="1" ht="30" x14ac:dyDescent="0.25">
      <c r="A113" s="367" t="s">
        <v>702</v>
      </c>
      <c r="B113" s="1002">
        <v>15000000</v>
      </c>
      <c r="C113" s="226">
        <v>15000000</v>
      </c>
      <c r="D113" s="226">
        <v>15000000</v>
      </c>
      <c r="E113" s="668">
        <f t="shared" si="2"/>
        <v>0</v>
      </c>
      <c r="F113" s="65"/>
      <c r="G113" s="66"/>
      <c r="H113" s="66"/>
      <c r="I113" s="67"/>
    </row>
    <row r="114" spans="1:9" s="68" customFormat="1" ht="45" x14ac:dyDescent="0.25">
      <c r="A114" s="660" t="s">
        <v>716</v>
      </c>
      <c r="B114" s="1002">
        <v>44790551</v>
      </c>
      <c r="C114" s="1002">
        <v>56884000</v>
      </c>
      <c r="D114" s="1002">
        <v>56884000</v>
      </c>
      <c r="E114" s="668">
        <f t="shared" si="2"/>
        <v>0</v>
      </c>
      <c r="F114" s="65"/>
      <c r="G114" s="66"/>
      <c r="H114" s="66"/>
      <c r="I114" s="67"/>
    </row>
    <row r="115" spans="1:9" s="68" customFormat="1" ht="19.5" customHeight="1" x14ac:dyDescent="0.25">
      <c r="A115" s="367" t="s">
        <v>719</v>
      </c>
      <c r="B115" s="1002">
        <v>140612195</v>
      </c>
      <c r="C115" s="1002">
        <v>140612195</v>
      </c>
      <c r="D115" s="1002">
        <v>140612195</v>
      </c>
      <c r="E115" s="668">
        <f t="shared" si="2"/>
        <v>0</v>
      </c>
      <c r="F115" s="65"/>
      <c r="G115" s="66"/>
      <c r="H115" s="66"/>
      <c r="I115" s="67"/>
    </row>
    <row r="116" spans="1:9" s="68" customFormat="1" ht="30" x14ac:dyDescent="0.25">
      <c r="A116" s="367" t="s">
        <v>720</v>
      </c>
      <c r="B116" s="1002">
        <v>1147414478</v>
      </c>
      <c r="C116" s="1002">
        <v>1147414478</v>
      </c>
      <c r="D116" s="1002">
        <v>1147414478</v>
      </c>
      <c r="E116" s="668">
        <f t="shared" si="2"/>
        <v>0</v>
      </c>
      <c r="F116" s="65"/>
      <c r="G116" s="66"/>
      <c r="H116" s="66"/>
      <c r="I116" s="67"/>
    </row>
    <row r="117" spans="1:9" s="68" customFormat="1" ht="15" x14ac:dyDescent="0.25">
      <c r="A117" s="367" t="s">
        <v>724</v>
      </c>
      <c r="B117" s="1002">
        <v>115000</v>
      </c>
      <c r="C117" s="1002">
        <v>115000</v>
      </c>
      <c r="D117" s="1002">
        <v>115000</v>
      </c>
      <c r="E117" s="668">
        <f t="shared" si="2"/>
        <v>0</v>
      </c>
      <c r="F117" s="65"/>
      <c r="G117" s="66"/>
      <c r="H117" s="66"/>
      <c r="I117" s="67"/>
    </row>
    <row r="118" spans="1:9" s="68" customFormat="1" ht="15" x14ac:dyDescent="0.25">
      <c r="A118" s="1133" t="s">
        <v>957</v>
      </c>
      <c r="B118" s="1002"/>
      <c r="C118" s="1002">
        <v>6022003</v>
      </c>
      <c r="D118" s="1002">
        <v>6515832</v>
      </c>
      <c r="E118" s="668">
        <f t="shared" si="2"/>
        <v>493829</v>
      </c>
      <c r="F118" s="65"/>
      <c r="G118" s="66"/>
      <c r="H118" s="66"/>
      <c r="I118" s="67"/>
    </row>
    <row r="119" spans="1:9" s="68" customFormat="1" ht="15" x14ac:dyDescent="0.25">
      <c r="A119" s="1133" t="s">
        <v>958</v>
      </c>
      <c r="B119" s="1002"/>
      <c r="C119" s="1002">
        <v>10882500</v>
      </c>
      <c r="D119" s="1002">
        <v>3382500</v>
      </c>
      <c r="E119" s="668">
        <f t="shared" si="2"/>
        <v>-7500000</v>
      </c>
      <c r="F119" s="65"/>
      <c r="G119" s="66"/>
      <c r="H119" s="66"/>
      <c r="I119" s="67"/>
    </row>
    <row r="120" spans="1:9" s="68" customFormat="1" ht="45" x14ac:dyDescent="0.25">
      <c r="A120" s="1133" t="s">
        <v>972</v>
      </c>
      <c r="B120" s="1002"/>
      <c r="C120" s="1002">
        <v>1000000</v>
      </c>
      <c r="D120" s="1002">
        <v>1000000</v>
      </c>
      <c r="E120" s="668">
        <f t="shared" si="2"/>
        <v>0</v>
      </c>
      <c r="F120" s="65"/>
      <c r="G120" s="66"/>
      <c r="H120" s="66"/>
      <c r="I120" s="67"/>
    </row>
    <row r="121" spans="1:9" s="68" customFormat="1" ht="30" x14ac:dyDescent="0.25">
      <c r="A121" s="1133" t="s">
        <v>1027</v>
      </c>
      <c r="B121" s="1002"/>
      <c r="C121" s="1002">
        <v>500000</v>
      </c>
      <c r="D121" s="1002">
        <v>500000</v>
      </c>
      <c r="E121" s="668">
        <f t="shared" si="2"/>
        <v>0</v>
      </c>
      <c r="F121" s="65"/>
      <c r="G121" s="66"/>
      <c r="H121" s="66"/>
      <c r="I121" s="67"/>
    </row>
    <row r="122" spans="1:9" s="68" customFormat="1" ht="30" x14ac:dyDescent="0.25">
      <c r="A122" s="1133" t="s">
        <v>1028</v>
      </c>
      <c r="B122" s="1002"/>
      <c r="C122" s="1002">
        <v>10000000</v>
      </c>
      <c r="D122" s="1002">
        <v>10000000</v>
      </c>
      <c r="E122" s="668">
        <f t="shared" si="2"/>
        <v>0</v>
      </c>
      <c r="F122" s="65"/>
      <c r="G122" s="66"/>
      <c r="H122" s="66"/>
      <c r="I122" s="67"/>
    </row>
    <row r="123" spans="1:9" s="68" customFormat="1" ht="15" x14ac:dyDescent="0.25">
      <c r="A123" s="1133" t="s">
        <v>1029</v>
      </c>
      <c r="B123" s="1002"/>
      <c r="C123" s="1002">
        <v>500000</v>
      </c>
      <c r="D123" s="1002">
        <v>500000</v>
      </c>
      <c r="E123" s="668">
        <f t="shared" si="2"/>
        <v>0</v>
      </c>
      <c r="F123" s="65"/>
      <c r="G123" s="66"/>
      <c r="H123" s="66"/>
      <c r="I123" s="67"/>
    </row>
    <row r="124" spans="1:9" s="68" customFormat="1" ht="30" x14ac:dyDescent="0.25">
      <c r="A124" s="1133" t="s">
        <v>1030</v>
      </c>
      <c r="B124" s="1002"/>
      <c r="C124" s="1002">
        <v>2506980</v>
      </c>
      <c r="D124" s="1002">
        <v>2506980</v>
      </c>
      <c r="E124" s="668">
        <f t="shared" si="2"/>
        <v>0</v>
      </c>
      <c r="F124" s="65"/>
      <c r="G124" s="66"/>
      <c r="H124" s="66"/>
      <c r="I124" s="67"/>
    </row>
    <row r="125" spans="1:9" s="68" customFormat="1" ht="45" x14ac:dyDescent="0.25">
      <c r="A125" s="1133" t="s">
        <v>1031</v>
      </c>
      <c r="B125" s="1002"/>
      <c r="C125" s="1002">
        <v>24770000</v>
      </c>
      <c r="D125" s="1002">
        <v>24770000</v>
      </c>
      <c r="E125" s="668">
        <f t="shared" si="2"/>
        <v>0</v>
      </c>
      <c r="F125" s="65"/>
      <c r="G125" s="66"/>
      <c r="H125" s="66"/>
      <c r="I125" s="67"/>
    </row>
    <row r="126" spans="1:9" s="68" customFormat="1" ht="30" x14ac:dyDescent="0.25">
      <c r="A126" s="1133" t="s">
        <v>1063</v>
      </c>
      <c r="B126" s="1002"/>
      <c r="C126" s="1002"/>
      <c r="D126" s="1002">
        <v>444500</v>
      </c>
      <c r="E126" s="668">
        <f t="shared" si="2"/>
        <v>444500</v>
      </c>
      <c r="F126" s="65"/>
      <c r="G126" s="66"/>
      <c r="H126" s="66"/>
      <c r="I126" s="67"/>
    </row>
    <row r="127" spans="1:9" s="68" customFormat="1" ht="30" x14ac:dyDescent="0.25">
      <c r="A127" s="1133" t="s">
        <v>1064</v>
      </c>
      <c r="B127" s="1002"/>
      <c r="C127" s="1002"/>
      <c r="D127" s="1002">
        <v>845000</v>
      </c>
      <c r="E127" s="668">
        <f t="shared" si="2"/>
        <v>845000</v>
      </c>
      <c r="F127" s="65"/>
      <c r="G127" s="66"/>
      <c r="H127" s="66"/>
      <c r="I127" s="67"/>
    </row>
    <row r="128" spans="1:9" s="68" customFormat="1" ht="30" x14ac:dyDescent="0.25">
      <c r="A128" s="1346" t="s">
        <v>1065</v>
      </c>
      <c r="B128" s="1002"/>
      <c r="C128" s="1002"/>
      <c r="D128" s="1002">
        <v>1086856142</v>
      </c>
      <c r="E128" s="668">
        <f t="shared" si="2"/>
        <v>1086856142</v>
      </c>
      <c r="F128" s="65"/>
      <c r="G128" s="66"/>
      <c r="H128" s="66"/>
      <c r="I128" s="67"/>
    </row>
    <row r="129" spans="1:9" s="68" customFormat="1" ht="15" x14ac:dyDescent="0.25">
      <c r="A129" s="1346" t="s">
        <v>1066</v>
      </c>
      <c r="B129" s="1002"/>
      <c r="C129" s="1002"/>
      <c r="D129" s="1002">
        <v>12700</v>
      </c>
      <c r="E129" s="668">
        <f t="shared" si="2"/>
        <v>12700</v>
      </c>
      <c r="F129" s="65"/>
      <c r="G129" s="66"/>
      <c r="H129" s="66"/>
      <c r="I129" s="67"/>
    </row>
    <row r="130" spans="1:9" s="68" customFormat="1" ht="15" x14ac:dyDescent="0.25">
      <c r="A130" s="1346" t="s">
        <v>1067</v>
      </c>
      <c r="B130" s="1002"/>
      <c r="C130" s="1002"/>
      <c r="D130" s="1002">
        <v>60500</v>
      </c>
      <c r="E130" s="668">
        <f t="shared" si="2"/>
        <v>60500</v>
      </c>
      <c r="F130" s="65"/>
      <c r="G130" s="66"/>
      <c r="H130" s="66"/>
      <c r="I130" s="67"/>
    </row>
    <row r="131" spans="1:9" s="68" customFormat="1" ht="15" x14ac:dyDescent="0.25">
      <c r="A131" s="1346" t="s">
        <v>1068</v>
      </c>
      <c r="B131" s="1002"/>
      <c r="C131" s="1002"/>
      <c r="D131" s="1002">
        <v>1000000</v>
      </c>
      <c r="E131" s="668">
        <f t="shared" si="2"/>
        <v>1000000</v>
      </c>
      <c r="F131" s="65"/>
      <c r="G131" s="66"/>
      <c r="H131" s="66"/>
      <c r="I131" s="67"/>
    </row>
    <row r="132" spans="1:9" s="68" customFormat="1" ht="15" x14ac:dyDescent="0.25">
      <c r="A132" s="1346" t="s">
        <v>1069</v>
      </c>
      <c r="B132" s="1002"/>
      <c r="C132" s="1002"/>
      <c r="D132" s="1002">
        <v>2481115</v>
      </c>
      <c r="E132" s="668">
        <f t="shared" si="2"/>
        <v>2481115</v>
      </c>
      <c r="F132" s="65"/>
      <c r="G132" s="66"/>
      <c r="H132" s="66"/>
      <c r="I132" s="67"/>
    </row>
    <row r="133" spans="1:9" s="68" customFormat="1" ht="15" x14ac:dyDescent="0.25">
      <c r="A133" s="1346" t="s">
        <v>1070</v>
      </c>
      <c r="B133" s="1002"/>
      <c r="C133" s="1002"/>
      <c r="D133" s="1002">
        <v>75000</v>
      </c>
      <c r="E133" s="668">
        <f t="shared" si="2"/>
        <v>75000</v>
      </c>
      <c r="F133" s="65"/>
      <c r="G133" s="66"/>
      <c r="H133" s="66"/>
      <c r="I133" s="67"/>
    </row>
    <row r="134" spans="1:9" s="68" customFormat="1" ht="15" x14ac:dyDescent="0.25">
      <c r="A134" s="1346" t="s">
        <v>1071</v>
      </c>
      <c r="B134" s="1002"/>
      <c r="C134" s="1002"/>
      <c r="D134" s="1002">
        <v>300000</v>
      </c>
      <c r="E134" s="668">
        <f t="shared" si="2"/>
        <v>300000</v>
      </c>
      <c r="F134" s="65"/>
      <c r="G134" s="66"/>
      <c r="H134" s="66"/>
      <c r="I134" s="67"/>
    </row>
    <row r="135" spans="1:9" s="68" customFormat="1" ht="30" x14ac:dyDescent="0.25">
      <c r="A135" s="1346" t="s">
        <v>1072</v>
      </c>
      <c r="B135" s="1002"/>
      <c r="C135" s="1002"/>
      <c r="D135" s="1002">
        <v>11000000</v>
      </c>
      <c r="E135" s="668">
        <f t="shared" si="2"/>
        <v>11000000</v>
      </c>
      <c r="F135" s="65"/>
      <c r="G135" s="66"/>
      <c r="H135" s="66"/>
      <c r="I135" s="67"/>
    </row>
    <row r="136" spans="1:9" s="68" customFormat="1" ht="30" x14ac:dyDescent="0.25">
      <c r="A136" s="74" t="s">
        <v>246</v>
      </c>
      <c r="B136" s="307">
        <f>SUM(B137:B137)</f>
        <v>26000000</v>
      </c>
      <c r="C136" s="307">
        <f>SUM(C137:C138)</f>
        <v>26543360</v>
      </c>
      <c r="D136" s="307">
        <f>SUM(D137:D138)</f>
        <v>26543360</v>
      </c>
      <c r="E136" s="668">
        <f t="shared" si="2"/>
        <v>0</v>
      </c>
      <c r="F136" s="65"/>
      <c r="G136" s="66"/>
      <c r="H136" s="66"/>
      <c r="I136" s="67"/>
    </row>
    <row r="137" spans="1:9" s="68" customFormat="1" ht="15.75" customHeight="1" x14ac:dyDescent="0.25">
      <c r="A137" s="269" t="s">
        <v>1025</v>
      </c>
      <c r="B137" s="1010">
        <v>26000000</v>
      </c>
      <c r="C137" s="1010">
        <v>26000000</v>
      </c>
      <c r="D137" s="1010">
        <v>26000000</v>
      </c>
      <c r="E137" s="668">
        <f t="shared" si="2"/>
        <v>0</v>
      </c>
      <c r="F137" s="65"/>
      <c r="G137" s="66"/>
      <c r="H137" s="66"/>
      <c r="I137" s="67"/>
    </row>
    <row r="138" spans="1:9" s="68" customFormat="1" ht="30" x14ac:dyDescent="0.25">
      <c r="A138" s="269" t="s">
        <v>1026</v>
      </c>
      <c r="B138" s="1010"/>
      <c r="C138" s="1010">
        <v>543360</v>
      </c>
      <c r="D138" s="1010">
        <v>543360</v>
      </c>
      <c r="E138" s="668">
        <f t="shared" si="2"/>
        <v>0</v>
      </c>
      <c r="F138" s="65"/>
      <c r="G138" s="66"/>
      <c r="H138" s="66"/>
      <c r="I138" s="67"/>
    </row>
    <row r="139" spans="1:9" s="68" customFormat="1" ht="15" x14ac:dyDescent="0.25">
      <c r="A139" s="269" t="s">
        <v>247</v>
      </c>
      <c r="B139" s="1010">
        <f>SUM(B140:B140)</f>
        <v>16000000</v>
      </c>
      <c r="C139" s="1010">
        <f>SUM(C140:C140)</f>
        <v>16000000</v>
      </c>
      <c r="D139" s="1010">
        <f>SUM(D140:D140)</f>
        <v>16000000</v>
      </c>
      <c r="E139" s="668">
        <f t="shared" si="2"/>
        <v>0</v>
      </c>
      <c r="F139" s="65"/>
      <c r="G139" s="66"/>
      <c r="H139" s="66"/>
      <c r="I139" s="67"/>
    </row>
    <row r="140" spans="1:9" s="68" customFormat="1" ht="18" customHeight="1" x14ac:dyDescent="0.25">
      <c r="A140" s="269" t="s">
        <v>228</v>
      </c>
      <c r="B140" s="1010">
        <v>16000000</v>
      </c>
      <c r="C140" s="1010">
        <v>16000000</v>
      </c>
      <c r="D140" s="1010">
        <v>16000000</v>
      </c>
      <c r="E140" s="668">
        <f t="shared" si="2"/>
        <v>0</v>
      </c>
      <c r="F140" s="65"/>
      <c r="G140" s="66"/>
      <c r="H140" s="66"/>
      <c r="I140" s="67"/>
    </row>
    <row r="141" spans="1:9" s="68" customFormat="1" ht="18" customHeight="1" x14ac:dyDescent="0.3">
      <c r="A141" s="270" t="s">
        <v>248</v>
      </c>
      <c r="B141" s="271">
        <f>SUM(B63:B136,B139)</f>
        <v>3013209702</v>
      </c>
      <c r="C141" s="271">
        <f>SUM(C63:C136,C139)</f>
        <v>3246043637</v>
      </c>
      <c r="D141" s="271">
        <f>SUM(D63:D136,D139)</f>
        <v>4361702966</v>
      </c>
      <c r="E141" s="679">
        <f>D141-C141</f>
        <v>1115659329</v>
      </c>
      <c r="F141" s="65"/>
      <c r="G141" s="66"/>
      <c r="H141" s="66"/>
      <c r="I141" s="67"/>
    </row>
    <row r="142" spans="1:9" s="68" customFormat="1" ht="20.25" customHeight="1" thickBot="1" x14ac:dyDescent="0.35">
      <c r="A142" s="75" t="s">
        <v>249</v>
      </c>
      <c r="B142" s="227">
        <f>B141+B60</f>
        <v>7902103500</v>
      </c>
      <c r="C142" s="227">
        <f>C141+C60</f>
        <v>8282599260</v>
      </c>
      <c r="D142" s="227">
        <f>D141+D60</f>
        <v>8755358772</v>
      </c>
      <c r="E142" s="1140">
        <f>D142-C142</f>
        <v>472759512</v>
      </c>
      <c r="F142" s="104"/>
      <c r="G142" s="66"/>
      <c r="H142" s="66"/>
      <c r="I142" s="67"/>
    </row>
    <row r="143" spans="1:9" s="68" customFormat="1" ht="42" thickBot="1" x14ac:dyDescent="0.3">
      <c r="A143" s="440" t="s">
        <v>101</v>
      </c>
      <c r="B143" s="550" t="s">
        <v>591</v>
      </c>
      <c r="C143" s="550" t="s">
        <v>978</v>
      </c>
      <c r="D143" s="550" t="s">
        <v>1044</v>
      </c>
      <c r="E143" s="966" t="s">
        <v>934</v>
      </c>
      <c r="F143" s="104"/>
      <c r="G143" s="66"/>
      <c r="H143" s="66"/>
      <c r="I143" s="67"/>
    </row>
    <row r="144" spans="1:9" s="68" customFormat="1" ht="43.5" customHeight="1" x14ac:dyDescent="0.3">
      <c r="A144" s="330" t="s">
        <v>398</v>
      </c>
      <c r="B144" s="1014"/>
      <c r="C144" s="1214"/>
      <c r="D144" s="1214"/>
      <c r="E144" s="674"/>
      <c r="F144" s="65"/>
      <c r="G144" s="66"/>
      <c r="H144" s="66"/>
      <c r="I144" s="67"/>
    </row>
    <row r="145" spans="1:9" s="68" customFormat="1" ht="31.2" x14ac:dyDescent="0.3">
      <c r="A145" s="374" t="s">
        <v>251</v>
      </c>
      <c r="B145" s="354">
        <f>SUM(B146:B147)</f>
        <v>11091061</v>
      </c>
      <c r="C145" s="354">
        <f>SUM(C146:C150)</f>
        <v>170691061</v>
      </c>
      <c r="D145" s="354">
        <f>SUM(D146:D150)</f>
        <v>176191061</v>
      </c>
      <c r="E145" s="377">
        <f>D145-C145</f>
        <v>5500000</v>
      </c>
      <c r="F145" s="65"/>
      <c r="G145" s="66"/>
      <c r="H145" s="66"/>
      <c r="I145" s="67"/>
    </row>
    <row r="146" spans="1:9" s="68" customFormat="1" ht="15" customHeight="1" x14ac:dyDescent="0.25">
      <c r="A146" s="269" t="s">
        <v>395</v>
      </c>
      <c r="B146" s="1002"/>
      <c r="C146" s="307"/>
      <c r="D146" s="307"/>
      <c r="E146" s="668"/>
      <c r="F146" s="65"/>
      <c r="G146" s="66"/>
      <c r="H146" s="66"/>
      <c r="I146" s="67"/>
    </row>
    <row r="147" spans="1:9" s="68" customFormat="1" ht="15" customHeight="1" x14ac:dyDescent="0.25">
      <c r="A147" s="269" t="s">
        <v>238</v>
      </c>
      <c r="B147" s="1002">
        <f>1158590+9932471</f>
        <v>11091061</v>
      </c>
      <c r="C147" s="1002">
        <f>1158590+9932471</f>
        <v>11091061</v>
      </c>
      <c r="D147" s="1002">
        <f>1158590+9932471</f>
        <v>11091061</v>
      </c>
      <c r="E147" s="668">
        <f>D147-C147</f>
        <v>0</v>
      </c>
      <c r="F147" s="65"/>
      <c r="G147" s="66"/>
      <c r="H147" s="66"/>
      <c r="I147" s="67"/>
    </row>
    <row r="148" spans="1:9" s="68" customFormat="1" ht="15" customHeight="1" x14ac:dyDescent="0.25">
      <c r="A148" s="74" t="s">
        <v>960</v>
      </c>
      <c r="B148" s="1002"/>
      <c r="C148" s="226">
        <v>2600000</v>
      </c>
      <c r="D148" s="226">
        <v>2600000</v>
      </c>
      <c r="E148" s="668">
        <f t="shared" ref="E148:E151" si="3">D148-C148</f>
        <v>0</v>
      </c>
      <c r="F148" s="65"/>
      <c r="G148" s="66"/>
      <c r="H148" s="66"/>
      <c r="I148" s="67"/>
    </row>
    <row r="149" spans="1:9" s="68" customFormat="1" ht="15" customHeight="1" x14ac:dyDescent="0.25">
      <c r="A149" s="74" t="s">
        <v>961</v>
      </c>
      <c r="B149" s="1002"/>
      <c r="C149" s="226">
        <v>150000000</v>
      </c>
      <c r="D149" s="226">
        <v>150000000</v>
      </c>
      <c r="E149" s="668">
        <f t="shared" si="3"/>
        <v>0</v>
      </c>
      <c r="F149" s="65"/>
      <c r="G149" s="66"/>
      <c r="H149" s="66"/>
      <c r="I149" s="67"/>
    </row>
    <row r="150" spans="1:9" s="68" customFormat="1" ht="30" x14ac:dyDescent="0.25">
      <c r="A150" s="74" t="s">
        <v>1032</v>
      </c>
      <c r="B150" s="1002"/>
      <c r="C150" s="307">
        <v>7000000</v>
      </c>
      <c r="D150" s="307">
        <v>12500000</v>
      </c>
      <c r="E150" s="668">
        <f t="shared" si="3"/>
        <v>5500000</v>
      </c>
      <c r="F150" s="65"/>
      <c r="G150" s="66"/>
      <c r="H150" s="66"/>
      <c r="I150" s="67"/>
    </row>
    <row r="151" spans="1:9" s="68" customFormat="1" ht="29.25" customHeight="1" x14ac:dyDescent="0.3">
      <c r="A151" s="554" t="s">
        <v>371</v>
      </c>
      <c r="B151" s="1013"/>
      <c r="C151" s="1216"/>
      <c r="D151" s="1216"/>
      <c r="E151" s="668">
        <f t="shared" si="3"/>
        <v>0</v>
      </c>
      <c r="F151" s="65"/>
      <c r="G151" s="66"/>
      <c r="H151" s="66"/>
      <c r="I151" s="67"/>
    </row>
    <row r="152" spans="1:9" s="68" customFormat="1" ht="29.25" customHeight="1" x14ac:dyDescent="0.3">
      <c r="A152" s="375" t="s">
        <v>252</v>
      </c>
      <c r="B152" s="354">
        <f>SUM(B153:B158)</f>
        <v>23400000</v>
      </c>
      <c r="C152" s="354">
        <f>SUM(C153:C160)</f>
        <v>32250000</v>
      </c>
      <c r="D152" s="354">
        <f>SUM(D153:D161)</f>
        <v>625762424</v>
      </c>
      <c r="E152" s="377">
        <f>D152-C152</f>
        <v>593512424</v>
      </c>
      <c r="F152" s="65"/>
      <c r="G152" s="66"/>
      <c r="H152" s="66"/>
      <c r="I152" s="67"/>
    </row>
    <row r="153" spans="1:9" s="68" customFormat="1" ht="30" x14ac:dyDescent="0.25">
      <c r="A153" s="331" t="s">
        <v>191</v>
      </c>
      <c r="B153" s="1010"/>
      <c r="C153" s="307"/>
      <c r="D153" s="307">
        <v>312424</v>
      </c>
      <c r="E153" s="668">
        <f>D153-C153</f>
        <v>312424</v>
      </c>
      <c r="F153" s="104"/>
      <c r="G153" s="66"/>
      <c r="H153" s="66"/>
      <c r="I153" s="67"/>
    </row>
    <row r="154" spans="1:9" s="68" customFormat="1" ht="15" x14ac:dyDescent="0.25">
      <c r="A154" s="331" t="s">
        <v>244</v>
      </c>
      <c r="B154" s="1010">
        <v>800000</v>
      </c>
      <c r="C154" s="1002">
        <v>800000</v>
      </c>
      <c r="D154" s="1002">
        <v>4000000</v>
      </c>
      <c r="E154" s="668">
        <f t="shared" ref="E154:E161" si="4">D154-C154</f>
        <v>3200000</v>
      </c>
      <c r="F154" s="65"/>
      <c r="G154" s="66"/>
      <c r="H154" s="66"/>
      <c r="I154" s="67"/>
    </row>
    <row r="155" spans="1:9" s="68" customFormat="1" ht="21.75" customHeight="1" x14ac:dyDescent="0.25">
      <c r="A155" s="331" t="s">
        <v>245</v>
      </c>
      <c r="B155" s="1010">
        <v>2000000</v>
      </c>
      <c r="C155" s="1002">
        <v>1850000</v>
      </c>
      <c r="D155" s="1002">
        <v>1850000</v>
      </c>
      <c r="E155" s="668">
        <f t="shared" si="4"/>
        <v>0</v>
      </c>
      <c r="F155" s="65"/>
      <c r="G155" s="66"/>
      <c r="H155" s="66"/>
      <c r="I155" s="67"/>
    </row>
    <row r="156" spans="1:9" s="68" customFormat="1" ht="21.15" customHeight="1" x14ac:dyDescent="0.25">
      <c r="A156" s="368" t="s">
        <v>1034</v>
      </c>
      <c r="B156" s="1010">
        <v>12000000</v>
      </c>
      <c r="C156" s="1002">
        <v>12000000</v>
      </c>
      <c r="D156" s="1002">
        <v>12000000</v>
      </c>
      <c r="E156" s="668">
        <f t="shared" si="4"/>
        <v>0</v>
      </c>
      <c r="F156" s="65"/>
      <c r="G156" s="66"/>
      <c r="H156" s="66"/>
      <c r="I156" s="67"/>
    </row>
    <row r="157" spans="1:9" s="68" customFormat="1" ht="21.15" customHeight="1" x14ac:dyDescent="0.25">
      <c r="A157" s="420" t="s">
        <v>1033</v>
      </c>
      <c r="B157" s="1010">
        <v>100000</v>
      </c>
      <c r="C157" s="1002">
        <v>100000</v>
      </c>
      <c r="D157" s="1002">
        <v>100000</v>
      </c>
      <c r="E157" s="668">
        <f t="shared" si="4"/>
        <v>0</v>
      </c>
      <c r="F157" s="65"/>
      <c r="G157" s="66"/>
      <c r="H157" s="66"/>
      <c r="I157" s="67"/>
    </row>
    <row r="158" spans="1:9" s="68" customFormat="1" ht="29.25" customHeight="1" x14ac:dyDescent="0.25">
      <c r="A158" s="372" t="s">
        <v>1035</v>
      </c>
      <c r="B158" s="1010">
        <v>8500000</v>
      </c>
      <c r="C158" s="1002">
        <v>10000000</v>
      </c>
      <c r="D158" s="1002">
        <v>10000000</v>
      </c>
      <c r="E158" s="668">
        <f t="shared" si="4"/>
        <v>0</v>
      </c>
      <c r="F158" s="65"/>
      <c r="G158" s="66"/>
      <c r="H158" s="66"/>
      <c r="I158" s="67"/>
    </row>
    <row r="159" spans="1:9" s="68" customFormat="1" ht="29.25" customHeight="1" x14ac:dyDescent="0.25">
      <c r="A159" s="372" t="s">
        <v>1036</v>
      </c>
      <c r="B159" s="1010"/>
      <c r="C159" s="1002">
        <v>2500000</v>
      </c>
      <c r="D159" s="1002">
        <v>2500000</v>
      </c>
      <c r="E159" s="668">
        <f t="shared" si="4"/>
        <v>0</v>
      </c>
      <c r="F159" s="65"/>
      <c r="G159" s="66"/>
      <c r="H159" s="66"/>
      <c r="I159" s="67"/>
    </row>
    <row r="160" spans="1:9" s="68" customFormat="1" ht="29.25" customHeight="1" x14ac:dyDescent="0.25">
      <c r="A160" s="1347" t="s">
        <v>962</v>
      </c>
      <c r="B160" s="1010"/>
      <c r="C160" s="307">
        <v>5000000</v>
      </c>
      <c r="D160" s="307">
        <v>5000000</v>
      </c>
      <c r="E160" s="668">
        <f t="shared" si="4"/>
        <v>0</v>
      </c>
      <c r="F160" s="65"/>
      <c r="G160" s="66"/>
      <c r="H160" s="66"/>
      <c r="I160" s="67"/>
    </row>
    <row r="161" spans="1:9" s="68" customFormat="1" ht="75" x14ac:dyDescent="0.25">
      <c r="A161" s="1134" t="s">
        <v>1073</v>
      </c>
      <c r="B161" s="1010"/>
      <c r="C161" s="307"/>
      <c r="D161" s="307">
        <v>590000000</v>
      </c>
      <c r="E161" s="668">
        <f t="shared" si="4"/>
        <v>590000000</v>
      </c>
      <c r="F161" s="65"/>
      <c r="G161" s="66"/>
      <c r="H161" s="66"/>
      <c r="I161" s="67"/>
    </row>
    <row r="162" spans="1:9" s="68" customFormat="1" ht="34.5" customHeight="1" x14ac:dyDescent="0.3">
      <c r="A162" s="376" t="s">
        <v>253</v>
      </c>
      <c r="B162" s="354">
        <f>SUM(B163:B205)</f>
        <v>180900478</v>
      </c>
      <c r="C162" s="354">
        <f>SUM(C163:C205)</f>
        <v>189059294</v>
      </c>
      <c r="D162" s="354">
        <f>SUM(D163:D205)</f>
        <v>197028543</v>
      </c>
      <c r="E162" s="377">
        <f>SUM(E163:E205)</f>
        <v>7969249</v>
      </c>
      <c r="F162" s="65"/>
      <c r="G162" s="66"/>
      <c r="H162" s="66"/>
      <c r="I162" s="67"/>
    </row>
    <row r="163" spans="1:9" s="68" customFormat="1" ht="30" x14ac:dyDescent="0.25">
      <c r="A163" s="332" t="s">
        <v>499</v>
      </c>
      <c r="B163" s="1010">
        <v>100000</v>
      </c>
      <c r="C163" s="1010">
        <v>100000</v>
      </c>
      <c r="D163" s="1010">
        <v>100000</v>
      </c>
      <c r="E163" s="668">
        <f>D163-C163</f>
        <v>0</v>
      </c>
      <c r="F163" s="104"/>
      <c r="G163" s="66"/>
      <c r="H163" s="66"/>
      <c r="I163" s="67"/>
    </row>
    <row r="164" spans="1:9" s="68" customFormat="1" ht="30" x14ac:dyDescent="0.25">
      <c r="A164" s="331" t="s">
        <v>587</v>
      </c>
      <c r="B164" s="1002">
        <v>0</v>
      </c>
      <c r="C164" s="1135">
        <v>1308816</v>
      </c>
      <c r="D164" s="1135">
        <v>1308816</v>
      </c>
      <c r="E164" s="668">
        <f t="shared" ref="E164:E184" si="5">D164-C164</f>
        <v>0</v>
      </c>
      <c r="F164" s="65"/>
      <c r="G164" s="66"/>
      <c r="H164" s="66"/>
      <c r="I164" s="67"/>
    </row>
    <row r="165" spans="1:9" s="63" customFormat="1" ht="30" x14ac:dyDescent="0.25">
      <c r="A165" s="265" t="s">
        <v>385</v>
      </c>
      <c r="B165" s="1002">
        <v>500000</v>
      </c>
      <c r="C165" s="1002">
        <v>500000</v>
      </c>
      <c r="D165" s="1002">
        <v>500000</v>
      </c>
      <c r="E165" s="668">
        <f t="shared" si="5"/>
        <v>0</v>
      </c>
    </row>
    <row r="166" spans="1:9" s="63" customFormat="1" ht="28.5" customHeight="1" x14ac:dyDescent="0.25">
      <c r="A166" s="265" t="s">
        <v>386</v>
      </c>
      <c r="B166" s="1002">
        <v>340000</v>
      </c>
      <c r="C166" s="1002">
        <v>340000</v>
      </c>
      <c r="D166" s="1002">
        <v>340000</v>
      </c>
      <c r="E166" s="668">
        <f t="shared" si="5"/>
        <v>0</v>
      </c>
    </row>
    <row r="167" spans="1:9" s="63" customFormat="1" ht="28.5" customHeight="1" x14ac:dyDescent="0.25">
      <c r="A167" s="265" t="s">
        <v>387</v>
      </c>
      <c r="B167" s="1002">
        <v>900000</v>
      </c>
      <c r="C167" s="1002">
        <v>900000</v>
      </c>
      <c r="D167" s="1002">
        <v>900000</v>
      </c>
      <c r="E167" s="668">
        <f t="shared" si="5"/>
        <v>0</v>
      </c>
    </row>
    <row r="168" spans="1:9" s="63" customFormat="1" ht="28.5" customHeight="1" x14ac:dyDescent="0.25">
      <c r="A168" s="372" t="s">
        <v>588</v>
      </c>
      <c r="B168" s="1002">
        <v>1000000</v>
      </c>
      <c r="C168" s="1002">
        <v>1000000</v>
      </c>
      <c r="D168" s="1002">
        <v>1000000</v>
      </c>
      <c r="E168" s="668">
        <f t="shared" si="5"/>
        <v>0</v>
      </c>
    </row>
    <row r="169" spans="1:9" s="63" customFormat="1" ht="28.5" customHeight="1" x14ac:dyDescent="0.25">
      <c r="A169" s="1282" t="s">
        <v>1037</v>
      </c>
      <c r="B169" s="1002"/>
      <c r="C169" s="1002">
        <v>700000</v>
      </c>
      <c r="D169" s="1002">
        <v>700000</v>
      </c>
      <c r="E169" s="668">
        <f t="shared" si="5"/>
        <v>0</v>
      </c>
    </row>
    <row r="170" spans="1:9" s="63" customFormat="1" ht="28.5" customHeight="1" x14ac:dyDescent="0.25">
      <c r="A170" s="1282" t="s">
        <v>1038</v>
      </c>
      <c r="B170" s="1002"/>
      <c r="C170" s="1002">
        <v>800000</v>
      </c>
      <c r="D170" s="1002">
        <v>800000</v>
      </c>
      <c r="E170" s="668">
        <f t="shared" si="5"/>
        <v>0</v>
      </c>
    </row>
    <row r="171" spans="1:9" s="63" customFormat="1" ht="28.5" customHeight="1" x14ac:dyDescent="0.25">
      <c r="A171" s="1282" t="s">
        <v>1039</v>
      </c>
      <c r="B171" s="1002"/>
      <c r="C171" s="1002">
        <v>350000</v>
      </c>
      <c r="D171" s="1002">
        <v>350000</v>
      </c>
      <c r="E171" s="668">
        <f t="shared" si="5"/>
        <v>0</v>
      </c>
    </row>
    <row r="172" spans="1:9" s="63" customFormat="1" ht="28.5" customHeight="1" x14ac:dyDescent="0.25">
      <c r="A172" s="1282" t="s">
        <v>1040</v>
      </c>
      <c r="B172" s="1002"/>
      <c r="C172" s="1002">
        <v>200000</v>
      </c>
      <c r="D172" s="1002">
        <v>200000</v>
      </c>
      <c r="E172" s="668">
        <f t="shared" si="5"/>
        <v>0</v>
      </c>
    </row>
    <row r="173" spans="1:9" s="63" customFormat="1" ht="28.5" customHeight="1" x14ac:dyDescent="0.25">
      <c r="A173" s="1282" t="s">
        <v>1041</v>
      </c>
      <c r="B173" s="1002"/>
      <c r="C173" s="1002">
        <v>800000</v>
      </c>
      <c r="D173" s="1002">
        <v>800000</v>
      </c>
      <c r="E173" s="668">
        <f t="shared" si="5"/>
        <v>0</v>
      </c>
    </row>
    <row r="174" spans="1:9" s="63" customFormat="1" ht="28.5" customHeight="1" x14ac:dyDescent="0.25">
      <c r="A174" s="1282" t="s">
        <v>1042</v>
      </c>
      <c r="B174" s="1002"/>
      <c r="C174" s="1002">
        <v>4000000</v>
      </c>
      <c r="D174" s="1002">
        <v>7500000</v>
      </c>
      <c r="E174" s="668">
        <f t="shared" si="5"/>
        <v>3500000</v>
      </c>
    </row>
    <row r="175" spans="1:9" s="63" customFormat="1" ht="28.5" customHeight="1" x14ac:dyDescent="0.25">
      <c r="A175" s="370" t="s">
        <v>713</v>
      </c>
      <c r="B175" s="1002">
        <v>8200000</v>
      </c>
      <c r="C175" s="1002">
        <v>8200000</v>
      </c>
      <c r="D175" s="1002">
        <v>8200000</v>
      </c>
      <c r="E175" s="668">
        <f t="shared" si="5"/>
        <v>0</v>
      </c>
    </row>
    <row r="176" spans="1:9" s="63" customFormat="1" ht="30.75" customHeight="1" x14ac:dyDescent="0.25">
      <c r="A176" s="331" t="s">
        <v>408</v>
      </c>
      <c r="B176" s="1002"/>
      <c r="C176" s="307"/>
      <c r="D176" s="307"/>
      <c r="E176" s="668">
        <f t="shared" si="5"/>
        <v>0</v>
      </c>
      <c r="F176" s="60"/>
      <c r="G176" s="61"/>
      <c r="H176" s="61"/>
      <c r="I176" s="62"/>
    </row>
    <row r="177" spans="1:9" s="63" customFormat="1" ht="30.75" customHeight="1" thickBot="1" x14ac:dyDescent="0.3">
      <c r="A177" s="1305" t="s">
        <v>409</v>
      </c>
      <c r="B177" s="1003"/>
      <c r="C177" s="1306"/>
      <c r="D177" s="1306"/>
      <c r="E177" s="1301">
        <f t="shared" si="5"/>
        <v>0</v>
      </c>
      <c r="F177" s="60"/>
      <c r="G177" s="61"/>
      <c r="H177" s="61"/>
      <c r="I177" s="62"/>
    </row>
    <row r="178" spans="1:9" s="63" customFormat="1" ht="40.5" customHeight="1" thickBot="1" x14ac:dyDescent="0.3">
      <c r="A178" s="440" t="s">
        <v>101</v>
      </c>
      <c r="B178" s="550" t="s">
        <v>591</v>
      </c>
      <c r="C178" s="550" t="s">
        <v>978</v>
      </c>
      <c r="D178" s="550" t="s">
        <v>1044</v>
      </c>
      <c r="E178" s="966" t="s">
        <v>934</v>
      </c>
      <c r="F178" s="60"/>
      <c r="G178" s="61"/>
      <c r="H178" s="61"/>
      <c r="I178" s="62"/>
    </row>
    <row r="179" spans="1:9" s="63" customFormat="1" ht="30.75" customHeight="1" x14ac:dyDescent="0.25">
      <c r="A179" s="331" t="s">
        <v>396</v>
      </c>
      <c r="B179" s="1002"/>
      <c r="C179" s="307"/>
      <c r="D179" s="307"/>
      <c r="E179" s="668">
        <f t="shared" si="5"/>
        <v>0</v>
      </c>
      <c r="F179" s="60"/>
      <c r="G179" s="61"/>
      <c r="H179" s="61"/>
      <c r="I179" s="62"/>
    </row>
    <row r="180" spans="1:9" s="63" customFormat="1" ht="30.75" customHeight="1" x14ac:dyDescent="0.25">
      <c r="A180" s="371" t="s">
        <v>236</v>
      </c>
      <c r="B180" s="1002">
        <v>1500000</v>
      </c>
      <c r="C180" s="1002">
        <v>1500000</v>
      </c>
      <c r="D180" s="1002">
        <v>1487576</v>
      </c>
      <c r="E180" s="668">
        <f t="shared" si="5"/>
        <v>-12424</v>
      </c>
      <c r="F180" s="60"/>
      <c r="G180" s="61"/>
      <c r="H180" s="61"/>
      <c r="I180" s="62"/>
    </row>
    <row r="181" spans="1:9" s="63" customFormat="1" ht="30" x14ac:dyDescent="0.25">
      <c r="A181" s="557" t="s">
        <v>20</v>
      </c>
      <c r="B181" s="1002">
        <v>1000000</v>
      </c>
      <c r="C181" s="1002">
        <v>1000000</v>
      </c>
      <c r="D181" s="1002">
        <v>1000000</v>
      </c>
      <c r="E181" s="668">
        <f t="shared" si="5"/>
        <v>0</v>
      </c>
      <c r="F181" s="60"/>
      <c r="G181" s="61"/>
      <c r="H181" s="61"/>
      <c r="I181" s="62"/>
    </row>
    <row r="182" spans="1:9" s="63" customFormat="1" ht="31.65" customHeight="1" x14ac:dyDescent="0.25">
      <c r="A182" s="372" t="s">
        <v>505</v>
      </c>
      <c r="B182" s="1002">
        <v>750000</v>
      </c>
      <c r="C182" s="1002">
        <v>750000</v>
      </c>
      <c r="D182" s="1002">
        <v>750000</v>
      </c>
      <c r="E182" s="668">
        <f t="shared" si="5"/>
        <v>0</v>
      </c>
      <c r="F182" s="60"/>
      <c r="G182" s="61"/>
      <c r="H182" s="61"/>
      <c r="I182" s="62"/>
    </row>
    <row r="183" spans="1:9" s="63" customFormat="1" ht="60" x14ac:dyDescent="0.25">
      <c r="A183" s="675" t="s">
        <v>506</v>
      </c>
      <c r="B183" s="1010">
        <v>20000000</v>
      </c>
      <c r="C183" s="1010">
        <v>20000000</v>
      </c>
      <c r="D183" s="1010">
        <v>20000000</v>
      </c>
      <c r="E183" s="668">
        <f t="shared" si="5"/>
        <v>0</v>
      </c>
      <c r="F183" s="60"/>
      <c r="G183" s="61"/>
      <c r="H183" s="61"/>
      <c r="I183" s="62"/>
    </row>
    <row r="184" spans="1:9" s="63" customFormat="1" ht="19.5" customHeight="1" x14ac:dyDescent="0.25">
      <c r="A184" s="1009" t="s">
        <v>366</v>
      </c>
      <c r="B184" s="1010">
        <v>3000000</v>
      </c>
      <c r="C184" s="1010">
        <v>3000000</v>
      </c>
      <c r="D184" s="1010">
        <v>6390667</v>
      </c>
      <c r="E184" s="668">
        <f t="shared" si="5"/>
        <v>3390667</v>
      </c>
      <c r="F184" s="60"/>
      <c r="G184" s="61"/>
      <c r="H184" s="61"/>
      <c r="I184" s="62"/>
    </row>
    <row r="185" spans="1:9" s="63" customFormat="1" ht="40.65" customHeight="1" x14ac:dyDescent="0.25">
      <c r="A185" s="419" t="s">
        <v>525</v>
      </c>
      <c r="B185" s="1304">
        <v>18000000</v>
      </c>
      <c r="C185" s="1304">
        <v>18000000</v>
      </c>
      <c r="D185" s="1304">
        <v>18000000</v>
      </c>
      <c r="E185" s="1303">
        <f>D185-C185</f>
        <v>0</v>
      </c>
      <c r="F185" s="60"/>
      <c r="G185" s="61"/>
      <c r="H185" s="61"/>
      <c r="I185" s="62"/>
    </row>
    <row r="186" spans="1:9" s="63" customFormat="1" ht="30" x14ac:dyDescent="0.25">
      <c r="A186" s="419" t="s">
        <v>703</v>
      </c>
      <c r="B186" s="1010">
        <v>6751410</v>
      </c>
      <c r="C186" s="1010">
        <v>6751410</v>
      </c>
      <c r="D186" s="1010">
        <v>6751410</v>
      </c>
      <c r="E186" s="668">
        <f t="shared" ref="E186:E210" si="6">D186-C186</f>
        <v>0</v>
      </c>
      <c r="F186" s="60"/>
      <c r="G186" s="61"/>
      <c r="H186" s="61"/>
      <c r="I186" s="62"/>
    </row>
    <row r="187" spans="1:9" s="63" customFormat="1" ht="30" x14ac:dyDescent="0.25">
      <c r="A187" s="419" t="s">
        <v>704</v>
      </c>
      <c r="B187" s="1010">
        <v>1000000</v>
      </c>
      <c r="C187" s="1010">
        <v>1000000</v>
      </c>
      <c r="D187" s="1010">
        <v>1000000</v>
      </c>
      <c r="E187" s="668">
        <f t="shared" si="6"/>
        <v>0</v>
      </c>
      <c r="F187" s="60"/>
      <c r="G187" s="61"/>
      <c r="H187" s="61"/>
      <c r="I187" s="62"/>
    </row>
    <row r="188" spans="1:9" s="63" customFormat="1" ht="30" x14ac:dyDescent="0.25">
      <c r="A188" s="371" t="s">
        <v>705</v>
      </c>
      <c r="B188" s="1010">
        <v>25000000</v>
      </c>
      <c r="C188" s="1010">
        <v>25000000</v>
      </c>
      <c r="D188" s="1010">
        <v>25000000</v>
      </c>
      <c r="E188" s="668">
        <f t="shared" si="6"/>
        <v>0</v>
      </c>
      <c r="F188" s="60"/>
      <c r="G188" s="61"/>
      <c r="H188" s="61"/>
      <c r="I188" s="62"/>
    </row>
    <row r="189" spans="1:9" s="63" customFormat="1" ht="34.5" customHeight="1" x14ac:dyDescent="0.25">
      <c r="A189" s="1009" t="s">
        <v>706</v>
      </c>
      <c r="B189" s="1010">
        <v>10000000</v>
      </c>
      <c r="C189" s="1010">
        <v>10000000</v>
      </c>
      <c r="D189" s="1010">
        <v>10000000</v>
      </c>
      <c r="E189" s="668">
        <f t="shared" si="6"/>
        <v>0</v>
      </c>
      <c r="F189" s="60"/>
      <c r="G189" s="61"/>
      <c r="H189" s="61"/>
      <c r="I189" s="62"/>
    </row>
    <row r="190" spans="1:9" s="63" customFormat="1" ht="34.5" customHeight="1" x14ac:dyDescent="0.25">
      <c r="A190" s="1136" t="s">
        <v>707</v>
      </c>
      <c r="B190" s="1010">
        <v>15000000</v>
      </c>
      <c r="C190" s="1010">
        <v>15000000</v>
      </c>
      <c r="D190" s="1010">
        <v>15000000</v>
      </c>
      <c r="E190" s="668">
        <f t="shared" si="6"/>
        <v>0</v>
      </c>
      <c r="F190" s="60"/>
      <c r="G190" s="61"/>
      <c r="H190" s="61"/>
      <c r="I190" s="62"/>
    </row>
    <row r="191" spans="1:9" s="63" customFormat="1" ht="45" x14ac:dyDescent="0.25">
      <c r="A191" s="420" t="s">
        <v>526</v>
      </c>
      <c r="B191" s="1010">
        <v>2000000</v>
      </c>
      <c r="C191" s="1010">
        <v>2000000</v>
      </c>
      <c r="D191" s="1010">
        <v>2000000</v>
      </c>
      <c r="E191" s="668">
        <f t="shared" si="6"/>
        <v>0</v>
      </c>
      <c r="F191" s="60"/>
      <c r="G191" s="61"/>
      <c r="H191" s="61"/>
      <c r="I191" s="62"/>
    </row>
    <row r="192" spans="1:9" s="63" customFormat="1" ht="30" x14ac:dyDescent="0.25">
      <c r="A192" s="420" t="s">
        <v>2</v>
      </c>
      <c r="B192" s="1010"/>
      <c r="C192" s="1010"/>
      <c r="D192" s="1010"/>
      <c r="E192" s="668">
        <f t="shared" si="6"/>
        <v>0</v>
      </c>
      <c r="F192" s="60"/>
      <c r="G192" s="61"/>
      <c r="H192" s="61"/>
      <c r="I192" s="62"/>
    </row>
    <row r="193" spans="1:9" s="63" customFormat="1" ht="30" x14ac:dyDescent="0.25">
      <c r="A193" s="420" t="s">
        <v>586</v>
      </c>
      <c r="B193" s="1010">
        <v>34000000</v>
      </c>
      <c r="C193" s="1010">
        <v>34000000</v>
      </c>
      <c r="D193" s="1010">
        <v>34000000</v>
      </c>
      <c r="E193" s="668">
        <f t="shared" si="6"/>
        <v>0</v>
      </c>
      <c r="F193" s="60"/>
      <c r="G193" s="61"/>
      <c r="H193" s="61"/>
      <c r="I193" s="62"/>
    </row>
    <row r="194" spans="1:9" s="63" customFormat="1" ht="15" x14ac:dyDescent="0.25">
      <c r="A194" s="420" t="s">
        <v>21</v>
      </c>
      <c r="B194" s="1010">
        <v>1500000</v>
      </c>
      <c r="C194" s="1010">
        <v>1500000</v>
      </c>
      <c r="D194" s="1010">
        <v>1500000</v>
      </c>
      <c r="E194" s="668">
        <f t="shared" si="6"/>
        <v>0</v>
      </c>
      <c r="F194" s="60"/>
      <c r="G194" s="61"/>
      <c r="H194" s="61"/>
      <c r="I194" s="62"/>
    </row>
    <row r="195" spans="1:9" s="63" customFormat="1" ht="15" x14ac:dyDescent="0.25">
      <c r="A195" s="420" t="s">
        <v>22</v>
      </c>
      <c r="B195" s="1010">
        <v>15000000</v>
      </c>
      <c r="C195" s="1010">
        <v>15000000</v>
      </c>
      <c r="D195" s="1010">
        <v>15000000</v>
      </c>
      <c r="E195" s="668">
        <f t="shared" si="6"/>
        <v>0</v>
      </c>
      <c r="F195" s="60"/>
      <c r="G195" s="61"/>
      <c r="H195" s="61"/>
      <c r="I195" s="62"/>
    </row>
    <row r="196" spans="1:9" s="63" customFormat="1" ht="30" x14ac:dyDescent="0.25">
      <c r="A196" s="420" t="s">
        <v>1074</v>
      </c>
      <c r="B196" s="1010"/>
      <c r="C196" s="1010"/>
      <c r="D196" s="1010">
        <v>1091006</v>
      </c>
      <c r="E196" s="668">
        <f t="shared" si="6"/>
        <v>1091006</v>
      </c>
      <c r="F196" s="60"/>
      <c r="G196" s="61"/>
      <c r="H196" s="61"/>
      <c r="I196" s="62"/>
    </row>
    <row r="197" spans="1:9" s="63" customFormat="1" ht="15" x14ac:dyDescent="0.25">
      <c r="A197" s="420" t="s">
        <v>708</v>
      </c>
      <c r="B197" s="1010">
        <v>2000000</v>
      </c>
      <c r="C197" s="1010">
        <v>2000000</v>
      </c>
      <c r="D197" s="1010">
        <v>2000000</v>
      </c>
      <c r="E197" s="668">
        <f t="shared" si="6"/>
        <v>0</v>
      </c>
      <c r="F197" s="60"/>
      <c r="G197" s="61"/>
      <c r="H197" s="61"/>
      <c r="I197" s="62"/>
    </row>
    <row r="198" spans="1:9" s="63" customFormat="1" ht="15" x14ac:dyDescent="0.25">
      <c r="A198" s="373" t="s">
        <v>527</v>
      </c>
      <c r="B198" s="1010"/>
      <c r="C198" s="1010"/>
      <c r="D198" s="1010"/>
      <c r="E198" s="668">
        <f t="shared" si="6"/>
        <v>0</v>
      </c>
      <c r="F198" s="60"/>
      <c r="G198" s="61"/>
      <c r="H198" s="61"/>
      <c r="I198" s="62"/>
    </row>
    <row r="199" spans="1:9" s="63" customFormat="1" ht="21.15" customHeight="1" x14ac:dyDescent="0.25">
      <c r="A199" s="367" t="s">
        <v>528</v>
      </c>
      <c r="B199" s="1010">
        <v>135000</v>
      </c>
      <c r="C199" s="1010">
        <v>135000</v>
      </c>
      <c r="D199" s="1010">
        <v>135000</v>
      </c>
      <c r="E199" s="668">
        <f t="shared" si="6"/>
        <v>0</v>
      </c>
      <c r="F199" s="60"/>
      <c r="G199" s="61"/>
      <c r="H199" s="61"/>
      <c r="I199" s="62"/>
    </row>
    <row r="200" spans="1:9" s="63" customFormat="1" ht="21.15" customHeight="1" x14ac:dyDescent="0.25">
      <c r="A200" s="367" t="s">
        <v>529</v>
      </c>
      <c r="B200" s="1010">
        <v>420000</v>
      </c>
      <c r="C200" s="1010">
        <v>420000</v>
      </c>
      <c r="D200" s="1010">
        <v>420000</v>
      </c>
      <c r="E200" s="668">
        <f t="shared" si="6"/>
        <v>0</v>
      </c>
      <c r="F200" s="60"/>
      <c r="G200" s="61"/>
      <c r="H200" s="61"/>
      <c r="I200" s="62"/>
    </row>
    <row r="201" spans="1:9" s="63" customFormat="1" ht="21.15" customHeight="1" x14ac:dyDescent="0.25">
      <c r="A201" s="367" t="s">
        <v>530</v>
      </c>
      <c r="B201" s="1010">
        <v>420000</v>
      </c>
      <c r="C201" s="1010">
        <v>420000</v>
      </c>
      <c r="D201" s="1010">
        <v>420000</v>
      </c>
      <c r="E201" s="668">
        <f t="shared" si="6"/>
        <v>0</v>
      </c>
      <c r="F201" s="60"/>
      <c r="G201" s="61"/>
      <c r="H201" s="61"/>
      <c r="I201" s="62"/>
    </row>
    <row r="202" spans="1:9" s="63" customFormat="1" ht="21.15" customHeight="1" x14ac:dyDescent="0.25">
      <c r="A202" s="367" t="s">
        <v>531</v>
      </c>
      <c r="B202" s="1010">
        <v>630000</v>
      </c>
      <c r="C202" s="1010">
        <v>630000</v>
      </c>
      <c r="D202" s="1010">
        <v>630000</v>
      </c>
      <c r="E202" s="668">
        <f t="shared" si="6"/>
        <v>0</v>
      </c>
      <c r="F202" s="60"/>
      <c r="G202" s="61"/>
      <c r="H202" s="61"/>
      <c r="I202" s="62"/>
    </row>
    <row r="203" spans="1:9" s="63" customFormat="1" ht="21.15" customHeight="1" x14ac:dyDescent="0.25">
      <c r="A203" s="367" t="s">
        <v>532</v>
      </c>
      <c r="B203" s="1010">
        <v>360000</v>
      </c>
      <c r="C203" s="1010">
        <v>360000</v>
      </c>
      <c r="D203" s="1010">
        <v>360000</v>
      </c>
      <c r="E203" s="668">
        <f t="shared" si="6"/>
        <v>0</v>
      </c>
      <c r="F203" s="60"/>
      <c r="G203" s="61"/>
      <c r="H203" s="61"/>
      <c r="I203" s="62"/>
    </row>
    <row r="204" spans="1:9" s="63" customFormat="1" ht="21.15" customHeight="1" x14ac:dyDescent="0.25">
      <c r="A204" s="367" t="s">
        <v>533</v>
      </c>
      <c r="B204" s="1010">
        <v>120000</v>
      </c>
      <c r="C204" s="1010">
        <v>120000</v>
      </c>
      <c r="D204" s="1010">
        <v>120000</v>
      </c>
      <c r="E204" s="668">
        <f t="shared" si="6"/>
        <v>0</v>
      </c>
      <c r="F204" s="60"/>
      <c r="G204" s="61"/>
      <c r="H204" s="61"/>
      <c r="I204" s="62"/>
    </row>
    <row r="205" spans="1:9" s="63" customFormat="1" ht="21.15" customHeight="1" x14ac:dyDescent="0.25">
      <c r="A205" s="74" t="s">
        <v>507</v>
      </c>
      <c r="B205" s="226">
        <f>SUM(B206:B210)</f>
        <v>11274068</v>
      </c>
      <c r="C205" s="226">
        <f>SUM(C206:C210)</f>
        <v>11274068</v>
      </c>
      <c r="D205" s="226">
        <f>SUM(D206:D210)</f>
        <v>11274068</v>
      </c>
      <c r="E205" s="668">
        <f t="shared" si="6"/>
        <v>0</v>
      </c>
      <c r="F205" s="60"/>
      <c r="G205" s="61"/>
      <c r="H205" s="61"/>
      <c r="I205" s="62"/>
    </row>
    <row r="206" spans="1:9" s="63" customFormat="1" ht="16.5" customHeight="1" x14ac:dyDescent="0.25">
      <c r="A206" s="269" t="s">
        <v>255</v>
      </c>
      <c r="B206" s="1010">
        <v>1496398</v>
      </c>
      <c r="C206" s="1010">
        <v>1496398</v>
      </c>
      <c r="D206" s="1010">
        <v>1496398</v>
      </c>
      <c r="E206" s="668">
        <f t="shared" si="6"/>
        <v>0</v>
      </c>
      <c r="F206" s="60"/>
      <c r="G206" s="61"/>
      <c r="H206" s="61"/>
      <c r="I206" s="62"/>
    </row>
    <row r="207" spans="1:9" s="63" customFormat="1" ht="18" customHeight="1" x14ac:dyDescent="0.25">
      <c r="A207" s="269" t="s">
        <v>256</v>
      </c>
      <c r="B207" s="1010">
        <v>3178520</v>
      </c>
      <c r="C207" s="1010">
        <v>3178520</v>
      </c>
      <c r="D207" s="1010">
        <v>3178520</v>
      </c>
      <c r="E207" s="668">
        <f t="shared" si="6"/>
        <v>0</v>
      </c>
      <c r="F207" s="60"/>
      <c r="G207" s="61"/>
      <c r="H207" s="61"/>
      <c r="I207" s="62"/>
    </row>
    <row r="208" spans="1:9" s="63" customFormat="1" ht="18" customHeight="1" x14ac:dyDescent="0.25">
      <c r="A208" s="269" t="s">
        <v>257</v>
      </c>
      <c r="B208" s="1010">
        <v>2780920</v>
      </c>
      <c r="C208" s="1010">
        <v>2780920</v>
      </c>
      <c r="D208" s="1010">
        <v>2780920</v>
      </c>
      <c r="E208" s="668">
        <f t="shared" si="6"/>
        <v>0</v>
      </c>
      <c r="F208" s="60"/>
      <c r="G208" s="61"/>
      <c r="H208" s="61"/>
      <c r="I208" s="62"/>
    </row>
    <row r="209" spans="1:9" s="63" customFormat="1" ht="17.399999999999999" customHeight="1" x14ac:dyDescent="0.25">
      <c r="A209" s="269" t="s">
        <v>258</v>
      </c>
      <c r="B209" s="1010">
        <v>2319470</v>
      </c>
      <c r="C209" s="1010">
        <v>2319470</v>
      </c>
      <c r="D209" s="1010">
        <v>2319470</v>
      </c>
      <c r="E209" s="668">
        <f t="shared" si="6"/>
        <v>0</v>
      </c>
      <c r="F209" s="60"/>
      <c r="G209" s="61"/>
      <c r="H209" s="61"/>
      <c r="I209" s="62"/>
    </row>
    <row r="210" spans="1:9" s="63" customFormat="1" ht="17.399999999999999" customHeight="1" x14ac:dyDescent="0.25">
      <c r="A210" s="272" t="s">
        <v>259</v>
      </c>
      <c r="B210" s="1010">
        <v>1498760</v>
      </c>
      <c r="C210" s="1010">
        <v>1498760</v>
      </c>
      <c r="D210" s="1010">
        <v>1498760</v>
      </c>
      <c r="E210" s="668">
        <f t="shared" si="6"/>
        <v>0</v>
      </c>
      <c r="F210" s="60"/>
      <c r="G210" s="61"/>
      <c r="H210" s="61"/>
      <c r="I210" s="62"/>
    </row>
    <row r="211" spans="1:9" s="63" customFormat="1" ht="17.399999999999999" customHeight="1" x14ac:dyDescent="0.3">
      <c r="A211" s="270" t="s">
        <v>260</v>
      </c>
      <c r="B211" s="271">
        <f>B162+B152+B145+B151</f>
        <v>215391539</v>
      </c>
      <c r="C211" s="271">
        <f>C162+C152+C145+C151</f>
        <v>392000355</v>
      </c>
      <c r="D211" s="271">
        <f>D162+D152+D145+D151</f>
        <v>998982028</v>
      </c>
      <c r="E211" s="679">
        <f>D211-C211</f>
        <v>606981673</v>
      </c>
      <c r="F211" s="60"/>
      <c r="G211" s="61"/>
      <c r="H211" s="61"/>
      <c r="I211" s="62"/>
    </row>
    <row r="212" spans="1:9" s="103" customFormat="1" ht="20.25" customHeight="1" thickBot="1" x14ac:dyDescent="0.35">
      <c r="A212" s="75" t="s">
        <v>261</v>
      </c>
      <c r="B212" s="227">
        <f>SUM(B211+B142)</f>
        <v>8117495039</v>
      </c>
      <c r="C212" s="227">
        <f>SUM(C211+C142)</f>
        <v>8674599615</v>
      </c>
      <c r="D212" s="227">
        <f>SUM(D211+D142)</f>
        <v>9754340800</v>
      </c>
      <c r="E212" s="1140">
        <f>D212-C212</f>
        <v>1079741185</v>
      </c>
      <c r="F212" s="100"/>
      <c r="G212" s="101"/>
      <c r="H212" s="101"/>
      <c r="I212" s="102"/>
    </row>
    <row r="213" spans="1:9" s="103" customFormat="1" ht="42" thickBot="1" x14ac:dyDescent="0.3">
      <c r="A213" s="440" t="s">
        <v>101</v>
      </c>
      <c r="B213" s="550" t="s">
        <v>591</v>
      </c>
      <c r="C213" s="550" t="s">
        <v>978</v>
      </c>
      <c r="D213" s="550" t="s">
        <v>1044</v>
      </c>
      <c r="E213" s="966" t="s">
        <v>934</v>
      </c>
      <c r="F213" s="100"/>
      <c r="G213" s="101"/>
      <c r="H213" s="101"/>
      <c r="I213" s="102"/>
    </row>
    <row r="214" spans="1:9" s="103" customFormat="1" ht="18" customHeight="1" x14ac:dyDescent="0.3">
      <c r="A214" s="93" t="s">
        <v>262</v>
      </c>
      <c r="B214" s="1011"/>
      <c r="C214" s="1212"/>
      <c r="D214" s="1212"/>
      <c r="E214" s="676"/>
      <c r="F214" s="100"/>
      <c r="G214" s="101"/>
      <c r="H214" s="101"/>
      <c r="I214" s="102"/>
    </row>
    <row r="215" spans="1:9" s="103" customFormat="1" ht="18" customHeight="1" x14ac:dyDescent="0.25">
      <c r="A215" s="74" t="s">
        <v>263</v>
      </c>
      <c r="B215" s="1010">
        <v>74242424</v>
      </c>
      <c r="C215" s="1010">
        <v>74242424</v>
      </c>
      <c r="D215" s="1010">
        <v>74242424</v>
      </c>
      <c r="E215" s="668">
        <f>D215-C215</f>
        <v>0</v>
      </c>
      <c r="F215" s="100"/>
      <c r="G215" s="101"/>
      <c r="H215" s="101"/>
      <c r="I215" s="102"/>
    </row>
    <row r="216" spans="1:9" s="68" customFormat="1" ht="21.15" customHeight="1" x14ac:dyDescent="0.25">
      <c r="A216" s="74" t="s">
        <v>237</v>
      </c>
      <c r="B216" s="1010">
        <v>0</v>
      </c>
      <c r="C216" s="1010">
        <v>0</v>
      </c>
      <c r="D216" s="1010">
        <v>0</v>
      </c>
      <c r="E216" s="668">
        <f t="shared" ref="E216:E217" si="7">D216-C216</f>
        <v>0</v>
      </c>
      <c r="F216" s="65"/>
      <c r="G216" s="66"/>
      <c r="H216" s="66"/>
      <c r="I216" s="67"/>
    </row>
    <row r="217" spans="1:9" s="68" customFormat="1" ht="34.5" customHeight="1" thickBot="1" x14ac:dyDescent="0.3">
      <c r="A217" s="353" t="s">
        <v>498</v>
      </c>
      <c r="B217" s="1010">
        <f>36794849+12800000</f>
        <v>49594849</v>
      </c>
      <c r="C217" s="1010">
        <f>36794849+12800000</f>
        <v>49594849</v>
      </c>
      <c r="D217" s="1010">
        <f>36794849+12800000</f>
        <v>49594849</v>
      </c>
      <c r="E217" s="668">
        <f t="shared" si="7"/>
        <v>0</v>
      </c>
      <c r="F217" s="65"/>
      <c r="G217" s="66"/>
      <c r="H217" s="66"/>
      <c r="I217" s="67"/>
    </row>
    <row r="218" spans="1:9" s="68" customFormat="1" ht="21.15" customHeight="1" thickBot="1" x14ac:dyDescent="0.35">
      <c r="A218" s="677" t="s">
        <v>264</v>
      </c>
      <c r="B218" s="1008">
        <f>SUM(B215:B217)</f>
        <v>123837273</v>
      </c>
      <c r="C218" s="1008">
        <f>SUM(C215:C217)</f>
        <v>123837273</v>
      </c>
      <c r="D218" s="1008">
        <f>SUM(D215:D217)</f>
        <v>123837273</v>
      </c>
      <c r="E218" s="416">
        <f>SUM(E215:E217)</f>
        <v>0</v>
      </c>
      <c r="F218" s="65"/>
      <c r="G218" s="66"/>
      <c r="H218" s="66"/>
      <c r="I218" s="67"/>
    </row>
    <row r="219" spans="1:9" s="103" customFormat="1" ht="18" customHeight="1" x14ac:dyDescent="0.3">
      <c r="A219" s="93" t="s">
        <v>265</v>
      </c>
      <c r="B219" s="1012"/>
      <c r="C219" s="1012"/>
      <c r="D219" s="1012"/>
      <c r="E219" s="678"/>
      <c r="F219" s="100"/>
      <c r="G219" s="101"/>
      <c r="H219" s="101"/>
      <c r="I219" s="102"/>
    </row>
    <row r="220" spans="1:9" s="63" customFormat="1" ht="18" customHeight="1" x14ac:dyDescent="0.25">
      <c r="A220" s="1283" t="s">
        <v>709</v>
      </c>
      <c r="B220" s="1010">
        <f>26713732+4999998+5359527</f>
        <v>37073257</v>
      </c>
      <c r="C220" s="1010">
        <f>26713732+4999998+5359527</f>
        <v>37073257</v>
      </c>
      <c r="D220" s="1010">
        <f>26713732+4999998+5359527</f>
        <v>37073257</v>
      </c>
      <c r="E220" s="668">
        <f>D220-C220</f>
        <v>0</v>
      </c>
      <c r="F220" s="60"/>
      <c r="G220" s="61"/>
      <c r="H220" s="61"/>
      <c r="I220" s="62"/>
    </row>
    <row r="221" spans="1:9" s="63" customFormat="1" ht="18" customHeight="1" x14ac:dyDescent="0.25">
      <c r="A221" s="1284" t="s">
        <v>710</v>
      </c>
      <c r="B221" s="1010">
        <v>40000000</v>
      </c>
      <c r="C221" s="1010">
        <v>45334100</v>
      </c>
      <c r="D221" s="1010">
        <v>42520698</v>
      </c>
      <c r="E221" s="668">
        <f t="shared" ref="E221:E222" si="8">D221-C221</f>
        <v>-2813402</v>
      </c>
      <c r="F221" s="60"/>
      <c r="G221" s="61"/>
      <c r="H221" s="61"/>
      <c r="I221" s="62"/>
    </row>
    <row r="222" spans="1:9" s="63" customFormat="1" ht="18" customHeight="1" x14ac:dyDescent="0.25">
      <c r="A222" s="1284" t="s">
        <v>266</v>
      </c>
      <c r="B222" s="1010">
        <v>9000000</v>
      </c>
      <c r="C222" s="1010">
        <v>11000000</v>
      </c>
      <c r="D222" s="1010">
        <v>11000000</v>
      </c>
      <c r="E222" s="668">
        <f t="shared" si="8"/>
        <v>0</v>
      </c>
      <c r="F222" s="60"/>
      <c r="G222" s="61"/>
      <c r="H222" s="61"/>
      <c r="I222" s="62"/>
    </row>
    <row r="223" spans="1:9" s="63" customFormat="1" ht="18" customHeight="1" thickBot="1" x14ac:dyDescent="0.35">
      <c r="A223" s="75" t="s">
        <v>518</v>
      </c>
      <c r="B223" s="227">
        <f>SUM(B220:B222)</f>
        <v>86073257</v>
      </c>
      <c r="C223" s="227">
        <f>SUM(C220:C222)</f>
        <v>93407357</v>
      </c>
      <c r="D223" s="227">
        <f>SUM(D220:D222)</f>
        <v>90593955</v>
      </c>
      <c r="E223" s="415">
        <f>SUM(E220:E222)</f>
        <v>-2813402</v>
      </c>
      <c r="F223" s="60"/>
      <c r="G223" s="61"/>
      <c r="H223" s="61"/>
      <c r="I223" s="62"/>
    </row>
    <row r="224" spans="1:9" s="103" customFormat="1" ht="18" customHeight="1" x14ac:dyDescent="0.25">
      <c r="A224" s="70"/>
      <c r="B224" s="228"/>
      <c r="C224" s="228"/>
      <c r="D224" s="228"/>
      <c r="E224" s="228"/>
      <c r="F224" s="100"/>
      <c r="G224" s="101"/>
      <c r="H224" s="101"/>
      <c r="I224" s="102"/>
    </row>
  </sheetData>
  <sheetProtection selectLockedCells="1" selectUnlockedCells="1"/>
  <mergeCells count="1">
    <mergeCell ref="A1:E1"/>
  </mergeCells>
  <printOptions horizontalCentered="1"/>
  <pageMargins left="0.24027777777777778" right="0.24027777777777778" top="0.70833333333333326" bottom="0.31527777777777777" header="0.19652777777777777" footer="0.51180555555555551"/>
  <pageSetup paperSize="9" scale="69" firstPageNumber="0" orientation="portrait" r:id="rId1"/>
  <headerFooter alignWithMargins="0">
    <oddHeader>&amp;C
7. melléklet a 31/2019. (XII.13.) önkormányzati rendelethez
 az önkormányzat 2019. évi költségvetéséről szóló 6/2019. (II.28.) önkormányzati rendelet 
7. mellékletének helyébe a következő 7. melléklet lép:  
&amp;R&amp;P. oldal</oddHeader>
  </headerFooter>
  <rowBreaks count="6" manualBreakCount="6">
    <brk id="34" max="3" man="1"/>
    <brk id="60" max="3" man="1"/>
    <brk id="103" max="4" man="1"/>
    <brk id="142" max="3" man="1"/>
    <brk id="177" max="4" man="1"/>
    <brk id="212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2"/>
  <sheetViews>
    <sheetView view="pageLayout" topLeftCell="A27" zoomScale="88" zoomScaleNormal="100" zoomScaleSheetLayoutView="89" zoomScalePageLayoutView="88" workbookViewId="0">
      <selection activeCell="I38" sqref="I38"/>
    </sheetView>
  </sheetViews>
  <sheetFormatPr defaultColWidth="9.109375" defaultRowHeight="13.8" x14ac:dyDescent="0.25"/>
  <cols>
    <col min="1" max="1" width="45.6640625" style="547" customWidth="1"/>
    <col min="2" max="2" width="18.88671875" style="549" customWidth="1"/>
    <col min="3" max="3" width="17.88671875" style="549" customWidth="1"/>
    <col min="4" max="4" width="17.5546875" style="549" customWidth="1"/>
    <col min="5" max="5" width="18.88671875" style="549" customWidth="1"/>
    <col min="6" max="6" width="45.88671875" style="547" customWidth="1"/>
    <col min="7" max="7" width="19" style="549" customWidth="1"/>
    <col min="8" max="8" width="21.33203125" style="549" customWidth="1"/>
    <col min="9" max="9" width="18.33203125" style="549" customWidth="1"/>
    <col min="10" max="10" width="21.33203125" style="549" customWidth="1"/>
    <col min="11" max="11" width="19" style="549" customWidth="1"/>
    <col min="12" max="12" width="9.109375" style="9"/>
    <col min="13" max="13" width="11.88671875" style="9" customWidth="1"/>
    <col min="14" max="14" width="9.109375" style="9"/>
    <col min="15" max="15" width="12.33203125" style="9" customWidth="1"/>
    <col min="16" max="16384" width="9.109375" style="9"/>
  </cols>
  <sheetData>
    <row r="2" spans="1:14" x14ac:dyDescent="0.25">
      <c r="C2" s="1450"/>
      <c r="D2" s="1450"/>
      <c r="E2" s="1450"/>
      <c r="F2" s="1450"/>
      <c r="G2" s="1450"/>
      <c r="H2" s="1450"/>
      <c r="I2" s="1450"/>
      <c r="J2" s="1450"/>
      <c r="K2" s="1450"/>
    </row>
    <row r="4" spans="1:14" ht="15.75" customHeight="1" x14ac:dyDescent="0.3">
      <c r="A4" s="1451" t="s">
        <v>593</v>
      </c>
      <c r="B4" s="1451"/>
      <c r="C4" s="1451"/>
      <c r="D4" s="1451"/>
      <c r="E4" s="1451"/>
      <c r="F4" s="1451"/>
      <c r="G4" s="1451"/>
      <c r="H4" s="1451"/>
      <c r="I4" s="1451"/>
      <c r="J4" s="1451"/>
      <c r="K4" s="1451"/>
    </row>
    <row r="5" spans="1:14" ht="14.4" thickBot="1" x14ac:dyDescent="0.3"/>
    <row r="6" spans="1:14" s="69" customFormat="1" ht="28.2" thickBot="1" x14ac:dyDescent="0.3">
      <c r="A6" s="346" t="s">
        <v>267</v>
      </c>
      <c r="B6" s="550" t="s">
        <v>591</v>
      </c>
      <c r="C6" s="550" t="s">
        <v>978</v>
      </c>
      <c r="D6" s="550" t="s">
        <v>1044</v>
      </c>
      <c r="E6" s="966" t="s">
        <v>934</v>
      </c>
      <c r="F6" s="346" t="s">
        <v>268</v>
      </c>
      <c r="G6" s="550" t="s">
        <v>591</v>
      </c>
      <c r="H6" s="550" t="s">
        <v>978</v>
      </c>
      <c r="I6" s="550" t="s">
        <v>1044</v>
      </c>
      <c r="J6" s="966" t="s">
        <v>934</v>
      </c>
      <c r="K6" s="705"/>
      <c r="L6" s="706"/>
    </row>
    <row r="7" spans="1:14" ht="26.4" customHeight="1" x14ac:dyDescent="0.25">
      <c r="A7" s="195" t="s">
        <v>269</v>
      </c>
      <c r="B7" s="289">
        <f>'2.sz.tábla   (2)'!N7</f>
        <v>1458289889.3333333</v>
      </c>
      <c r="C7" s="308">
        <f>'2.sz.tábla   (2)'!O7</f>
        <v>1513324883.3333333</v>
      </c>
      <c r="D7" s="308">
        <f>'2.sz.tábla   (2)'!P7</f>
        <v>1614459862.3333333</v>
      </c>
      <c r="E7" s="274">
        <f>D7-C7</f>
        <v>101134979</v>
      </c>
      <c r="F7" s="1255" t="s">
        <v>150</v>
      </c>
      <c r="G7" s="712">
        <f>'4.sz.tábla '!B13</f>
        <v>672020854</v>
      </c>
      <c r="H7" s="293">
        <f>'4.sz.tábla '!C13</f>
        <v>698721480</v>
      </c>
      <c r="I7" s="293">
        <f>'4.sz.tábla '!D13</f>
        <v>705883747</v>
      </c>
      <c r="J7" s="274">
        <f>I7-H7</f>
        <v>7162267</v>
      </c>
      <c r="K7" s="9"/>
    </row>
    <row r="8" spans="1:14" x14ac:dyDescent="0.25">
      <c r="A8" s="196" t="s">
        <v>270</v>
      </c>
      <c r="B8" s="290">
        <f>'2.sz.tábla   (2)'!N30</f>
        <v>1864200000</v>
      </c>
      <c r="C8" s="305">
        <f>'2.sz.tábla   (2)'!O30</f>
        <v>1864200000</v>
      </c>
      <c r="D8" s="305">
        <f>'2.sz.tábla   (2)'!P30</f>
        <v>1864200000</v>
      </c>
      <c r="E8" s="208">
        <f t="shared" ref="E8:E11" si="0">D8-C8</f>
        <v>0</v>
      </c>
      <c r="F8" s="1256" t="s">
        <v>271</v>
      </c>
      <c r="G8" s="221">
        <f>'4.sz.tábla '!F13</f>
        <v>135476364</v>
      </c>
      <c r="H8" s="214">
        <f>'4.sz.tábla '!G13</f>
        <v>139526670</v>
      </c>
      <c r="I8" s="214">
        <f>'4.sz.tábla '!H13</f>
        <v>141333048</v>
      </c>
      <c r="J8" s="208">
        <f>I8-H8</f>
        <v>1806378</v>
      </c>
      <c r="K8" s="9"/>
    </row>
    <row r="9" spans="1:14" ht="15" x14ac:dyDescent="0.25">
      <c r="A9" s="97" t="s">
        <v>272</v>
      </c>
      <c r="B9" s="290">
        <f>'2.sz.tábla   (2)'!N43-'8. sz. tábla  (3)'!B33</f>
        <v>464262869</v>
      </c>
      <c r="C9" s="305">
        <f>'2.sz.tábla   (2)'!O43-'8. sz. tábla  (3)'!C33</f>
        <v>477400891</v>
      </c>
      <c r="D9" s="305">
        <f>'2.sz.tábla   (2)'!P43-'8. sz. tábla  (3)'!D33</f>
        <v>727145342</v>
      </c>
      <c r="E9" s="208">
        <f t="shared" si="0"/>
        <v>249744451</v>
      </c>
      <c r="F9" s="1256" t="s">
        <v>275</v>
      </c>
      <c r="G9" s="221">
        <f>'4.sz.tábla '!J13</f>
        <v>1241528733</v>
      </c>
      <c r="H9" s="214">
        <f>'4.sz.tábla '!K13</f>
        <v>1350813367</v>
      </c>
      <c r="I9" s="214">
        <f>'4.sz.tábla '!L13</f>
        <v>1441756568</v>
      </c>
      <c r="J9" s="208">
        <f t="shared" ref="J9:J16" si="1">I9-H9</f>
        <v>90943201</v>
      </c>
      <c r="K9" s="9"/>
      <c r="L9" s="7"/>
      <c r="M9" s="8"/>
      <c r="N9" s="8"/>
    </row>
    <row r="10" spans="1:14" ht="27.6" x14ac:dyDescent="0.25">
      <c r="A10" s="196" t="s">
        <v>276</v>
      </c>
      <c r="B10" s="290">
        <f>'2.sz.tábla   (2)'!N66</f>
        <v>25440000</v>
      </c>
      <c r="C10" s="305">
        <f>'2.sz.tábla   (2)'!O66</f>
        <v>32600559</v>
      </c>
      <c r="D10" s="305">
        <f>'2.sz.tábla   (2)'!P66</f>
        <v>33900559</v>
      </c>
      <c r="E10" s="208">
        <f t="shared" si="0"/>
        <v>1300000</v>
      </c>
      <c r="F10" s="1256" t="s">
        <v>169</v>
      </c>
      <c r="G10" s="221">
        <f>'4.sz.tábla '!O13</f>
        <v>29696000</v>
      </c>
      <c r="H10" s="214">
        <f>'4.sz.tábla '!P13</f>
        <v>29696000</v>
      </c>
      <c r="I10" s="214">
        <f>'4.sz.tábla '!Q13</f>
        <v>29696000</v>
      </c>
      <c r="J10" s="208">
        <f t="shared" si="1"/>
        <v>0</v>
      </c>
      <c r="K10" s="9"/>
    </row>
    <row r="11" spans="1:14" x14ac:dyDescent="0.25">
      <c r="A11" s="147"/>
      <c r="B11" s="290"/>
      <c r="C11" s="1220"/>
      <c r="D11" s="1220"/>
      <c r="E11" s="1254">
        <f t="shared" si="0"/>
        <v>0</v>
      </c>
      <c r="F11" s="97" t="s">
        <v>148</v>
      </c>
      <c r="G11" s="217">
        <f t="shared" ref="G11:I11" si="2">SUM(G12:G15)</f>
        <v>1327110133</v>
      </c>
      <c r="H11" s="212">
        <f t="shared" ref="H11" si="3">SUM(H12:H15)</f>
        <v>1331901809</v>
      </c>
      <c r="I11" s="212">
        <f t="shared" si="2"/>
        <v>1389216891</v>
      </c>
      <c r="J11" s="208">
        <f t="shared" si="1"/>
        <v>57315082</v>
      </c>
      <c r="K11" s="9"/>
    </row>
    <row r="12" spans="1:14" x14ac:dyDescent="0.25">
      <c r="A12" s="147"/>
      <c r="B12" s="290"/>
      <c r="C12" s="305"/>
      <c r="D12" s="305"/>
      <c r="E12" s="208"/>
      <c r="F12" s="147" t="s">
        <v>351</v>
      </c>
      <c r="G12" s="221">
        <f>'5.tábla (2)'!B140</f>
        <v>5375841</v>
      </c>
      <c r="H12" s="214">
        <f>'5.tábla (2)'!C140</f>
        <v>5379930</v>
      </c>
      <c r="I12" s="214">
        <f>'5.tábla (2)'!D140</f>
        <v>5379930</v>
      </c>
      <c r="J12" s="208">
        <f t="shared" si="1"/>
        <v>0</v>
      </c>
      <c r="K12" s="9"/>
    </row>
    <row r="13" spans="1:14" ht="27.6" x14ac:dyDescent="0.25">
      <c r="A13" s="196"/>
      <c r="B13" s="290"/>
      <c r="C13" s="305"/>
      <c r="D13" s="305"/>
      <c r="E13" s="208"/>
      <c r="F13" s="147" t="s">
        <v>352</v>
      </c>
      <c r="G13" s="221">
        <f>'5.tábla (2)'!B144</f>
        <v>519843244</v>
      </c>
      <c r="H13" s="214">
        <f>'5.tábla (2)'!C144+'5.tábla (2)'!C27+'4.sz.tábla '!T9</f>
        <v>519989923</v>
      </c>
      <c r="I13" s="214">
        <f>'5.tábla (2)'!D144+'5.tábla (2)'!D27+'4.sz.tábla '!U9</f>
        <v>512965905</v>
      </c>
      <c r="J13" s="208">
        <f t="shared" si="1"/>
        <v>-7024018</v>
      </c>
      <c r="K13" s="9"/>
    </row>
    <row r="14" spans="1:14" ht="27.6" x14ac:dyDescent="0.25">
      <c r="A14" s="197"/>
      <c r="B14" s="290"/>
      <c r="C14" s="305"/>
      <c r="D14" s="305"/>
      <c r="E14" s="208"/>
      <c r="F14" s="680" t="s">
        <v>353</v>
      </c>
      <c r="G14" s="221">
        <f>'5.tábla (2)'!B149</f>
        <v>801891048</v>
      </c>
      <c r="H14" s="214">
        <f>'5.tábla (2)'!C149</f>
        <v>805531956</v>
      </c>
      <c r="I14" s="214">
        <f>'5.tábla (2)'!D149</f>
        <v>854871056</v>
      </c>
      <c r="J14" s="208">
        <f t="shared" si="1"/>
        <v>49339100</v>
      </c>
      <c r="K14" s="9"/>
    </row>
    <row r="15" spans="1:14" ht="27.6" x14ac:dyDescent="0.25">
      <c r="A15" s="196"/>
      <c r="B15" s="290"/>
      <c r="C15" s="305"/>
      <c r="D15" s="305"/>
      <c r="E15" s="208"/>
      <c r="F15" s="147" t="s">
        <v>354</v>
      </c>
      <c r="G15" s="221">
        <f>'5.tábla (2)'!B146</f>
        <v>0</v>
      </c>
      <c r="H15" s="214">
        <f>'5.tábla (2)'!C146</f>
        <v>1000000</v>
      </c>
      <c r="I15" s="214">
        <f>'5.tábla (2)'!D146</f>
        <v>16000000</v>
      </c>
      <c r="J15" s="208">
        <f t="shared" si="1"/>
        <v>15000000</v>
      </c>
      <c r="K15" s="9"/>
    </row>
    <row r="16" spans="1:14" x14ac:dyDescent="0.25">
      <c r="A16" s="147"/>
      <c r="B16" s="290"/>
      <c r="C16" s="305"/>
      <c r="D16" s="305"/>
      <c r="E16" s="208"/>
      <c r="F16" s="97" t="s">
        <v>344</v>
      </c>
      <c r="G16" s="221">
        <f>'1.sz.tábla   (2)'!B30-'8. sz. tábla  (3)'!G38</f>
        <v>88580593</v>
      </c>
      <c r="H16" s="214">
        <f>'1.sz.tábla   (2)'!C30-'8. sz. tábla  (3)'!H38</f>
        <v>10931947</v>
      </c>
      <c r="I16" s="214">
        <f>'1.sz.tábla   (2)'!D30-'8. sz. tábla  (3)'!I38</f>
        <v>6802208</v>
      </c>
      <c r="J16" s="1254">
        <f t="shared" si="1"/>
        <v>-4129739</v>
      </c>
      <c r="K16" s="9"/>
    </row>
    <row r="17" spans="1:11" s="1" customFormat="1" x14ac:dyDescent="0.25">
      <c r="A17" s="148" t="s">
        <v>277</v>
      </c>
      <c r="B17" s="292">
        <f t="shared" ref="B17:D17" si="4">SUM(B7:B16)</f>
        <v>3812192758.333333</v>
      </c>
      <c r="C17" s="309">
        <f t="shared" ref="C17" si="5">SUM(C7:C16)</f>
        <v>3887526333.333333</v>
      </c>
      <c r="D17" s="309">
        <f t="shared" si="4"/>
        <v>4239705763.333333</v>
      </c>
      <c r="E17" s="211">
        <f t="shared" ref="E17:E22" si="6">D17-C17</f>
        <v>352179430</v>
      </c>
      <c r="F17" s="191" t="s">
        <v>278</v>
      </c>
      <c r="G17" s="218">
        <f t="shared" ref="G17:I17" si="7">G7+G8+G9+G10+G11+G16</f>
        <v>3494412677</v>
      </c>
      <c r="H17" s="209">
        <f t="shared" ref="H17" si="8">H7+H8+H9+H10+H11+H16</f>
        <v>3561591273</v>
      </c>
      <c r="I17" s="209">
        <f t="shared" si="7"/>
        <v>3714688462</v>
      </c>
      <c r="J17" s="211">
        <f>I17-H17</f>
        <v>153097189</v>
      </c>
    </row>
    <row r="18" spans="1:11" s="1" customFormat="1" x14ac:dyDescent="0.25">
      <c r="A18" s="148" t="s">
        <v>279</v>
      </c>
      <c r="B18" s="292">
        <f>B17-G17</f>
        <v>317780081.33333302</v>
      </c>
      <c r="C18" s="309">
        <f>C17-H17</f>
        <v>325935060.33333302</v>
      </c>
      <c r="D18" s="309">
        <f>D17-I17</f>
        <v>525017301.33333302</v>
      </c>
      <c r="E18" s="211">
        <f t="shared" si="6"/>
        <v>199082241</v>
      </c>
      <c r="F18" s="148" t="s">
        <v>280</v>
      </c>
      <c r="G18" s="218"/>
      <c r="H18" s="309"/>
      <c r="I18" s="309"/>
      <c r="J18" s="211">
        <f t="shared" ref="J18" si="9">H18-G18</f>
        <v>0</v>
      </c>
    </row>
    <row r="19" spans="1:11" s="1" customFormat="1" ht="27.6" x14ac:dyDescent="0.25">
      <c r="A19" s="198" t="s">
        <v>281</v>
      </c>
      <c r="B19" s="292">
        <f t="shared" ref="B19:D19" si="10">SUM(B20)</f>
        <v>217143540</v>
      </c>
      <c r="C19" s="309">
        <f t="shared" si="10"/>
        <v>249143368</v>
      </c>
      <c r="D19" s="309">
        <f t="shared" si="10"/>
        <v>249143368</v>
      </c>
      <c r="E19" s="211">
        <f t="shared" si="6"/>
        <v>0</v>
      </c>
      <c r="F19" s="148" t="s">
        <v>282</v>
      </c>
      <c r="G19" s="218">
        <f t="shared" ref="G19:I19" si="11">SUM(G20:G23)</f>
        <v>49594849</v>
      </c>
      <c r="H19" s="209">
        <f t="shared" ref="H19" si="12">SUM(H20:H23)</f>
        <v>49594849</v>
      </c>
      <c r="I19" s="209">
        <f t="shared" si="11"/>
        <v>49594849</v>
      </c>
      <c r="J19" s="211">
        <f>I19-H19</f>
        <v>0</v>
      </c>
    </row>
    <row r="20" spans="1:11" ht="27.6" x14ac:dyDescent="0.25">
      <c r="A20" s="147" t="s">
        <v>283</v>
      </c>
      <c r="B20" s="290">
        <f>'2.sz.tábla   (2)'!N77</f>
        <v>217143540</v>
      </c>
      <c r="C20" s="214">
        <f>'2.sz.tábla   (2)'!O77</f>
        <v>249143368</v>
      </c>
      <c r="D20" s="214">
        <f>'2.sz.tábla   (2)'!P77</f>
        <v>249143368</v>
      </c>
      <c r="E20" s="208">
        <f t="shared" si="6"/>
        <v>0</v>
      </c>
      <c r="F20" s="147" t="s">
        <v>589</v>
      </c>
      <c r="G20" s="221">
        <f>'7. sz. tábla 1'!B217</f>
        <v>49594849</v>
      </c>
      <c r="H20" s="214">
        <f>'7. sz. tábla 1'!C217</f>
        <v>49594849</v>
      </c>
      <c r="I20" s="214">
        <f>'7. sz. tábla 1'!D217</f>
        <v>49594849</v>
      </c>
      <c r="J20" s="208">
        <f>I20-H20</f>
        <v>0</v>
      </c>
      <c r="K20" s="9"/>
    </row>
    <row r="21" spans="1:11" s="1" customFormat="1" ht="27.6" x14ac:dyDescent="0.25">
      <c r="A21" s="148" t="s">
        <v>284</v>
      </c>
      <c r="B21" s="709">
        <f t="shared" ref="B21:D21" si="13">SUM(B22:B24)</f>
        <v>102083868</v>
      </c>
      <c r="C21" s="681">
        <f t="shared" ref="C21" si="14">SUM(C22:C24)</f>
        <v>102083868</v>
      </c>
      <c r="D21" s="681">
        <f t="shared" si="13"/>
        <v>117083868</v>
      </c>
      <c r="E21" s="211">
        <f t="shared" si="6"/>
        <v>15000000</v>
      </c>
      <c r="F21" s="148" t="s">
        <v>355</v>
      </c>
      <c r="G21" s="218"/>
      <c r="H21" s="309"/>
      <c r="I21" s="309"/>
      <c r="J21" s="211"/>
    </row>
    <row r="22" spans="1:11" x14ac:dyDescent="0.25">
      <c r="A22" s="193" t="s">
        <v>285</v>
      </c>
      <c r="B22" s="290">
        <v>89283868</v>
      </c>
      <c r="C22" s="212">
        <f>89283868</f>
        <v>89283868</v>
      </c>
      <c r="D22" s="212">
        <f>89283868+15000000</f>
        <v>104283868</v>
      </c>
      <c r="E22" s="208">
        <f t="shared" si="6"/>
        <v>15000000</v>
      </c>
      <c r="F22" s="147" t="s">
        <v>370</v>
      </c>
      <c r="G22" s="218"/>
      <c r="H22" s="309"/>
      <c r="I22" s="309"/>
      <c r="J22" s="211"/>
      <c r="K22" s="9"/>
    </row>
    <row r="23" spans="1:11" x14ac:dyDescent="0.25">
      <c r="A23" s="147" t="s">
        <v>286</v>
      </c>
      <c r="B23" s="290"/>
      <c r="C23" s="310"/>
      <c r="D23" s="310"/>
      <c r="E23" s="222"/>
      <c r="F23" s="680" t="s">
        <v>368</v>
      </c>
      <c r="G23" s="713">
        <f>'7. sz. tábla 1'!B216</f>
        <v>0</v>
      </c>
      <c r="H23" s="275">
        <f>'7. sz. tábla 1'!C216</f>
        <v>0</v>
      </c>
      <c r="I23" s="275">
        <f>'7. sz. tábla 1'!D216</f>
        <v>0</v>
      </c>
      <c r="J23" s="682">
        <f>'7. sz. tábla 1'!E216</f>
        <v>0</v>
      </c>
      <c r="K23" s="9"/>
    </row>
    <row r="24" spans="1:11" ht="27.6" x14ac:dyDescent="0.25">
      <c r="A24" s="193" t="s">
        <v>369</v>
      </c>
      <c r="B24" s="290">
        <f>'2.sz.tábla   (2)'!N90</f>
        <v>12800000</v>
      </c>
      <c r="C24" s="305">
        <f>'2.sz.tábla   (2)'!O90</f>
        <v>12800000</v>
      </c>
      <c r="D24" s="305">
        <f>'2.sz.tábla   (2)'!P90</f>
        <v>12800000</v>
      </c>
      <c r="E24" s="208">
        <f>'2.sz.tábla   (2)'!Q90</f>
        <v>0</v>
      </c>
      <c r="F24" s="683"/>
      <c r="G24" s="221"/>
      <c r="H24" s="1221"/>
      <c r="I24" s="1221"/>
      <c r="J24" s="682"/>
      <c r="K24" s="9"/>
    </row>
    <row r="25" spans="1:11" s="1" customFormat="1" ht="14.4" thickBot="1" x14ac:dyDescent="0.3">
      <c r="A25" s="149" t="s">
        <v>287</v>
      </c>
      <c r="B25" s="294">
        <f>B17+B19+B21</f>
        <v>4131420166.333333</v>
      </c>
      <c r="C25" s="210">
        <f>C17+C19+C21</f>
        <v>4238753569.333333</v>
      </c>
      <c r="D25" s="210">
        <f>D17+D19+D21</f>
        <v>4605932999.333333</v>
      </c>
      <c r="E25" s="223">
        <f>D25-C25</f>
        <v>367179430</v>
      </c>
      <c r="F25" s="149" t="s">
        <v>288</v>
      </c>
      <c r="G25" s="220">
        <f>G19+G17</f>
        <v>3544007526</v>
      </c>
      <c r="H25" s="210">
        <f>H19+H17</f>
        <v>3611186122</v>
      </c>
      <c r="I25" s="210">
        <f>I19+I17</f>
        <v>3764283311</v>
      </c>
      <c r="J25" s="223">
        <f>I25-H25</f>
        <v>153097189</v>
      </c>
    </row>
    <row r="26" spans="1:11" x14ac:dyDescent="0.25">
      <c r="A26" s="527"/>
      <c r="B26" s="684"/>
      <c r="C26" s="684"/>
      <c r="D26" s="684"/>
      <c r="E26" s="684"/>
      <c r="F26" s="527"/>
      <c r="G26" s="685"/>
      <c r="H26" s="685"/>
      <c r="I26" s="685"/>
      <c r="J26" s="685"/>
      <c r="K26" s="684"/>
    </row>
    <row r="27" spans="1:11" ht="15.75" customHeight="1" x14ac:dyDescent="0.3">
      <c r="A27" s="1451" t="s">
        <v>594</v>
      </c>
      <c r="B27" s="1451"/>
      <c r="C27" s="1451"/>
      <c r="D27" s="1451"/>
      <c r="E27" s="1451"/>
      <c r="F27" s="1451"/>
      <c r="G27" s="1451"/>
      <c r="H27" s="1451"/>
      <c r="I27" s="1451"/>
      <c r="J27" s="1451"/>
      <c r="K27" s="1451"/>
    </row>
    <row r="28" spans="1:11" ht="14.4" thickBot="1" x14ac:dyDescent="0.3"/>
    <row r="29" spans="1:11" s="69" customFormat="1" ht="28.2" thickBot="1" x14ac:dyDescent="0.3">
      <c r="A29" s="346" t="s">
        <v>289</v>
      </c>
      <c r="B29" s="550" t="s">
        <v>591</v>
      </c>
      <c r="C29" s="550" t="s">
        <v>978</v>
      </c>
      <c r="D29" s="550" t="s">
        <v>1044</v>
      </c>
      <c r="E29" s="966" t="s">
        <v>934</v>
      </c>
      <c r="F29" s="346" t="s">
        <v>290</v>
      </c>
      <c r="G29" s="550" t="s">
        <v>591</v>
      </c>
      <c r="H29" s="550" t="s">
        <v>978</v>
      </c>
      <c r="I29" s="550" t="s">
        <v>1044</v>
      </c>
      <c r="J29" s="966" t="s">
        <v>934</v>
      </c>
    </row>
    <row r="30" spans="1:11" ht="27.6" x14ac:dyDescent="0.25">
      <c r="A30" s="195" t="s">
        <v>291</v>
      </c>
      <c r="B30" s="289">
        <f>'2.sz.tábla   (2)'!N22</f>
        <v>1504479834</v>
      </c>
      <c r="C30" s="293">
        <f>'2.sz.tábla   (2)'!O22</f>
        <v>1696173273</v>
      </c>
      <c r="D30" s="293">
        <f>'2.sz.tábla   (2)'!P22</f>
        <v>2787094189</v>
      </c>
      <c r="E30" s="208">
        <f>D30-C30</f>
        <v>1090920916</v>
      </c>
      <c r="F30" s="97" t="s">
        <v>292</v>
      </c>
      <c r="G30" s="289">
        <f>'7. sz. tábla 1'!B142</f>
        <v>7902103500</v>
      </c>
      <c r="H30" s="308">
        <f>'7. sz. tábla 1'!C142</f>
        <v>8282599260</v>
      </c>
      <c r="I30" s="308">
        <f>'7. sz. tábla 1'!D142</f>
        <v>8755358772</v>
      </c>
      <c r="J30" s="274">
        <f>I30-H30</f>
        <v>472759512</v>
      </c>
      <c r="K30" s="9"/>
    </row>
    <row r="31" spans="1:11" x14ac:dyDescent="0.25">
      <c r="A31" s="147" t="s">
        <v>293</v>
      </c>
      <c r="B31" s="290">
        <f>'2.sz.tábla   (2)'!N58</f>
        <v>69288400</v>
      </c>
      <c r="C31" s="214">
        <f>'2.sz.tábla   (2)'!O58</f>
        <v>100788400</v>
      </c>
      <c r="D31" s="214">
        <f>'2.sz.tábla   (2)'!P58</f>
        <v>100788400</v>
      </c>
      <c r="E31" s="208">
        <f>D31-C31</f>
        <v>0</v>
      </c>
      <c r="F31" s="147" t="s">
        <v>294</v>
      </c>
      <c r="G31" s="290">
        <f>'4.sz.tábla '!W11</f>
        <v>12871000</v>
      </c>
      <c r="H31" s="305">
        <f>'4.sz.tábla '!X11</f>
        <v>25386628</v>
      </c>
      <c r="I31" s="305">
        <f>'4.sz.tábla '!Y11</f>
        <v>26286628</v>
      </c>
      <c r="J31" s="208">
        <f>I31-H31</f>
        <v>900000</v>
      </c>
      <c r="K31" s="9"/>
    </row>
    <row r="32" spans="1:11" x14ac:dyDescent="0.25">
      <c r="A32" s="147" t="s">
        <v>295</v>
      </c>
      <c r="B32" s="290">
        <f>'2.sz.tábla   (2)'!N70</f>
        <v>453634994</v>
      </c>
      <c r="C32" s="214">
        <f>'2.sz.tábla   (2)'!O70</f>
        <v>606312431</v>
      </c>
      <c r="D32" s="214">
        <f>'2.sz.tábla   (2)'!P70</f>
        <v>616312431</v>
      </c>
      <c r="E32" s="208">
        <f>D32-C32</f>
        <v>10000000</v>
      </c>
      <c r="F32" s="147" t="s">
        <v>296</v>
      </c>
      <c r="G32" s="290">
        <f>'7. sz. tábla 1'!B223</f>
        <v>86073257</v>
      </c>
      <c r="H32" s="305">
        <f>'7. sz. tábla 1'!C223</f>
        <v>93407357</v>
      </c>
      <c r="I32" s="305">
        <f>'7. sz. tábla 1'!D223</f>
        <v>90593955</v>
      </c>
      <c r="J32" s="208">
        <f t="shared" ref="J32:J38" si="15">I32-H32</f>
        <v>-2813402</v>
      </c>
      <c r="K32" s="9"/>
    </row>
    <row r="33" spans="1:12" ht="27.6" x14ac:dyDescent="0.25">
      <c r="A33" s="147" t="s">
        <v>1</v>
      </c>
      <c r="B33" s="214">
        <f>375309895</f>
        <v>375309895</v>
      </c>
      <c r="C33" s="214">
        <f>375309895+313632</f>
        <v>375623527</v>
      </c>
      <c r="D33" s="214">
        <f>134198153-25405650+18655650</f>
        <v>127448153</v>
      </c>
      <c r="E33" s="208">
        <f>D33-C33</f>
        <v>-248175374</v>
      </c>
      <c r="F33" s="147" t="s">
        <v>297</v>
      </c>
      <c r="G33" s="288">
        <f>SUM(G34:G37)</f>
        <v>215391539</v>
      </c>
      <c r="H33" s="310">
        <f>SUM(H34:H37)</f>
        <v>392000355</v>
      </c>
      <c r="I33" s="310">
        <f>SUM(I34:I37)</f>
        <v>998982028</v>
      </c>
      <c r="J33" s="208">
        <f t="shared" si="15"/>
        <v>606981673</v>
      </c>
      <c r="K33" s="9"/>
    </row>
    <row r="34" spans="1:12" ht="27.6" x14ac:dyDescent="0.25">
      <c r="A34" s="147"/>
      <c r="B34" s="290"/>
      <c r="C34" s="311"/>
      <c r="D34" s="311"/>
      <c r="E34" s="208">
        <f t="shared" ref="E34" si="16">C34-B34</f>
        <v>0</v>
      </c>
      <c r="F34" s="147" t="s">
        <v>298</v>
      </c>
      <c r="G34" s="290">
        <f>'7. sz. tábla 1'!B162</f>
        <v>180900478</v>
      </c>
      <c r="H34" s="305">
        <f>'7. sz. tábla 1'!C162</f>
        <v>189059294</v>
      </c>
      <c r="I34" s="305">
        <f>'7. sz. tábla 1'!D162</f>
        <v>197028543</v>
      </c>
      <c r="J34" s="208">
        <f t="shared" si="15"/>
        <v>7969249</v>
      </c>
      <c r="K34" s="9"/>
    </row>
    <row r="35" spans="1:12" ht="27" customHeight="1" x14ac:dyDescent="0.25">
      <c r="A35" s="147"/>
      <c r="B35" s="290"/>
      <c r="C35" s="311"/>
      <c r="D35" s="311"/>
      <c r="E35" s="208"/>
      <c r="F35" s="686" t="s">
        <v>299</v>
      </c>
      <c r="G35" s="290">
        <f>'7. sz. tábla 1'!B152</f>
        <v>23400000</v>
      </c>
      <c r="H35" s="305">
        <f>'7. sz. tábla 1'!C152</f>
        <v>32250000</v>
      </c>
      <c r="I35" s="305">
        <f>'7. sz. tábla 1'!D152</f>
        <v>625762424</v>
      </c>
      <c r="J35" s="208">
        <f t="shared" si="15"/>
        <v>593512424</v>
      </c>
      <c r="K35" s="9"/>
    </row>
    <row r="36" spans="1:12" ht="27.6" x14ac:dyDescent="0.25">
      <c r="A36" s="147"/>
      <c r="B36" s="290"/>
      <c r="C36" s="305"/>
      <c r="D36" s="305"/>
      <c r="E36" s="208"/>
      <c r="F36" s="147" t="s">
        <v>372</v>
      </c>
      <c r="G36" s="290">
        <f>'7. sz. tábla 1'!B151</f>
        <v>0</v>
      </c>
      <c r="H36" s="305">
        <f>'7. sz. tábla 1'!C151</f>
        <v>0</v>
      </c>
      <c r="I36" s="305">
        <f>'7. sz. tábla 1'!D151</f>
        <v>0</v>
      </c>
      <c r="J36" s="208">
        <f t="shared" si="15"/>
        <v>0</v>
      </c>
      <c r="K36" s="9"/>
    </row>
    <row r="37" spans="1:12" ht="27.6" x14ac:dyDescent="0.25">
      <c r="A37" s="147"/>
      <c r="B37" s="290"/>
      <c r="C37" s="305"/>
      <c r="D37" s="305"/>
      <c r="E37" s="208"/>
      <c r="F37" s="147" t="s">
        <v>300</v>
      </c>
      <c r="G37" s="290">
        <f>'7. sz. tábla 1'!B145</f>
        <v>11091061</v>
      </c>
      <c r="H37" s="305">
        <f>'7. sz. tábla 1'!C145</f>
        <v>170691061</v>
      </c>
      <c r="I37" s="305">
        <f>'7. sz. tábla 1'!D145</f>
        <v>176191061</v>
      </c>
      <c r="J37" s="208">
        <f t="shared" si="15"/>
        <v>5500000</v>
      </c>
      <c r="K37" s="9"/>
    </row>
    <row r="38" spans="1:12" x14ac:dyDescent="0.25">
      <c r="A38" s="147"/>
      <c r="B38" s="290"/>
      <c r="C38" s="305"/>
      <c r="D38" s="305"/>
      <c r="E38" s="208"/>
      <c r="F38" s="97" t="s">
        <v>23</v>
      </c>
      <c r="G38" s="290">
        <f>'1.sz.tábla   (2)'!B43+'1.sz.tábla   (2)'!B44+'1.sz.tábla   (2)'!B46</f>
        <v>37768349</v>
      </c>
      <c r="H38" s="305">
        <f>'1.sz.tábla   (2)'!C43+'1.sz.tábla   (2)'!C44+'1.sz.tábla   (2)'!C46+'1.sz.tábla   (2)'!C47</f>
        <v>43355358</v>
      </c>
      <c r="I38" s="305">
        <f>'1.sz.tábla   (2)'!D43+'1.sz.tábla   (2)'!D44+'1.sz.tábla   (2)'!D46+'1.sz.tábla   (2)'!D47</f>
        <v>43355358</v>
      </c>
      <c r="J38" s="208">
        <f t="shared" si="15"/>
        <v>0</v>
      </c>
      <c r="K38" s="9"/>
      <c r="L38" s="43"/>
    </row>
    <row r="39" spans="1:12" s="1" customFormat="1" x14ac:dyDescent="0.25">
      <c r="A39" s="148" t="s">
        <v>301</v>
      </c>
      <c r="B39" s="292">
        <f>SUM(B30:B36)</f>
        <v>2402713123</v>
      </c>
      <c r="C39" s="209">
        <f>SUM(C30:C36)</f>
        <v>2778897631</v>
      </c>
      <c r="D39" s="209">
        <f>SUM(D30:D36)</f>
        <v>3631643173</v>
      </c>
      <c r="E39" s="211">
        <f>D39-C39</f>
        <v>852745542</v>
      </c>
      <c r="F39" s="148" t="s">
        <v>302</v>
      </c>
      <c r="G39" s="292">
        <f>G30+G31+G32+G33+G38</f>
        <v>8254207645</v>
      </c>
      <c r="H39" s="309">
        <f>H30+H31+H32+H33+H38</f>
        <v>8836748958</v>
      </c>
      <c r="I39" s="309">
        <f>I30+I31+I32+I33+I38</f>
        <v>9914576741</v>
      </c>
      <c r="J39" s="211">
        <f>I39-H39</f>
        <v>1077827783</v>
      </c>
    </row>
    <row r="40" spans="1:12" s="1" customFormat="1" x14ac:dyDescent="0.25">
      <c r="A40" s="148" t="s">
        <v>303</v>
      </c>
      <c r="B40" s="291"/>
      <c r="C40" s="309"/>
      <c r="D40" s="309"/>
      <c r="E40" s="211"/>
      <c r="F40" s="148" t="s">
        <v>305</v>
      </c>
      <c r="G40" s="292">
        <f>B39-G39</f>
        <v>-5851494522</v>
      </c>
      <c r="H40" s="309">
        <f>C39-H39</f>
        <v>-6057851327</v>
      </c>
      <c r="I40" s="309">
        <f>D39-I39</f>
        <v>-6282933568</v>
      </c>
      <c r="J40" s="211">
        <f>I40-H40</f>
        <v>-225082241</v>
      </c>
    </row>
    <row r="41" spans="1:12" s="1" customFormat="1" ht="27.6" x14ac:dyDescent="0.25">
      <c r="A41" s="148" t="s">
        <v>306</v>
      </c>
      <c r="B41" s="292">
        <f>SUM(B42)</f>
        <v>3872757378</v>
      </c>
      <c r="C41" s="209">
        <f>SUM(C42)</f>
        <v>3897605271</v>
      </c>
      <c r="D41" s="209">
        <f>SUM(D42)</f>
        <v>3897605271</v>
      </c>
      <c r="E41" s="211">
        <f>D41-C41</f>
        <v>0</v>
      </c>
      <c r="F41" s="148" t="s">
        <v>307</v>
      </c>
      <c r="G41" s="292">
        <f>SUM(G42:G43)</f>
        <v>74242424</v>
      </c>
      <c r="H41" s="309">
        <f>SUM(H42:H43)</f>
        <v>74242424</v>
      </c>
      <c r="I41" s="209">
        <f>SUM(I42:I43)</f>
        <v>74242424</v>
      </c>
      <c r="J41" s="211">
        <f>I41-H41</f>
        <v>0</v>
      </c>
    </row>
    <row r="42" spans="1:12" x14ac:dyDescent="0.25">
      <c r="A42" s="147" t="s">
        <v>308</v>
      </c>
      <c r="B42" s="290">
        <f>'2.sz.tábla   (2)'!N78</f>
        <v>3872757378</v>
      </c>
      <c r="C42" s="214">
        <f>'2.sz.tábla   (2)'!O78</f>
        <v>3897605271</v>
      </c>
      <c r="D42" s="214">
        <f>'2.sz.tábla   (2)'!P78</f>
        <v>3897605271</v>
      </c>
      <c r="E42" s="208">
        <f>D42-C42</f>
        <v>0</v>
      </c>
      <c r="F42" s="147" t="s">
        <v>501</v>
      </c>
      <c r="G42" s="288"/>
      <c r="H42" s="310"/>
      <c r="I42" s="212"/>
      <c r="J42" s="211">
        <f t="shared" ref="J42" si="17">H42-G42</f>
        <v>0</v>
      </c>
      <c r="K42" s="9"/>
    </row>
    <row r="43" spans="1:12" s="1" customFormat="1" ht="27.6" x14ac:dyDescent="0.25">
      <c r="A43" s="148" t="s">
        <v>309</v>
      </c>
      <c r="B43" s="218">
        <f>SUM(B44:B45)</f>
        <v>1465566928</v>
      </c>
      <c r="C43" s="209">
        <f>SUM(C44:C45)</f>
        <v>1606921033</v>
      </c>
      <c r="D43" s="209">
        <f>SUM(D44:D45)</f>
        <v>1617921033</v>
      </c>
      <c r="E43" s="211">
        <f>D43-C43</f>
        <v>11000000</v>
      </c>
      <c r="F43" s="148" t="s">
        <v>310</v>
      </c>
      <c r="G43" s="292">
        <f>'[3]6. sz. tábla 1'!B241</f>
        <v>74242424</v>
      </c>
      <c r="H43" s="309">
        <f>'[3]6. sz. tábla 1'!C241</f>
        <v>74242424</v>
      </c>
      <c r="I43" s="209">
        <f>'[3]6. sz. tábla 1'!D241</f>
        <v>74242424</v>
      </c>
      <c r="J43" s="211">
        <f>I43-H43</f>
        <v>0</v>
      </c>
    </row>
    <row r="44" spans="1:12" ht="27.6" x14ac:dyDescent="0.25">
      <c r="A44" s="193" t="s">
        <v>311</v>
      </c>
      <c r="B44" s="290">
        <f>'2.sz.tábla   (2)'!N85-B22</f>
        <v>1465566928</v>
      </c>
      <c r="C44" s="214">
        <f>'2.sz.tábla   (2)'!O85-C22</f>
        <v>1606921033</v>
      </c>
      <c r="D44" s="214">
        <f>'2.sz.tábla   (2)'!P85-D22</f>
        <v>1617921033</v>
      </c>
      <c r="E44" s="208">
        <f>D44-C44</f>
        <v>11000000</v>
      </c>
      <c r="F44" s="147" t="s">
        <v>590</v>
      </c>
      <c r="G44" s="290"/>
      <c r="H44" s="305"/>
      <c r="I44" s="214"/>
      <c r="J44" s="208"/>
      <c r="K44" s="9"/>
    </row>
    <row r="45" spans="1:12" x14ac:dyDescent="0.25">
      <c r="A45" s="147" t="s">
        <v>312</v>
      </c>
      <c r="B45" s="221"/>
      <c r="C45" s="310"/>
      <c r="D45" s="310"/>
      <c r="E45" s="222"/>
      <c r="F45" s="147"/>
      <c r="G45" s="290"/>
      <c r="H45" s="305"/>
      <c r="I45" s="214"/>
      <c r="J45" s="208"/>
      <c r="K45" s="9"/>
    </row>
    <row r="46" spans="1:12" s="1" customFormat="1" ht="14.4" thickBot="1" x14ac:dyDescent="0.3">
      <c r="A46" s="149" t="s">
        <v>313</v>
      </c>
      <c r="B46" s="220">
        <f>B39+B41+B43</f>
        <v>7741037429</v>
      </c>
      <c r="C46" s="210">
        <f>C39+C41+C43</f>
        <v>8283423935</v>
      </c>
      <c r="D46" s="210">
        <f>D39+D41+D43</f>
        <v>9147169477</v>
      </c>
      <c r="E46" s="223">
        <f>D46-C46</f>
        <v>863745542</v>
      </c>
      <c r="F46" s="149" t="s">
        <v>314</v>
      </c>
      <c r="G46" s="707">
        <f>G39+G41</f>
        <v>8328450069</v>
      </c>
      <c r="H46" s="1292">
        <f>H39+H41</f>
        <v>8910991382</v>
      </c>
      <c r="I46" s="708">
        <f>I39+I41</f>
        <v>9988819165</v>
      </c>
      <c r="J46" s="223">
        <f>I46-H46</f>
        <v>1077827783</v>
      </c>
    </row>
    <row r="47" spans="1:12" x14ac:dyDescent="0.25">
      <c r="A47" s="548"/>
      <c r="B47" s="552"/>
      <c r="C47" s="552"/>
      <c r="D47" s="552"/>
      <c r="E47" s="552"/>
      <c r="F47" s="527"/>
      <c r="G47" s="687"/>
      <c r="H47" s="687"/>
      <c r="I47" s="687"/>
      <c r="J47" s="687"/>
      <c r="K47" s="684"/>
    </row>
    <row r="48" spans="1:12" ht="15.75" customHeight="1" x14ac:dyDescent="0.3">
      <c r="A48" s="1451" t="s">
        <v>595</v>
      </c>
      <c r="B48" s="1451"/>
      <c r="C48" s="1451"/>
      <c r="D48" s="1451"/>
      <c r="E48" s="1451"/>
      <c r="F48" s="1451"/>
      <c r="G48" s="1451"/>
      <c r="H48" s="1451"/>
      <c r="I48" s="1451"/>
      <c r="J48" s="1451"/>
      <c r="K48" s="1451"/>
    </row>
    <row r="49" spans="1:11" ht="14.4" thickBot="1" x14ac:dyDescent="0.3"/>
    <row r="50" spans="1:11" s="69" customFormat="1" ht="28.2" thickBot="1" x14ac:dyDescent="0.3">
      <c r="A50" s="346" t="s">
        <v>315</v>
      </c>
      <c r="B50" s="550" t="s">
        <v>591</v>
      </c>
      <c r="C50" s="550" t="s">
        <v>978</v>
      </c>
      <c r="D50" s="550" t="s">
        <v>1044</v>
      </c>
      <c r="E50" s="966" t="s">
        <v>934</v>
      </c>
      <c r="F50" s="346" t="s">
        <v>316</v>
      </c>
      <c r="G50" s="550" t="s">
        <v>591</v>
      </c>
      <c r="H50" s="550" t="s">
        <v>978</v>
      </c>
      <c r="I50" s="550" t="s">
        <v>1044</v>
      </c>
      <c r="J50" s="966" t="s">
        <v>934</v>
      </c>
    </row>
    <row r="51" spans="1:11" x14ac:dyDescent="0.25">
      <c r="A51" s="192" t="s">
        <v>317</v>
      </c>
      <c r="B51" s="688">
        <f>B17</f>
        <v>3812192758.333333</v>
      </c>
      <c r="C51" s="273">
        <f>C17</f>
        <v>3887526333.333333</v>
      </c>
      <c r="D51" s="273">
        <f>D17</f>
        <v>4239705763.333333</v>
      </c>
      <c r="E51" s="208">
        <f>D51-C51</f>
        <v>352179430</v>
      </c>
      <c r="F51" s="97" t="s">
        <v>318</v>
      </c>
      <c r="G51" s="216">
        <f>G17</f>
        <v>3494412677</v>
      </c>
      <c r="H51" s="273">
        <f>H17</f>
        <v>3561591273</v>
      </c>
      <c r="I51" s="273">
        <f>I17</f>
        <v>3714688462</v>
      </c>
      <c r="J51" s="208">
        <f>I51-H51</f>
        <v>153097189</v>
      </c>
      <c r="K51" s="9"/>
    </row>
    <row r="52" spans="1:11" x14ac:dyDescent="0.25">
      <c r="A52" s="147" t="s">
        <v>319</v>
      </c>
      <c r="B52" s="288">
        <f>B39</f>
        <v>2402713123</v>
      </c>
      <c r="C52" s="212">
        <f>C39</f>
        <v>2778897631</v>
      </c>
      <c r="D52" s="212">
        <f>D39</f>
        <v>3631643173</v>
      </c>
      <c r="E52" s="208">
        <f>D52-C52</f>
        <v>852745542</v>
      </c>
      <c r="F52" s="147" t="s">
        <v>320</v>
      </c>
      <c r="G52" s="217">
        <f>G39</f>
        <v>8254207645</v>
      </c>
      <c r="H52" s="212">
        <f>H39</f>
        <v>8836748958</v>
      </c>
      <c r="I52" s="212">
        <f>I39</f>
        <v>9914576741</v>
      </c>
      <c r="J52" s="208">
        <f t="shared" ref="J52:J56" si="18">I52-H52</f>
        <v>1077827783</v>
      </c>
      <c r="K52" s="9"/>
    </row>
    <row r="53" spans="1:11" s="1" customFormat="1" x14ac:dyDescent="0.25">
      <c r="A53" s="148" t="s">
        <v>417</v>
      </c>
      <c r="B53" s="291">
        <f>SUM(B51:B52)</f>
        <v>6214905881.333333</v>
      </c>
      <c r="C53" s="213">
        <f>SUM(C51:C52)</f>
        <v>6666423964.333333</v>
      </c>
      <c r="D53" s="213">
        <f>SUM(D51:D52)</f>
        <v>7871348936.333333</v>
      </c>
      <c r="E53" s="211">
        <f>D53-C53</f>
        <v>1204924972</v>
      </c>
      <c r="F53" s="148" t="s">
        <v>433</v>
      </c>
      <c r="G53" s="224">
        <f>SUM(G51:G52)</f>
        <v>11748620322</v>
      </c>
      <c r="H53" s="213">
        <f>SUM(H51:H52)</f>
        <v>12398340231</v>
      </c>
      <c r="I53" s="213">
        <f>SUM(I51:I52)</f>
        <v>13629265203</v>
      </c>
      <c r="J53" s="211">
        <f t="shared" si="18"/>
        <v>1230924972</v>
      </c>
    </row>
    <row r="54" spans="1:11" s="1" customFormat="1" x14ac:dyDescent="0.25">
      <c r="A54" s="148" t="s">
        <v>321</v>
      </c>
      <c r="B54" s="292"/>
      <c r="C54" s="309"/>
      <c r="D54" s="309"/>
      <c r="E54" s="211"/>
      <c r="F54" s="148" t="s">
        <v>24</v>
      </c>
      <c r="G54" s="224">
        <f>B53-G53</f>
        <v>-5533714440.666667</v>
      </c>
      <c r="H54" s="213">
        <f>C53-H53</f>
        <v>-5731916266.666667</v>
      </c>
      <c r="I54" s="213">
        <f>D53-I53</f>
        <v>-5757916266.666667</v>
      </c>
      <c r="J54" s="211">
        <f>I54-H54</f>
        <v>-26000000</v>
      </c>
    </row>
    <row r="55" spans="1:11" s="1" customFormat="1" ht="27.6" x14ac:dyDescent="0.25">
      <c r="A55" s="148" t="s">
        <v>322</v>
      </c>
      <c r="B55" s="291">
        <f>SUM(B56:B57)</f>
        <v>4089900918</v>
      </c>
      <c r="C55" s="213">
        <f>SUM(C56:C57)</f>
        <v>4146748639</v>
      </c>
      <c r="D55" s="213">
        <f>SUM(D56:D57)</f>
        <v>4146748639</v>
      </c>
      <c r="E55" s="211">
        <f>D55-C55</f>
        <v>0</v>
      </c>
      <c r="F55" s="148" t="s">
        <v>323</v>
      </c>
      <c r="G55" s="224">
        <f>SUM(G56:G57)</f>
        <v>123837273</v>
      </c>
      <c r="H55" s="213">
        <f>SUM(H56:H57)</f>
        <v>123837273</v>
      </c>
      <c r="I55" s="213">
        <f>SUM(I56:I57)</f>
        <v>123837273</v>
      </c>
      <c r="J55" s="211">
        <f t="shared" si="18"/>
        <v>0</v>
      </c>
    </row>
    <row r="56" spans="1:11" ht="27.6" x14ac:dyDescent="0.25">
      <c r="A56" s="147" t="s">
        <v>281</v>
      </c>
      <c r="B56" s="290">
        <f>B19</f>
        <v>217143540</v>
      </c>
      <c r="C56" s="214">
        <f>C19</f>
        <v>249143368</v>
      </c>
      <c r="D56" s="214">
        <f>D19</f>
        <v>249143368</v>
      </c>
      <c r="E56" s="208">
        <f>D56-C56</f>
        <v>0</v>
      </c>
      <c r="F56" s="147" t="s">
        <v>324</v>
      </c>
      <c r="G56" s="221">
        <f>G19</f>
        <v>49594849</v>
      </c>
      <c r="H56" s="214">
        <f>H19</f>
        <v>49594849</v>
      </c>
      <c r="I56" s="214">
        <f>I19</f>
        <v>49594849</v>
      </c>
      <c r="J56" s="208">
        <f t="shared" si="18"/>
        <v>0</v>
      </c>
      <c r="K56" s="9"/>
    </row>
    <row r="57" spans="1:11" ht="27.6" x14ac:dyDescent="0.25">
      <c r="A57" s="147" t="s">
        <v>306</v>
      </c>
      <c r="B57" s="290">
        <f>B41</f>
        <v>3872757378</v>
      </c>
      <c r="C57" s="214">
        <f>C41</f>
        <v>3897605271</v>
      </c>
      <c r="D57" s="214">
        <f>D41</f>
        <v>3897605271</v>
      </c>
      <c r="E57" s="208">
        <f>E41</f>
        <v>0</v>
      </c>
      <c r="F57" s="147" t="s">
        <v>325</v>
      </c>
      <c r="G57" s="221">
        <f>G41</f>
        <v>74242424</v>
      </c>
      <c r="H57" s="214">
        <f>H41</f>
        <v>74242424</v>
      </c>
      <c r="I57" s="214">
        <f>I41</f>
        <v>74242424</v>
      </c>
      <c r="J57" s="208">
        <f>J41</f>
        <v>0</v>
      </c>
      <c r="K57" s="9"/>
    </row>
    <row r="58" spans="1:11" s="1" customFormat="1" x14ac:dyDescent="0.25">
      <c r="A58" s="191" t="s">
        <v>326</v>
      </c>
      <c r="B58" s="291">
        <f>SUM(B59:B60)</f>
        <v>1567650796</v>
      </c>
      <c r="C58" s="213">
        <f>SUM(C59:C60)</f>
        <v>1709004901</v>
      </c>
      <c r="D58" s="213">
        <f>SUM(D59:D60)</f>
        <v>1735004901</v>
      </c>
      <c r="E58" s="211">
        <f>D58-C58</f>
        <v>26000000</v>
      </c>
      <c r="F58" s="191"/>
      <c r="G58" s="218"/>
      <c r="H58" s="689"/>
      <c r="I58" s="689"/>
      <c r="J58" s="690"/>
    </row>
    <row r="59" spans="1:11" ht="27.6" x14ac:dyDescent="0.25">
      <c r="A59" s="312" t="s">
        <v>284</v>
      </c>
      <c r="B59" s="290">
        <f>B21</f>
        <v>102083868</v>
      </c>
      <c r="C59" s="214">
        <f>C21</f>
        <v>102083868</v>
      </c>
      <c r="D59" s="214">
        <f>D21</f>
        <v>117083868</v>
      </c>
      <c r="E59" s="208">
        <f>D59-C59</f>
        <v>15000000</v>
      </c>
      <c r="F59" s="312"/>
      <c r="G59" s="217"/>
      <c r="H59" s="305"/>
      <c r="I59" s="305"/>
      <c r="J59" s="208"/>
      <c r="K59" s="9"/>
    </row>
    <row r="60" spans="1:11" ht="27.6" x14ac:dyDescent="0.25">
      <c r="A60" s="193" t="s">
        <v>309</v>
      </c>
      <c r="B60" s="290">
        <f>B43</f>
        <v>1465566928</v>
      </c>
      <c r="C60" s="214">
        <f>C43</f>
        <v>1606921033</v>
      </c>
      <c r="D60" s="214">
        <f>D43</f>
        <v>1617921033</v>
      </c>
      <c r="E60" s="208">
        <f>D60-C60</f>
        <v>11000000</v>
      </c>
      <c r="F60" s="191"/>
      <c r="G60" s="217"/>
      <c r="H60" s="355"/>
      <c r="I60" s="355"/>
      <c r="J60" s="219"/>
      <c r="K60" s="9"/>
    </row>
    <row r="61" spans="1:11" s="1" customFormat="1" ht="14.4" thickBot="1" x14ac:dyDescent="0.3">
      <c r="A61" s="149" t="s">
        <v>55</v>
      </c>
      <c r="B61" s="691">
        <f>B53+B55+B58</f>
        <v>11872457595.333332</v>
      </c>
      <c r="C61" s="215">
        <f>C53+C55+C58</f>
        <v>12522177504.333332</v>
      </c>
      <c r="D61" s="215">
        <f>D53+D55+D58</f>
        <v>13753102476.333332</v>
      </c>
      <c r="E61" s="223">
        <f>D61-C61</f>
        <v>1230924972</v>
      </c>
      <c r="F61" s="149" t="s">
        <v>327</v>
      </c>
      <c r="G61" s="225">
        <f>G53+G55</f>
        <v>11872457595</v>
      </c>
      <c r="H61" s="215">
        <f>H53+H55</f>
        <v>12522177504</v>
      </c>
      <c r="I61" s="215">
        <f>I53+I55</f>
        <v>13753102476</v>
      </c>
      <c r="J61" s="223">
        <f>I61-H61</f>
        <v>1230924972</v>
      </c>
    </row>
    <row r="62" spans="1:11" x14ac:dyDescent="0.25">
      <c r="G62" s="549">
        <f>B61-G61</f>
        <v>0.33333206176757813</v>
      </c>
      <c r="H62" s="549">
        <f>C61-H61</f>
        <v>0.33333206176757813</v>
      </c>
      <c r="I62" s="549">
        <f>D61-I61</f>
        <v>0.33333206176757813</v>
      </c>
      <c r="J62" s="549">
        <f>E61-J61</f>
        <v>0</v>
      </c>
      <c r="K62" s="549">
        <f>E61-J61</f>
        <v>0</v>
      </c>
    </row>
  </sheetData>
  <sheetProtection selectLockedCells="1" selectUnlockedCells="1"/>
  <mergeCells count="4">
    <mergeCell ref="C2:K2"/>
    <mergeCell ref="A4:K4"/>
    <mergeCell ref="A27:K27"/>
    <mergeCell ref="A48:K48"/>
  </mergeCells>
  <pageMargins left="0.74791666666666667" right="0.74791666666666667" top="0.98402777777777772" bottom="0.98402777777777772" header="0.51180555555555551" footer="0.51180555555555551"/>
  <pageSetup paperSize="9" scale="54" firstPageNumber="0" orientation="landscape" r:id="rId1"/>
  <headerFooter alignWithMargins="0">
    <oddHeader>&amp;C8. melléklet a 31/2019. (XII.13.) önkormányzati rendelethez
 az önkormányzat 2019. évi költségvetéséről szóló 6/2019. (II.28.) önkormányzati rendelet 
8. mellékletének helyébe a következő 8. melléklet lép:  
&amp;R&amp;P. oldal</oddHeader>
  </headerFooter>
  <rowBreaks count="2" manualBreakCount="2">
    <brk id="26" max="9" man="1"/>
    <brk id="6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66"/>
  <sheetViews>
    <sheetView view="pageLayout" topLeftCell="A28" zoomScaleNormal="100" zoomScaleSheetLayoutView="89" workbookViewId="0">
      <selection activeCell="C8" sqref="C8"/>
    </sheetView>
  </sheetViews>
  <sheetFormatPr defaultColWidth="9.109375" defaultRowHeight="13.8" x14ac:dyDescent="0.25"/>
  <cols>
    <col min="1" max="1" width="45.6640625" style="547" customWidth="1"/>
    <col min="2" max="2" width="15.109375" style="526" bestFit="1" customWidth="1"/>
    <col min="3" max="3" width="15" style="526" customWidth="1"/>
    <col min="4" max="4" width="15.33203125" style="526" customWidth="1"/>
    <col min="5" max="5" width="45.88671875" style="547" customWidth="1"/>
    <col min="6" max="6" width="14" style="526" customWidth="1"/>
    <col min="7" max="7" width="15.109375" style="526" bestFit="1" customWidth="1"/>
    <col min="8" max="8" width="15.44140625" style="526" bestFit="1" customWidth="1"/>
    <col min="9" max="9" width="15.88671875" style="9" customWidth="1"/>
    <col min="10" max="10" width="10.44140625" style="9" customWidth="1"/>
    <col min="11" max="11" width="9.109375" style="9"/>
    <col min="12" max="12" width="12.33203125" style="9" customWidth="1"/>
    <col min="13" max="16384" width="9.109375" style="9"/>
  </cols>
  <sheetData>
    <row r="1" spans="1:12" x14ac:dyDescent="0.25">
      <c r="B1" s="1452"/>
      <c r="C1" s="1452"/>
      <c r="D1" s="1452"/>
      <c r="E1" s="1452"/>
      <c r="F1" s="1452"/>
      <c r="G1" s="1452"/>
      <c r="H1" s="1452"/>
    </row>
    <row r="2" spans="1:12" x14ac:dyDescent="0.25">
      <c r="B2" s="1452"/>
      <c r="C2" s="1452"/>
      <c r="D2" s="1452"/>
      <c r="E2" s="1452"/>
      <c r="F2" s="1452"/>
      <c r="G2" s="1452"/>
      <c r="H2" s="1452"/>
    </row>
    <row r="3" spans="1:12" x14ac:dyDescent="0.25">
      <c r="A3" s="1453" t="s">
        <v>592</v>
      </c>
      <c r="B3" s="1453"/>
      <c r="C3" s="1453"/>
      <c r="D3" s="1453"/>
      <c r="E3" s="1453"/>
      <c r="F3" s="1453"/>
      <c r="G3" s="1453"/>
      <c r="H3" s="1453"/>
    </row>
    <row r="5" spans="1:12" ht="15.75" customHeight="1" x14ac:dyDescent="0.3">
      <c r="A5" s="1451" t="s">
        <v>593</v>
      </c>
      <c r="B5" s="1451"/>
      <c r="C5" s="1451"/>
      <c r="D5" s="1451"/>
      <c r="E5" s="1451"/>
      <c r="F5" s="1451"/>
      <c r="G5" s="1451"/>
      <c r="H5" s="1451"/>
    </row>
    <row r="6" spans="1:12" ht="14.4" thickBot="1" x14ac:dyDescent="0.3"/>
    <row r="7" spans="1:12" s="69" customFormat="1" ht="28.2" thickBot="1" x14ac:dyDescent="0.3">
      <c r="A7" s="445" t="s">
        <v>267</v>
      </c>
      <c r="B7" s="446" t="s">
        <v>554</v>
      </c>
      <c r="C7" s="447" t="s">
        <v>423</v>
      </c>
      <c r="D7" s="448" t="s">
        <v>555</v>
      </c>
      <c r="E7" s="449" t="s">
        <v>268</v>
      </c>
      <c r="F7" s="446" t="s">
        <v>554</v>
      </c>
      <c r="G7" s="447" t="s">
        <v>423</v>
      </c>
      <c r="H7" s="448" t="s">
        <v>555</v>
      </c>
    </row>
    <row r="8" spans="1:12" ht="26.25" customHeight="1" x14ac:dyDescent="0.25">
      <c r="A8" s="492" t="s">
        <v>269</v>
      </c>
      <c r="B8" s="450">
        <f>'2.sz.tábla   (2)'!H7+'2.sz.tábla   (2)'!L7</f>
        <v>166647066</v>
      </c>
      <c r="C8" s="450">
        <f>'2.sz.tábla   (2)'!D7</f>
        <v>1447812796.3333333</v>
      </c>
      <c r="D8" s="451">
        <f>SUM(B8:C8)</f>
        <v>1614459862.3333333</v>
      </c>
      <c r="E8" s="452" t="s">
        <v>150</v>
      </c>
      <c r="F8" s="453">
        <f>'4.sz.tábla '!D11</f>
        <v>531171660</v>
      </c>
      <c r="G8" s="450">
        <f>'4.sz.tábla '!D12</f>
        <v>174712087</v>
      </c>
      <c r="H8" s="451">
        <f>SUM(F8:G8)</f>
        <v>705883747</v>
      </c>
      <c r="I8" s="43"/>
    </row>
    <row r="9" spans="1:12" x14ac:dyDescent="0.25">
      <c r="A9" s="454" t="s">
        <v>270</v>
      </c>
      <c r="B9" s="450">
        <f>'2.sz.tábla   (2)'!H30+'2.sz.tábla   (2)'!L30</f>
        <v>500000</v>
      </c>
      <c r="C9" s="450">
        <f>'2.sz.tábla   (2)'!D30</f>
        <v>1863700000</v>
      </c>
      <c r="D9" s="451">
        <f t="shared" ref="D9:D14" si="0">SUM(B9:C9)</f>
        <v>1864200000</v>
      </c>
      <c r="E9" s="455" t="s">
        <v>271</v>
      </c>
      <c r="F9" s="456">
        <f>'4.sz.tábla '!H11</f>
        <v>108768520</v>
      </c>
      <c r="G9" s="457">
        <f>'4.sz.tábla '!H12</f>
        <v>32564528</v>
      </c>
      <c r="H9" s="451">
        <f t="shared" ref="H9:H16" si="1">SUM(F9:G9)</f>
        <v>141333048</v>
      </c>
      <c r="I9" s="43"/>
    </row>
    <row r="10" spans="1:12" ht="15" x14ac:dyDescent="0.25">
      <c r="A10" s="458" t="s">
        <v>272</v>
      </c>
      <c r="B10" s="450">
        <f>'2.sz.tábla   (2)'!H43+'2.sz.tábla   (2)'!L43</f>
        <v>77895775</v>
      </c>
      <c r="C10" s="450">
        <f>'2.sz.tábla   (2)'!D43-'8a. sz. tábla  (4)'!D34</f>
        <v>649249567</v>
      </c>
      <c r="D10" s="451">
        <f t="shared" si="0"/>
        <v>727145342</v>
      </c>
      <c r="E10" s="455" t="s">
        <v>275</v>
      </c>
      <c r="F10" s="456">
        <f>'4.sz.tábla '!L11</f>
        <v>207491838</v>
      </c>
      <c r="G10" s="450">
        <f>'4.sz.tábla '!L12</f>
        <v>1234264730</v>
      </c>
      <c r="H10" s="451">
        <f t="shared" si="1"/>
        <v>1441756568</v>
      </c>
      <c r="I10" s="43"/>
      <c r="J10" s="7"/>
      <c r="K10" s="8"/>
      <c r="L10" s="8"/>
    </row>
    <row r="11" spans="1:12" ht="27.6" x14ac:dyDescent="0.25">
      <c r="A11" s="454" t="s">
        <v>276</v>
      </c>
      <c r="B11" s="450">
        <f>'2.sz.tábla   (2)'!G66+'2.sz.tábla   (2)'!L66</f>
        <v>75000</v>
      </c>
      <c r="C11" s="450">
        <f>'2.sz.tábla   (2)'!D66</f>
        <v>33825559</v>
      </c>
      <c r="D11" s="451">
        <f t="shared" si="0"/>
        <v>33900559</v>
      </c>
      <c r="E11" s="452" t="s">
        <v>169</v>
      </c>
      <c r="F11" s="456">
        <f>'4.sz.tábla '!Q11</f>
        <v>1596000</v>
      </c>
      <c r="G11" s="450">
        <f>'4.sz.tábla '!Q12</f>
        <v>28100000</v>
      </c>
      <c r="H11" s="451">
        <f t="shared" si="1"/>
        <v>29696000</v>
      </c>
      <c r="I11" s="43"/>
    </row>
    <row r="12" spans="1:12" x14ac:dyDescent="0.25">
      <c r="A12" s="459"/>
      <c r="B12" s="450"/>
      <c r="C12" s="450"/>
      <c r="D12" s="451">
        <f t="shared" si="0"/>
        <v>0</v>
      </c>
      <c r="E12" s="455" t="s">
        <v>148</v>
      </c>
      <c r="F12" s="460"/>
      <c r="G12" s="460"/>
      <c r="H12" s="451"/>
      <c r="I12" s="43"/>
    </row>
    <row r="13" spans="1:12" x14ac:dyDescent="0.25">
      <c r="A13" s="459"/>
      <c r="B13" s="450"/>
      <c r="C13" s="450"/>
      <c r="D13" s="451">
        <f t="shared" si="0"/>
        <v>0</v>
      </c>
      <c r="E13" s="455" t="s">
        <v>351</v>
      </c>
      <c r="F13" s="460"/>
      <c r="G13" s="450">
        <f>'5.tábla (2)'!D140</f>
        <v>5379930</v>
      </c>
      <c r="H13" s="451">
        <f t="shared" si="1"/>
        <v>5379930</v>
      </c>
      <c r="I13" s="43"/>
    </row>
    <row r="14" spans="1:12" ht="27.6" x14ac:dyDescent="0.25">
      <c r="A14" s="454"/>
      <c r="B14" s="450"/>
      <c r="C14" s="450"/>
      <c r="D14" s="451">
        <f t="shared" si="0"/>
        <v>0</v>
      </c>
      <c r="E14" s="455" t="s">
        <v>352</v>
      </c>
      <c r="F14" s="456">
        <f>'5.tábla (2)'!D27+'4.sz.tábla '!U9</f>
        <v>2325380</v>
      </c>
      <c r="G14" s="450">
        <f>'5.tábla (2)'!D144</f>
        <v>510640525</v>
      </c>
      <c r="H14" s="451">
        <f t="shared" si="1"/>
        <v>512965905</v>
      </c>
      <c r="I14" s="43"/>
    </row>
    <row r="15" spans="1:12" ht="27.6" x14ac:dyDescent="0.25">
      <c r="A15" s="461"/>
      <c r="B15" s="450"/>
      <c r="C15" s="450"/>
      <c r="D15" s="451"/>
      <c r="E15" s="462" t="s">
        <v>353</v>
      </c>
      <c r="F15" s="456"/>
      <c r="G15" s="457">
        <f>'5.tábla (2)'!D149</f>
        <v>854871056</v>
      </c>
      <c r="H15" s="451">
        <f t="shared" si="1"/>
        <v>854871056</v>
      </c>
      <c r="I15" s="43"/>
    </row>
    <row r="16" spans="1:12" ht="27.6" x14ac:dyDescent="0.25">
      <c r="A16" s="454"/>
      <c r="B16" s="450"/>
      <c r="C16" s="450"/>
      <c r="D16" s="451"/>
      <c r="E16" s="455" t="s">
        <v>354</v>
      </c>
      <c r="F16" s="456"/>
      <c r="G16" s="450">
        <f>'5.tábla (2)'!D146</f>
        <v>16000000</v>
      </c>
      <c r="H16" s="451">
        <f t="shared" si="1"/>
        <v>16000000</v>
      </c>
      <c r="I16" s="43"/>
    </row>
    <row r="17" spans="1:9" x14ac:dyDescent="0.25">
      <c r="A17" s="459"/>
      <c r="B17" s="450"/>
      <c r="C17" s="450"/>
      <c r="D17" s="451"/>
      <c r="E17" s="254" t="s">
        <v>344</v>
      </c>
      <c r="F17" s="456"/>
      <c r="G17" s="463">
        <f>'8. sz. tábla  (3)'!I16</f>
        <v>6802208</v>
      </c>
      <c r="H17" s="451">
        <f>SUM(F17:G17)</f>
        <v>6802208</v>
      </c>
      <c r="I17" s="43"/>
    </row>
    <row r="18" spans="1:9" x14ac:dyDescent="0.25">
      <c r="A18" s="464" t="s">
        <v>277</v>
      </c>
      <c r="B18" s="465">
        <f>SUM(B8:B17)</f>
        <v>245117841</v>
      </c>
      <c r="C18" s="465">
        <f>SUM(C8:C17)</f>
        <v>3994587922.333333</v>
      </c>
      <c r="D18" s="466">
        <f>SUM(D8:D17)</f>
        <v>4239705763.333333</v>
      </c>
      <c r="E18" s="467" t="s">
        <v>278</v>
      </c>
      <c r="F18" s="468">
        <f>F8+F9+F10+F11+F12+F17+F14</f>
        <v>851353398</v>
      </c>
      <c r="G18" s="468">
        <f>SUM(G8:G17)</f>
        <v>2863335064</v>
      </c>
      <c r="H18" s="468">
        <f>H8+H9+H10+H11+H14+H15+H16+H17+H13</f>
        <v>3714688462</v>
      </c>
      <c r="I18" s="43">
        <f>SUM(F18:G18)</f>
        <v>3714688462</v>
      </c>
    </row>
    <row r="19" spans="1:9" x14ac:dyDescent="0.25">
      <c r="A19" s="464" t="s">
        <v>279</v>
      </c>
      <c r="B19" s="465">
        <f>B18-F18</f>
        <v>-606235557</v>
      </c>
      <c r="C19" s="465">
        <f>C18-G18</f>
        <v>1131252858.333333</v>
      </c>
      <c r="D19" s="466">
        <f>D18-H18</f>
        <v>525017301.33333302</v>
      </c>
      <c r="E19" s="469" t="s">
        <v>280</v>
      </c>
      <c r="F19" s="456"/>
      <c r="G19" s="470"/>
      <c r="H19" s="471"/>
    </row>
    <row r="20" spans="1:9" ht="27.6" x14ac:dyDescent="0.25">
      <c r="A20" s="472" t="s">
        <v>281</v>
      </c>
      <c r="B20" s="470">
        <f>SUM(B21)</f>
        <v>27594418</v>
      </c>
      <c r="C20" s="470">
        <f>SUM(C21)</f>
        <v>221548950</v>
      </c>
      <c r="D20" s="471">
        <f>SUM(B20:C20)</f>
        <v>249143368</v>
      </c>
      <c r="E20" s="469" t="s">
        <v>282</v>
      </c>
      <c r="F20" s="473">
        <f>SUM(F21:F21)</f>
        <v>0</v>
      </c>
      <c r="G20" s="465">
        <f>SUM(G21:G25)</f>
        <v>49594849</v>
      </c>
      <c r="H20" s="466">
        <f>G20-F20</f>
        <v>49594849</v>
      </c>
    </row>
    <row r="21" spans="1:9" ht="27.6" x14ac:dyDescent="0.25">
      <c r="A21" s="459" t="s">
        <v>283</v>
      </c>
      <c r="B21" s="450">
        <f>'2.sz.tábla   (2)'!H77+'2.sz.tábla   (2)'!L77</f>
        <v>27594418</v>
      </c>
      <c r="C21" s="450">
        <f>'2.sz.tábla   (2)'!D77</f>
        <v>221548950</v>
      </c>
      <c r="D21" s="451">
        <f>SUM(B21:C21)</f>
        <v>249143368</v>
      </c>
      <c r="E21" s="459" t="s">
        <v>589</v>
      </c>
      <c r="F21" s="456"/>
      <c r="G21" s="450">
        <f>'7. sz. tábla 1'!D217</f>
        <v>49594849</v>
      </c>
      <c r="H21" s="451">
        <f>SUM(F21:G21)</f>
        <v>49594849</v>
      </c>
    </row>
    <row r="22" spans="1:9" ht="27.6" x14ac:dyDescent="0.25">
      <c r="A22" s="464" t="s">
        <v>284</v>
      </c>
      <c r="B22" s="450"/>
      <c r="C22" s="474">
        <f>SUM(C23:C25)</f>
        <v>117083868</v>
      </c>
      <c r="D22" s="475">
        <f>SUM(B22:C22)</f>
        <v>117083868</v>
      </c>
      <c r="E22" s="455" t="s">
        <v>355</v>
      </c>
      <c r="F22" s="456"/>
      <c r="G22" s="450"/>
      <c r="H22" s="451">
        <f>SUM(F22:G22)</f>
        <v>0</v>
      </c>
    </row>
    <row r="23" spans="1:9" x14ac:dyDescent="0.25">
      <c r="A23" s="476" t="s">
        <v>285</v>
      </c>
      <c r="B23" s="450"/>
      <c r="C23" s="450">
        <f>'8. sz. tábla  (3)'!D22</f>
        <v>104283868</v>
      </c>
      <c r="D23" s="451">
        <f>SUM(B23:C23)</f>
        <v>104283868</v>
      </c>
      <c r="E23" s="459" t="s">
        <v>370</v>
      </c>
      <c r="F23" s="456"/>
      <c r="G23" s="477"/>
      <c r="H23" s="451">
        <f>SUM(F23:G23)</f>
        <v>0</v>
      </c>
    </row>
    <row r="24" spans="1:9" x14ac:dyDescent="0.25">
      <c r="A24" s="459" t="s">
        <v>286</v>
      </c>
      <c r="B24" s="450"/>
      <c r="C24" s="478"/>
      <c r="D24" s="479"/>
      <c r="E24" s="480" t="s">
        <v>368</v>
      </c>
      <c r="F24" s="460"/>
      <c r="G24" s="481"/>
      <c r="H24" s="451">
        <f>SUM(F24:G24)</f>
        <v>0</v>
      </c>
    </row>
    <row r="25" spans="1:9" ht="28.2" thickBot="1" x14ac:dyDescent="0.3">
      <c r="A25" s="476" t="s">
        <v>369</v>
      </c>
      <c r="B25" s="463"/>
      <c r="C25" s="463">
        <f>'2.sz.tábla   (2)'!D90</f>
        <v>12800000</v>
      </c>
      <c r="D25" s="482">
        <f>SUM(B25:C25)</f>
        <v>12800000</v>
      </c>
      <c r="E25" s="483"/>
      <c r="F25" s="484"/>
      <c r="G25" s="485"/>
      <c r="H25" s="486"/>
    </row>
    <row r="26" spans="1:9" ht="14.4" thickBot="1" x14ac:dyDescent="0.3">
      <c r="A26" s="445" t="s">
        <v>287</v>
      </c>
      <c r="B26" s="487">
        <f>B18+B20+B22</f>
        <v>272712259</v>
      </c>
      <c r="C26" s="487">
        <f>C18+C20+C22</f>
        <v>4333220740.333333</v>
      </c>
      <c r="D26" s="488">
        <f>D18+D20+D22</f>
        <v>4605932999.333333</v>
      </c>
      <c r="E26" s="449" t="s">
        <v>288</v>
      </c>
      <c r="F26" s="489">
        <f>F18+F20</f>
        <v>851353398</v>
      </c>
      <c r="G26" s="487">
        <f>G18+G20</f>
        <v>2912929913</v>
      </c>
      <c r="H26" s="488">
        <f>H18+H20</f>
        <v>3764283311</v>
      </c>
    </row>
    <row r="28" spans="1:9" ht="15.75" customHeight="1" x14ac:dyDescent="0.3">
      <c r="A28" s="1451" t="s">
        <v>594</v>
      </c>
      <c r="B28" s="1451"/>
      <c r="C28" s="1451"/>
      <c r="D28" s="1451"/>
      <c r="E28" s="1451"/>
      <c r="F28" s="1451"/>
      <c r="G28" s="1451"/>
      <c r="H28" s="1451"/>
    </row>
    <row r="29" spans="1:9" ht="14.4" thickBot="1" x14ac:dyDescent="0.3"/>
    <row r="30" spans="1:9" s="69" customFormat="1" ht="28.2" thickBot="1" x14ac:dyDescent="0.3">
      <c r="A30" s="490" t="s">
        <v>289</v>
      </c>
      <c r="B30" s="446" t="s">
        <v>554</v>
      </c>
      <c r="C30" s="447" t="s">
        <v>423</v>
      </c>
      <c r="D30" s="448" t="s">
        <v>555</v>
      </c>
      <c r="E30" s="491" t="s">
        <v>290</v>
      </c>
      <c r="F30" s="446" t="s">
        <v>554</v>
      </c>
      <c r="G30" s="447" t="s">
        <v>423</v>
      </c>
      <c r="H30" s="448" t="s">
        <v>555</v>
      </c>
    </row>
    <row r="31" spans="1:9" ht="27.6" x14ac:dyDescent="0.25">
      <c r="A31" s="492" t="s">
        <v>291</v>
      </c>
      <c r="B31" s="450">
        <f>'2.sz.tábla   (2)'!H22+'2.sz.tábla   (2)'!L22</f>
        <v>312424</v>
      </c>
      <c r="C31" s="450">
        <f>'2.sz.tábla   (2)'!D22</f>
        <v>2786781765</v>
      </c>
      <c r="D31" s="493">
        <f>SUM(B31:C31)</f>
        <v>2787094189</v>
      </c>
      <c r="E31" s="494" t="s">
        <v>292</v>
      </c>
      <c r="F31" s="495"/>
      <c r="G31" s="495">
        <f>'7. sz. tábla 1'!D142</f>
        <v>8755358772</v>
      </c>
      <c r="H31" s="496">
        <f>SUM(F31:G31)</f>
        <v>8755358772</v>
      </c>
    </row>
    <row r="32" spans="1:9" x14ac:dyDescent="0.25">
      <c r="A32" s="459" t="s">
        <v>293</v>
      </c>
      <c r="B32" s="450">
        <f>'2.sz.tábla   (2)'!G58+'2.sz.tábla   (2)'!K58</f>
        <v>0</v>
      </c>
      <c r="C32" s="450">
        <f>'2.sz.tábla   (2)'!D58</f>
        <v>100788400</v>
      </c>
      <c r="D32" s="255">
        <f>SUM(B32:C32)</f>
        <v>100788400</v>
      </c>
      <c r="E32" s="497" t="s">
        <v>294</v>
      </c>
      <c r="F32" s="498">
        <f>'4.sz.tábla '!Y11</f>
        <v>26286628</v>
      </c>
      <c r="G32" s="481"/>
      <c r="H32" s="499">
        <f t="shared" ref="H32:H39" si="2">SUM(F32:G32)</f>
        <v>26286628</v>
      </c>
    </row>
    <row r="33" spans="1:11" x14ac:dyDescent="0.25">
      <c r="A33" s="459" t="s">
        <v>295</v>
      </c>
      <c r="B33" s="450">
        <f>'2.sz.tábla   (2)'!G70+'2.sz.tábla   (2)'!K70</f>
        <v>0</v>
      </c>
      <c r="C33" s="450">
        <f>'2.sz.tábla   (2)'!D70</f>
        <v>616312431</v>
      </c>
      <c r="D33" s="255">
        <f>SUM(B33:C33)</f>
        <v>616312431</v>
      </c>
      <c r="E33" s="497" t="s">
        <v>296</v>
      </c>
      <c r="F33" s="498"/>
      <c r="G33" s="498">
        <f>'7. sz. tábla 1'!D223</f>
        <v>90593955</v>
      </c>
      <c r="H33" s="499">
        <f t="shared" si="2"/>
        <v>90593955</v>
      </c>
    </row>
    <row r="34" spans="1:11" ht="27.6" x14ac:dyDescent="0.25">
      <c r="A34" s="147" t="s">
        <v>1</v>
      </c>
      <c r="B34" s="450"/>
      <c r="C34" s="450">
        <f>'8. sz. tábla  (3)'!D33</f>
        <v>127448153</v>
      </c>
      <c r="D34" s="255">
        <f>SUM(B34:C34)</f>
        <v>127448153</v>
      </c>
      <c r="E34" s="497" t="s">
        <v>297</v>
      </c>
      <c r="F34" s="498"/>
      <c r="G34" s="498"/>
      <c r="H34" s="499"/>
    </row>
    <row r="35" spans="1:11" ht="27.6" x14ac:dyDescent="0.25">
      <c r="A35" s="459"/>
      <c r="B35" s="450"/>
      <c r="C35" s="457"/>
      <c r="D35" s="500"/>
      <c r="E35" s="497" t="s">
        <v>298</v>
      </c>
      <c r="F35" s="481"/>
      <c r="G35" s="481">
        <f>'7. sz. tábla 1'!D162</f>
        <v>197028543</v>
      </c>
      <c r="H35" s="499">
        <f>SUM(F35:G35)</f>
        <v>197028543</v>
      </c>
    </row>
    <row r="36" spans="1:11" ht="27" customHeight="1" x14ac:dyDescent="0.25">
      <c r="A36" s="459"/>
      <c r="B36" s="450"/>
      <c r="C36" s="457"/>
      <c r="D36" s="500"/>
      <c r="E36" s="501" t="s">
        <v>299</v>
      </c>
      <c r="F36" s="498"/>
      <c r="G36" s="502">
        <f>'7. sz. tábla 1'!D152</f>
        <v>625762424</v>
      </c>
      <c r="H36" s="499">
        <f t="shared" si="2"/>
        <v>625762424</v>
      </c>
    </row>
    <row r="37" spans="1:11" ht="27.6" x14ac:dyDescent="0.25">
      <c r="A37" s="459"/>
      <c r="B37" s="450"/>
      <c r="C37" s="503"/>
      <c r="D37" s="255"/>
      <c r="E37" s="497" t="s">
        <v>372</v>
      </c>
      <c r="F37" s="498"/>
      <c r="G37" s="498">
        <f>'7. sz. tábla 1'!D151</f>
        <v>0</v>
      </c>
      <c r="H37" s="499">
        <f t="shared" si="2"/>
        <v>0</v>
      </c>
    </row>
    <row r="38" spans="1:11" ht="27.6" x14ac:dyDescent="0.25">
      <c r="A38" s="459"/>
      <c r="B38" s="450"/>
      <c r="C38" s="498"/>
      <c r="D38" s="255"/>
      <c r="E38" s="497" t="s">
        <v>556</v>
      </c>
      <c r="F38" s="498"/>
      <c r="G38" s="498">
        <f>'7. sz. tábla 1'!D145</f>
        <v>176191061</v>
      </c>
      <c r="H38" s="499">
        <f t="shared" si="2"/>
        <v>176191061</v>
      </c>
    </row>
    <row r="39" spans="1:11" x14ac:dyDescent="0.25">
      <c r="A39" s="459"/>
      <c r="B39" s="450"/>
      <c r="C39" s="498"/>
      <c r="D39" s="255"/>
      <c r="E39" s="497" t="s">
        <v>23</v>
      </c>
      <c r="F39" s="498"/>
      <c r="G39" s="498">
        <f>'8. sz. tábla  (3)'!I38</f>
        <v>43355358</v>
      </c>
      <c r="H39" s="499">
        <f t="shared" si="2"/>
        <v>43355358</v>
      </c>
    </row>
    <row r="40" spans="1:11" x14ac:dyDescent="0.25">
      <c r="A40" s="464" t="s">
        <v>301</v>
      </c>
      <c r="B40" s="473">
        <f>SUM(B31:B37)</f>
        <v>312424</v>
      </c>
      <c r="C40" s="477">
        <f>SUM(C31:C37)</f>
        <v>3631330749</v>
      </c>
      <c r="D40" s="504">
        <f>SUM(D31:D37)</f>
        <v>3631643173</v>
      </c>
      <c r="E40" s="505" t="s">
        <v>302</v>
      </c>
      <c r="F40" s="506">
        <f>SUM(F31:F34)</f>
        <v>26286628</v>
      </c>
      <c r="G40" s="506">
        <f>SUM(G31:G39)</f>
        <v>9888290113</v>
      </c>
      <c r="H40" s="468">
        <f>H31+H32+H33+H35+H36+H37+H38+H39</f>
        <v>9914576741</v>
      </c>
      <c r="I40" s="43">
        <f>SUM(F40:G40)</f>
        <v>9914576741</v>
      </c>
      <c r="K40" s="1"/>
    </row>
    <row r="41" spans="1:11" x14ac:dyDescent="0.25">
      <c r="A41" s="464" t="s">
        <v>303</v>
      </c>
      <c r="B41" s="456"/>
      <c r="C41" s="504"/>
      <c r="D41" s="504"/>
      <c r="E41" s="505" t="s">
        <v>305</v>
      </c>
      <c r="F41" s="506">
        <f>B40-F40</f>
        <v>-25974204</v>
      </c>
      <c r="G41" s="506">
        <f>C40-G40</f>
        <v>-6256959364</v>
      </c>
      <c r="H41" s="468">
        <f>D40-H40</f>
        <v>-6282933568</v>
      </c>
    </row>
    <row r="42" spans="1:11" ht="27.6" x14ac:dyDescent="0.25">
      <c r="A42" s="464" t="s">
        <v>306</v>
      </c>
      <c r="B42" s="473">
        <f>SUM(B43)</f>
        <v>10455628</v>
      </c>
      <c r="C42" s="507">
        <f>SUM(C43)</f>
        <v>3887149643</v>
      </c>
      <c r="D42" s="504">
        <f>SUM(D43)</f>
        <v>3897605271</v>
      </c>
      <c r="E42" s="505" t="s">
        <v>307</v>
      </c>
      <c r="F42" s="506">
        <f>SUM(F43:F44)</f>
        <v>0</v>
      </c>
      <c r="G42" s="506">
        <f>SUM(G43:G44)</f>
        <v>74242424</v>
      </c>
      <c r="H42" s="468">
        <f>SUM(H43:H45)</f>
        <v>74242424</v>
      </c>
    </row>
    <row r="43" spans="1:11" x14ac:dyDescent="0.25">
      <c r="A43" s="459" t="s">
        <v>308</v>
      </c>
      <c r="B43" s="456">
        <f>'2.sz.tábla   (2)'!H78+'2.sz.tábla   (2)'!L78</f>
        <v>10455628</v>
      </c>
      <c r="C43" s="255">
        <f>'2.sz.tábla   (2)'!D78</f>
        <v>3887149643</v>
      </c>
      <c r="D43" s="255">
        <f>SUM(B43:C43)</f>
        <v>3897605271</v>
      </c>
      <c r="E43" s="497" t="s">
        <v>557</v>
      </c>
      <c r="F43" s="498"/>
      <c r="G43" s="498">
        <f>'7. sz. tábla 1'!E216</f>
        <v>0</v>
      </c>
      <c r="H43" s="499">
        <f>SUM(F43:G43)</f>
        <v>0</v>
      </c>
    </row>
    <row r="44" spans="1:11" ht="27.6" x14ac:dyDescent="0.25">
      <c r="A44" s="464" t="s">
        <v>309</v>
      </c>
      <c r="B44" s="473">
        <f>SUM(B45:B46)</f>
        <v>0</v>
      </c>
      <c r="C44" s="465">
        <f>SUM(C45:C46)</f>
        <v>1617921033</v>
      </c>
      <c r="D44" s="504">
        <f>SUM(D45:D46)</f>
        <v>1617921033</v>
      </c>
      <c r="E44" s="497" t="s">
        <v>310</v>
      </c>
      <c r="F44" s="498"/>
      <c r="G44" s="498">
        <f>'7. sz. tábla 1'!D215</f>
        <v>74242424</v>
      </c>
      <c r="H44" s="499">
        <f>SUM(F44:G44)</f>
        <v>74242424</v>
      </c>
    </row>
    <row r="45" spans="1:11" ht="27.6" x14ac:dyDescent="0.25">
      <c r="A45" s="476" t="s">
        <v>311</v>
      </c>
      <c r="B45" s="456"/>
      <c r="C45" s="255">
        <f>'2.sz.tábla   (2)'!D85-'8a. sz. tábla  (4)'!D23</f>
        <v>1617921033</v>
      </c>
      <c r="D45" s="255">
        <f>SUM(B45:C45)</f>
        <v>1617921033</v>
      </c>
      <c r="E45" s="497" t="s">
        <v>590</v>
      </c>
      <c r="F45" s="498"/>
      <c r="G45" s="498"/>
      <c r="H45" s="499"/>
    </row>
    <row r="46" spans="1:11" ht="14.4" thickBot="1" x14ac:dyDescent="0.3">
      <c r="A46" s="476" t="s">
        <v>312</v>
      </c>
      <c r="B46" s="508"/>
      <c r="C46" s="509"/>
      <c r="D46" s="509"/>
      <c r="E46" s="510"/>
      <c r="F46" s="511"/>
      <c r="G46" s="511"/>
      <c r="H46" s="512"/>
    </row>
    <row r="47" spans="1:11" ht="14.4" thickBot="1" x14ac:dyDescent="0.3">
      <c r="A47" s="445" t="s">
        <v>313</v>
      </c>
      <c r="B47" s="489">
        <f>B40+B42+B44</f>
        <v>10768052</v>
      </c>
      <c r="C47" s="487">
        <f>C40+C42+C44</f>
        <v>9136401425</v>
      </c>
      <c r="D47" s="513">
        <f>D40+D42+D44</f>
        <v>9147169477</v>
      </c>
      <c r="E47" s="514" t="s">
        <v>314</v>
      </c>
      <c r="F47" s="515">
        <f>F40+F42</f>
        <v>26286628</v>
      </c>
      <c r="G47" s="516">
        <f>G40+G42</f>
        <v>9962532537</v>
      </c>
      <c r="H47" s="517">
        <f>H40+H42</f>
        <v>9988819165</v>
      </c>
    </row>
    <row r="48" spans="1:11" x14ac:dyDescent="0.25">
      <c r="A48" s="548"/>
      <c r="B48" s="553"/>
      <c r="C48" s="553"/>
      <c r="D48" s="553"/>
      <c r="E48" s="548"/>
      <c r="F48" s="553"/>
      <c r="G48" s="553"/>
      <c r="H48" s="553"/>
    </row>
    <row r="49" spans="1:9" ht="15.75" customHeight="1" x14ac:dyDescent="0.3">
      <c r="A49" s="1451" t="s">
        <v>595</v>
      </c>
      <c r="B49" s="1451"/>
      <c r="C49" s="1451"/>
      <c r="D49" s="1451"/>
      <c r="E49" s="1451"/>
      <c r="F49" s="1451"/>
      <c r="G49" s="1451"/>
      <c r="H49" s="1451"/>
    </row>
    <row r="50" spans="1:9" ht="14.4" thickBot="1" x14ac:dyDescent="0.3"/>
    <row r="51" spans="1:9" s="69" customFormat="1" ht="28.2" thickBot="1" x14ac:dyDescent="0.3">
      <c r="A51" s="490" t="s">
        <v>315</v>
      </c>
      <c r="B51" s="446" t="s">
        <v>554</v>
      </c>
      <c r="C51" s="447" t="s">
        <v>423</v>
      </c>
      <c r="D51" s="448" t="s">
        <v>555</v>
      </c>
      <c r="E51" s="490" t="s">
        <v>316</v>
      </c>
      <c r="F51" s="446" t="s">
        <v>554</v>
      </c>
      <c r="G51" s="447" t="s">
        <v>423</v>
      </c>
      <c r="H51" s="448" t="s">
        <v>555</v>
      </c>
    </row>
    <row r="52" spans="1:9" x14ac:dyDescent="0.25">
      <c r="A52" s="458" t="s">
        <v>317</v>
      </c>
      <c r="B52" s="453">
        <f>B18</f>
        <v>245117841</v>
      </c>
      <c r="C52" s="493">
        <f>C18</f>
        <v>3994587922.333333</v>
      </c>
      <c r="D52" s="518">
        <f>D18</f>
        <v>4239705763.333333</v>
      </c>
      <c r="E52" s="458" t="s">
        <v>318</v>
      </c>
      <c r="F52" s="453">
        <f>F18</f>
        <v>851353398</v>
      </c>
      <c r="G52" s="519">
        <f>G18</f>
        <v>2863335064</v>
      </c>
      <c r="H52" s="518">
        <f>H18</f>
        <v>3714688462</v>
      </c>
      <c r="I52" s="43">
        <f t="shared" ref="I52:I60" si="3">SUM(F52:G52)</f>
        <v>3714688462</v>
      </c>
    </row>
    <row r="53" spans="1:9" x14ac:dyDescent="0.25">
      <c r="A53" s="459" t="s">
        <v>319</v>
      </c>
      <c r="B53" s="456">
        <f>B40</f>
        <v>312424</v>
      </c>
      <c r="C53" s="450">
        <f>C40</f>
        <v>3631330749</v>
      </c>
      <c r="D53" s="499">
        <f>D40</f>
        <v>3631643173</v>
      </c>
      <c r="E53" s="459" t="s">
        <v>320</v>
      </c>
      <c r="F53" s="456">
        <f>F40</f>
        <v>26286628</v>
      </c>
      <c r="G53" s="450">
        <f>G40</f>
        <v>9888290113</v>
      </c>
      <c r="H53" s="451">
        <f>H40</f>
        <v>9914576741</v>
      </c>
      <c r="I53" s="43">
        <f t="shared" si="3"/>
        <v>9914576741</v>
      </c>
    </row>
    <row r="54" spans="1:9" x14ac:dyDescent="0.25">
      <c r="A54" s="464" t="s">
        <v>417</v>
      </c>
      <c r="B54" s="473">
        <f>SUM(B52:B53)</f>
        <v>245430265</v>
      </c>
      <c r="C54" s="465">
        <f>SUM(C52:C53)</f>
        <v>7625918671.333333</v>
      </c>
      <c r="D54" s="468">
        <f>SUM(D52:D53)</f>
        <v>7871348936.333333</v>
      </c>
      <c r="E54" s="464" t="s">
        <v>433</v>
      </c>
      <c r="F54" s="473">
        <f>SUM(F52:F53)</f>
        <v>877640026</v>
      </c>
      <c r="G54" s="465">
        <f>SUM(G52:G53)</f>
        <v>12751625177</v>
      </c>
      <c r="H54" s="466">
        <f>SUM(H52:H53)</f>
        <v>13629265203</v>
      </c>
      <c r="I54" s="43">
        <f t="shared" si="3"/>
        <v>13629265203</v>
      </c>
    </row>
    <row r="55" spans="1:9" x14ac:dyDescent="0.25">
      <c r="A55" s="464" t="s">
        <v>321</v>
      </c>
      <c r="B55" s="465"/>
      <c r="C55" s="465"/>
      <c r="D55" s="468"/>
      <c r="E55" s="464" t="s">
        <v>558</v>
      </c>
      <c r="F55" s="473">
        <f>B54-F54</f>
        <v>-632209761</v>
      </c>
      <c r="G55" s="473">
        <f>C54-G54</f>
        <v>-5125706505.666667</v>
      </c>
      <c r="H55" s="466">
        <f>D54-H54</f>
        <v>-5757916266.666667</v>
      </c>
      <c r="I55" s="43">
        <f t="shared" si="3"/>
        <v>-5757916266.666667</v>
      </c>
    </row>
    <row r="56" spans="1:9" ht="27.6" x14ac:dyDescent="0.25">
      <c r="A56" s="464" t="s">
        <v>322</v>
      </c>
      <c r="B56" s="473">
        <f>SUM(B57:B58)</f>
        <v>38050046</v>
      </c>
      <c r="C56" s="465">
        <f>SUM(C57:C58)</f>
        <v>4108698593</v>
      </c>
      <c r="D56" s="468">
        <f>SUM(D57:D58)</f>
        <v>4146748639</v>
      </c>
      <c r="E56" s="464" t="s">
        <v>323</v>
      </c>
      <c r="F56" s="473">
        <f>SUM(F57:F58)</f>
        <v>0</v>
      </c>
      <c r="G56" s="465">
        <f>SUM(G57:G58)</f>
        <v>123837273</v>
      </c>
      <c r="H56" s="466">
        <f>SUM(H57:H58)</f>
        <v>123837273</v>
      </c>
      <c r="I56" s="43">
        <f t="shared" si="3"/>
        <v>123837273</v>
      </c>
    </row>
    <row r="57" spans="1:9" ht="27.6" x14ac:dyDescent="0.25">
      <c r="A57" s="459" t="s">
        <v>281</v>
      </c>
      <c r="B57" s="456">
        <f>B20</f>
        <v>27594418</v>
      </c>
      <c r="C57" s="460">
        <f>C20</f>
        <v>221548950</v>
      </c>
      <c r="D57" s="499">
        <f>D20</f>
        <v>249143368</v>
      </c>
      <c r="E57" s="459" t="s">
        <v>324</v>
      </c>
      <c r="F57" s="460">
        <f>F20</f>
        <v>0</v>
      </c>
      <c r="G57" s="460">
        <f>G20</f>
        <v>49594849</v>
      </c>
      <c r="H57" s="520">
        <f>H20</f>
        <v>49594849</v>
      </c>
      <c r="I57" s="43">
        <f t="shared" si="3"/>
        <v>49594849</v>
      </c>
    </row>
    <row r="58" spans="1:9" ht="27.6" x14ac:dyDescent="0.25">
      <c r="A58" s="459" t="s">
        <v>306</v>
      </c>
      <c r="B58" s="456">
        <f>B42</f>
        <v>10455628</v>
      </c>
      <c r="C58" s="460">
        <f>C42</f>
        <v>3887149643</v>
      </c>
      <c r="D58" s="499">
        <f>D42</f>
        <v>3897605271</v>
      </c>
      <c r="E58" s="459" t="s">
        <v>325</v>
      </c>
      <c r="F58" s="460">
        <f>F42</f>
        <v>0</v>
      </c>
      <c r="G58" s="460">
        <f>G42</f>
        <v>74242424</v>
      </c>
      <c r="H58" s="520">
        <f>H42</f>
        <v>74242424</v>
      </c>
      <c r="I58" s="43">
        <f t="shared" si="3"/>
        <v>74242424</v>
      </c>
    </row>
    <row r="59" spans="1:9" x14ac:dyDescent="0.25">
      <c r="A59" s="464" t="s">
        <v>326</v>
      </c>
      <c r="B59" s="473">
        <f>SUM(B60:B61)</f>
        <v>0</v>
      </c>
      <c r="C59" s="465">
        <f>SUM(C60:C61)</f>
        <v>1735004901</v>
      </c>
      <c r="D59" s="468">
        <f>SUM(D60:D61)</f>
        <v>1735004901</v>
      </c>
      <c r="E59" s="459"/>
      <c r="F59" s="521"/>
      <c r="G59" s="521"/>
      <c r="H59" s="522"/>
      <c r="I59" s="43">
        <f t="shared" si="3"/>
        <v>0</v>
      </c>
    </row>
    <row r="60" spans="1:9" ht="27.6" x14ac:dyDescent="0.25">
      <c r="A60" s="459" t="s">
        <v>284</v>
      </c>
      <c r="B60" s="456">
        <f>B22</f>
        <v>0</v>
      </c>
      <c r="C60" s="460">
        <f>C22</f>
        <v>117083868</v>
      </c>
      <c r="D60" s="499">
        <f>D22</f>
        <v>117083868</v>
      </c>
      <c r="E60" s="459"/>
      <c r="F60" s="460"/>
      <c r="G60" s="460"/>
      <c r="H60" s="520"/>
      <c r="I60" s="43">
        <f t="shared" si="3"/>
        <v>0</v>
      </c>
    </row>
    <row r="61" spans="1:9" ht="28.2" thickBot="1" x14ac:dyDescent="0.3">
      <c r="A61" s="476" t="s">
        <v>309</v>
      </c>
      <c r="B61" s="508">
        <f>B44</f>
        <v>0</v>
      </c>
      <c r="C61" s="484">
        <f>C44</f>
        <v>1617921033</v>
      </c>
      <c r="D61" s="523">
        <f>D44</f>
        <v>1617921033</v>
      </c>
      <c r="E61" s="524"/>
      <c r="F61" s="507"/>
      <c r="G61" s="507"/>
      <c r="H61" s="525"/>
      <c r="I61" s="43"/>
    </row>
    <row r="62" spans="1:9" ht="14.4" thickBot="1" x14ac:dyDescent="0.3">
      <c r="A62" s="445" t="s">
        <v>55</v>
      </c>
      <c r="B62" s="489">
        <f>B54+B56+B59</f>
        <v>283480311</v>
      </c>
      <c r="C62" s="487">
        <f>C54+C56+C59</f>
        <v>13469622165.333332</v>
      </c>
      <c r="D62" s="513">
        <f>D54+D56+D59</f>
        <v>13753102476.333332</v>
      </c>
      <c r="E62" s="445" t="s">
        <v>327</v>
      </c>
      <c r="F62" s="487">
        <f>F54+F56</f>
        <v>877640026</v>
      </c>
      <c r="G62" s="487">
        <f>G54+G56</f>
        <v>12875462450</v>
      </c>
      <c r="H62" s="488">
        <f>H54+H56</f>
        <v>13753102476</v>
      </c>
      <c r="I62" s="43"/>
    </row>
    <row r="63" spans="1:9" x14ac:dyDescent="0.25">
      <c r="A63" s="547" t="s">
        <v>559</v>
      </c>
      <c r="B63" s="526">
        <f>B62-F62</f>
        <v>-594159715</v>
      </c>
      <c r="C63" s="526">
        <f>C62-G62</f>
        <v>594159715.33333206</v>
      </c>
      <c r="D63" s="526">
        <f>D62-H62</f>
        <v>0.33333206176757813</v>
      </c>
      <c r="H63" s="526">
        <f>F62+G62</f>
        <v>13753102476</v>
      </c>
      <c r="I63" s="43"/>
    </row>
    <row r="64" spans="1:9" x14ac:dyDescent="0.25">
      <c r="D64" s="526">
        <f>SUM(B62:C62)</f>
        <v>13753102476.333332</v>
      </c>
      <c r="H64" s="526">
        <f>'8. sz. tábla  (3)'!H61-'8a. sz. tábla  (4)'!H62</f>
        <v>-1230924972</v>
      </c>
    </row>
    <row r="66" spans="4:4" x14ac:dyDescent="0.25">
      <c r="D66" s="526">
        <f>'8. sz. tábla  (3)'!C61-'8a. sz. tábla  (4)'!D62</f>
        <v>-1230924972</v>
      </c>
    </row>
  </sheetData>
  <sheetProtection selectLockedCells="1" selectUnlockedCells="1"/>
  <mergeCells count="6">
    <mergeCell ref="A49:H49"/>
    <mergeCell ref="B1:H1"/>
    <mergeCell ref="B2:H2"/>
    <mergeCell ref="A3:H3"/>
    <mergeCell ref="A5:H5"/>
    <mergeCell ref="A28:H28"/>
  </mergeCells>
  <phoneticPr fontId="26" type="noConversion"/>
  <pageMargins left="0.74791666666666667" right="0.74791666666666667" top="0.98402777777777772" bottom="0.98402777777777772" header="0.51180555555555551" footer="0.51180555555555551"/>
  <pageSetup paperSize="9" scale="58" firstPageNumber="0" orientation="landscape" r:id="rId1"/>
  <headerFooter alignWithMargins="0">
    <oddHeader>&amp;C8/a. melléklet a 31/2019. (XII.13.) önkormányzati rendelethez
 az önkormányzat 2019. évi költségvetéséről szóló 6/2019. (II.28.) önkormányzati rendelet 
8/a. mellékletének helyébe a következő 8/a. melléklet lép:  
&amp;R
&amp;P. oldal
ezer forint</oddHeader>
  </headerFooter>
  <rowBreaks count="2" manualBreakCount="2">
    <brk id="27" max="16383" man="1"/>
    <brk id="63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O96"/>
  <sheetViews>
    <sheetView view="pageLayout" zoomScaleNormal="100" zoomScaleSheetLayoutView="89" workbookViewId="0">
      <selection activeCell="D57" sqref="D57"/>
    </sheetView>
  </sheetViews>
  <sheetFormatPr defaultColWidth="9.109375" defaultRowHeight="13.8" x14ac:dyDescent="0.25"/>
  <cols>
    <col min="1" max="1" width="45.6640625" style="781" customWidth="1"/>
    <col min="2" max="2" width="13.109375" style="771" customWidth="1"/>
    <col min="3" max="3" width="14.5546875" style="771" customWidth="1"/>
    <col min="4" max="4" width="16.33203125" style="771" customWidth="1"/>
    <col min="5" max="5" width="14.5546875" style="771" customWidth="1"/>
    <col min="6" max="6" width="45.88671875" style="771" customWidth="1"/>
    <col min="7" max="7" width="12.88671875" style="774" customWidth="1"/>
    <col min="8" max="8" width="14.33203125" style="774" customWidth="1"/>
    <col min="9" max="9" width="15.5546875" style="774" customWidth="1"/>
    <col min="10" max="10" width="15.6640625" style="774" customWidth="1"/>
    <col min="11" max="11" width="14.6640625" style="771" customWidth="1"/>
    <col min="12" max="12" width="14.33203125" style="771" customWidth="1"/>
    <col min="13" max="13" width="12.6640625" style="771" customWidth="1"/>
    <col min="14" max="14" width="9.109375" style="771"/>
    <col min="15" max="15" width="10" style="771" bestFit="1" customWidth="1"/>
    <col min="16" max="16384" width="9.109375" style="771"/>
  </cols>
  <sheetData>
    <row r="1" spans="1:12" ht="14.25" customHeight="1" x14ac:dyDescent="0.25">
      <c r="A1" s="1454" t="s">
        <v>791</v>
      </c>
      <c r="B1" s="1454"/>
      <c r="C1" s="1454"/>
      <c r="D1" s="1454"/>
      <c r="E1" s="1454"/>
      <c r="F1" s="1454"/>
      <c r="G1" s="1454"/>
      <c r="H1" s="1454"/>
      <c r="I1" s="1454"/>
      <c r="J1" s="1454"/>
    </row>
    <row r="2" spans="1:12" s="772" customFormat="1" ht="14.25" customHeight="1" x14ac:dyDescent="0.25">
      <c r="A2" s="1454"/>
      <c r="B2" s="1454"/>
      <c r="C2" s="1454"/>
      <c r="D2" s="1454"/>
      <c r="E2" s="1454"/>
      <c r="F2" s="1454"/>
      <c r="G2" s="1454"/>
      <c r="H2" s="1454"/>
      <c r="I2" s="1454"/>
      <c r="J2" s="1454"/>
    </row>
    <row r="3" spans="1:12" s="772" customFormat="1" ht="14.25" customHeight="1" x14ac:dyDescent="0.25">
      <c r="A3" s="1454"/>
      <c r="B3" s="1454"/>
      <c r="C3" s="1454"/>
      <c r="D3" s="1454"/>
      <c r="E3" s="1454"/>
      <c r="F3" s="1454"/>
      <c r="G3" s="1454"/>
      <c r="H3" s="1454"/>
      <c r="I3" s="1454"/>
      <c r="J3" s="1454"/>
    </row>
    <row r="4" spans="1:12" s="772" customFormat="1" ht="14.25" customHeight="1" x14ac:dyDescent="0.3">
      <c r="A4" s="773"/>
      <c r="B4" s="773"/>
      <c r="C4" s="773"/>
      <c r="D4" s="773"/>
      <c r="E4" s="773"/>
      <c r="F4" s="773"/>
      <c r="G4" s="773"/>
      <c r="H4" s="773"/>
      <c r="I4" s="773"/>
      <c r="J4" s="773"/>
    </row>
    <row r="5" spans="1:12" ht="15.75" customHeight="1" x14ac:dyDescent="0.3">
      <c r="A5" s="1455" t="s">
        <v>792</v>
      </c>
      <c r="B5" s="1455"/>
      <c r="C5" s="1455"/>
      <c r="D5" s="1455"/>
      <c r="E5" s="1455"/>
      <c r="F5" s="1455"/>
      <c r="G5" s="1455"/>
    </row>
    <row r="7" spans="1:12" s="781" customFormat="1" ht="26.4" x14ac:dyDescent="0.25">
      <c r="A7" s="775" t="s">
        <v>267</v>
      </c>
      <c r="B7" s="776" t="s">
        <v>425</v>
      </c>
      <c r="C7" s="777" t="s">
        <v>793</v>
      </c>
      <c r="D7" s="778" t="s">
        <v>423</v>
      </c>
      <c r="E7" s="779" t="s">
        <v>555</v>
      </c>
      <c r="F7" s="780" t="s">
        <v>268</v>
      </c>
      <c r="G7" s="776" t="s">
        <v>425</v>
      </c>
      <c r="H7" s="777" t="s">
        <v>793</v>
      </c>
      <c r="I7" s="778" t="s">
        <v>423</v>
      </c>
      <c r="J7" s="779" t="s">
        <v>555</v>
      </c>
    </row>
    <row r="8" spans="1:12" s="781" customFormat="1" x14ac:dyDescent="0.25">
      <c r="A8" s="782" t="s">
        <v>794</v>
      </c>
      <c r="B8" s="783"/>
      <c r="C8" s="783"/>
      <c r="D8" s="784"/>
      <c r="E8" s="785"/>
      <c r="F8" s="786" t="s">
        <v>422</v>
      </c>
      <c r="G8" s="787"/>
      <c r="H8" s="787"/>
      <c r="I8" s="788"/>
      <c r="J8" s="789"/>
    </row>
    <row r="9" spans="1:12" s="799" customFormat="1" ht="27.6" x14ac:dyDescent="0.25">
      <c r="A9" s="790" t="s">
        <v>795</v>
      </c>
      <c r="B9" s="791">
        <f>'3.sz. tábla  (2)'!D12+'2.a tábla ÚJ '!P12-'9. sz. tábla (2)'!B39</f>
        <v>141154032.79651695</v>
      </c>
      <c r="C9" s="792">
        <f>'3.sz. tábla  (2)'!D13+'2.a tábla ÚJ '!U13-'9. sz. tábla (2)'!C72</f>
        <v>176331181.37470001</v>
      </c>
      <c r="D9" s="793">
        <f>'3.sz. tábla  (2)'!D15-'2c. tábla 2019. (2)'!M130-'2c. tábla 2019. (2)'!M131-'2c. tábla 2019. (2)'!M132+'2.sz.tábla   (2)'!D20-D39</f>
        <v>927963575.5368166</v>
      </c>
      <c r="E9" s="794">
        <f>SUM(B9:D9)</f>
        <v>1245448789.7080336</v>
      </c>
      <c r="F9" s="795" t="s">
        <v>150</v>
      </c>
      <c r="G9" s="791">
        <f>'4.sz.tábla '!D9-'9. sz. tábla (2)'!G39</f>
        <v>157080545</v>
      </c>
      <c r="H9" s="791">
        <f>'5.tábla (2)'!D7-'9. sz. tábla (2)'!H39-'9. sz. tábla (2)'!H72</f>
        <v>254854730</v>
      </c>
      <c r="I9" s="796">
        <f>'4.sz.tábla '!D12-'9. sz. tábla (2)'!I39</f>
        <v>60257251</v>
      </c>
      <c r="J9" s="797">
        <f>SUM(G9:I9)</f>
        <v>472192526</v>
      </c>
      <c r="K9" s="798">
        <f>I9+I39</f>
        <v>174712087</v>
      </c>
      <c r="L9" s="798"/>
    </row>
    <row r="10" spans="1:12" ht="17.25" customHeight="1" x14ac:dyDescent="0.25">
      <c r="A10" s="800" t="s">
        <v>270</v>
      </c>
      <c r="B10" s="801"/>
      <c r="C10" s="450">
        <f>'2.a tábla ÚJ '!U17-'9. sz. tábla (2)'!C73</f>
        <v>0</v>
      </c>
      <c r="D10" s="450">
        <f>'2.sz.tábla   (2)'!D30</f>
        <v>1863700000</v>
      </c>
      <c r="E10" s="794">
        <f>SUM(B10:D10)</f>
        <v>1863700000</v>
      </c>
      <c r="F10" s="802" t="s">
        <v>141</v>
      </c>
      <c r="G10" s="803">
        <f>'4.sz.tábla '!H9-'9. sz. tábla (2)'!G40</f>
        <v>29171583</v>
      </c>
      <c r="H10" s="803">
        <f>'5.tábla (2)'!D12-'9. sz. tábla (2)'!H40-'9. sz. tábla (2)'!H73</f>
        <v>54793932</v>
      </c>
      <c r="I10" s="804">
        <f>'4.sz.tábla '!H12-'9. sz. tábla (2)'!I40</f>
        <v>8771304</v>
      </c>
      <c r="J10" s="805">
        <f t="shared" ref="J10:J18" si="0">SUM(G10:I10)</f>
        <v>92736819</v>
      </c>
      <c r="K10" s="798">
        <f>I10+I40</f>
        <v>32564528</v>
      </c>
      <c r="L10" s="798"/>
    </row>
    <row r="11" spans="1:12" x14ac:dyDescent="0.25">
      <c r="A11" s="806" t="s">
        <v>272</v>
      </c>
      <c r="B11" s="803">
        <f>'2.a tábla ÚJ '!P21-'9. sz. tábla (2)'!B41</f>
        <v>21906751</v>
      </c>
      <c r="C11" s="803">
        <f>'2.a tábla ÚJ '!U21-'9. sz. tábla (2)'!C74</f>
        <v>28220024</v>
      </c>
      <c r="D11" s="804">
        <f>'2.sz.tábla   (2)'!D43-'9. sz. tábla (2)'!D41-'9. sz. tábla (2)'!D56-'9. sz. tábla (2)'!D26</f>
        <v>114670700</v>
      </c>
      <c r="E11" s="794">
        <f>SUM(B11:D11)</f>
        <v>164797475</v>
      </c>
      <c r="F11" s="802" t="s">
        <v>142</v>
      </c>
      <c r="G11" s="803">
        <f>'4.sz.tábla '!L9-'9. sz. tábla (2)'!G41</f>
        <v>70846488</v>
      </c>
      <c r="H11" s="803">
        <f>'5.tábla (2)'!D17-'9. sz. tábla (2)'!H41-'9. sz. tábla (2)'!H74</f>
        <v>64589496</v>
      </c>
      <c r="I11" s="804">
        <f>'4.sz.tábla '!L12-'9. sz. tábla (2)'!I41</f>
        <v>678147993</v>
      </c>
      <c r="J11" s="805">
        <f t="shared" si="0"/>
        <v>813583977</v>
      </c>
      <c r="K11" s="798">
        <f t="shared" ref="K11:K18" si="1">I11+I41</f>
        <v>1234264730</v>
      </c>
      <c r="L11" s="798"/>
    </row>
    <row r="12" spans="1:12" ht="27.6" x14ac:dyDescent="0.25">
      <c r="A12" s="807" t="s">
        <v>276</v>
      </c>
      <c r="B12" s="803">
        <f>'2.a tábla ÚJ '!O40-'9. sz. tábla (2)'!B42</f>
        <v>0</v>
      </c>
      <c r="C12" s="808"/>
      <c r="D12" s="793">
        <f>'2.sz.tábla   (2)'!D66-'9. sz. tábla (2)'!D42</f>
        <v>0</v>
      </c>
      <c r="E12" s="794">
        <f>SUM(B12:D12)</f>
        <v>0</v>
      </c>
      <c r="F12" s="810" t="s">
        <v>169</v>
      </c>
      <c r="G12" s="803"/>
      <c r="H12" s="803">
        <f>'4.sz.tábla '!Q10</f>
        <v>1596000</v>
      </c>
      <c r="I12" s="804">
        <f>'4.sz.tábla '!Q12-'9. sz. tábla (2)'!I42</f>
        <v>28100000</v>
      </c>
      <c r="J12" s="805">
        <f t="shared" si="0"/>
        <v>29696000</v>
      </c>
      <c r="K12" s="798">
        <f t="shared" si="1"/>
        <v>28100000</v>
      </c>
      <c r="L12" s="798"/>
    </row>
    <row r="13" spans="1:12" x14ac:dyDescent="0.25">
      <c r="A13" s="800"/>
      <c r="B13" s="803"/>
      <c r="C13" s="803"/>
      <c r="D13" s="804"/>
      <c r="E13" s="805"/>
      <c r="F13" s="802" t="s">
        <v>148</v>
      </c>
      <c r="G13" s="803"/>
      <c r="H13" s="803"/>
      <c r="I13" s="804"/>
      <c r="J13" s="805">
        <f t="shared" si="0"/>
        <v>0</v>
      </c>
      <c r="K13" s="798">
        <f t="shared" si="1"/>
        <v>0</v>
      </c>
      <c r="L13" s="798"/>
    </row>
    <row r="14" spans="1:12" x14ac:dyDescent="0.25">
      <c r="A14" s="806"/>
      <c r="B14" s="803"/>
      <c r="C14" s="803"/>
      <c r="D14" s="804"/>
      <c r="E14" s="805"/>
      <c r="F14" s="455" t="s">
        <v>351</v>
      </c>
      <c r="G14" s="803"/>
      <c r="H14" s="803"/>
      <c r="I14" s="804">
        <f>'5.tábla (2)'!D140</f>
        <v>5379930</v>
      </c>
      <c r="J14" s="805">
        <f t="shared" si="0"/>
        <v>5379930</v>
      </c>
      <c r="K14" s="798">
        <f t="shared" si="1"/>
        <v>5379930</v>
      </c>
      <c r="L14" s="798"/>
    </row>
    <row r="15" spans="1:12" ht="27.6" x14ac:dyDescent="0.25">
      <c r="A15" s="806"/>
      <c r="B15" s="803"/>
      <c r="C15" s="803"/>
      <c r="D15" s="804"/>
      <c r="E15" s="805"/>
      <c r="F15" s="455" t="s">
        <v>352</v>
      </c>
      <c r="G15" s="803">
        <f>'4.sz.tábla '!U9</f>
        <v>6712</v>
      </c>
      <c r="H15" s="803">
        <f>'5.tábla (2)'!D27-'9. sz. tábla (2)'!H78</f>
        <v>1845892</v>
      </c>
      <c r="I15" s="804">
        <f>'5.tábla (2)'!D144-'9. sz. tábla (2)'!I45</f>
        <v>488318155</v>
      </c>
      <c r="J15" s="805">
        <f t="shared" si="0"/>
        <v>490170759</v>
      </c>
      <c r="K15" s="798">
        <f t="shared" si="1"/>
        <v>510640525</v>
      </c>
      <c r="L15" s="798"/>
    </row>
    <row r="16" spans="1:12" ht="27.6" x14ac:dyDescent="0.25">
      <c r="A16" s="811"/>
      <c r="B16" s="803"/>
      <c r="C16" s="808"/>
      <c r="D16" s="809"/>
      <c r="E16" s="812"/>
      <c r="F16" s="462" t="s">
        <v>353</v>
      </c>
      <c r="G16" s="803"/>
      <c r="H16" s="803"/>
      <c r="I16" s="804">
        <f>'5.tábla (2)'!D149-'9. sz. tábla (2)'!I46</f>
        <v>255980817</v>
      </c>
      <c r="J16" s="805">
        <f t="shared" si="0"/>
        <v>255980817</v>
      </c>
      <c r="K16" s="798">
        <f>I16+I46</f>
        <v>854871056</v>
      </c>
      <c r="L16" s="798"/>
    </row>
    <row r="17" spans="1:12" ht="27.6" x14ac:dyDescent="0.25">
      <c r="A17" s="813"/>
      <c r="B17" s="803"/>
      <c r="C17" s="803"/>
      <c r="D17" s="804"/>
      <c r="E17" s="805"/>
      <c r="F17" s="455" t="s">
        <v>354</v>
      </c>
      <c r="G17" s="803"/>
      <c r="H17" s="803"/>
      <c r="I17" s="804">
        <f>'5.tábla (2)'!D146-I47</f>
        <v>0</v>
      </c>
      <c r="J17" s="805">
        <f t="shared" si="0"/>
        <v>0</v>
      </c>
      <c r="K17" s="798">
        <f t="shared" si="1"/>
        <v>16000000</v>
      </c>
      <c r="L17" s="798"/>
    </row>
    <row r="18" spans="1:12" x14ac:dyDescent="0.25">
      <c r="A18" s="800"/>
      <c r="B18" s="803"/>
      <c r="C18" s="803"/>
      <c r="D18" s="804"/>
      <c r="E18" s="805"/>
      <c r="F18" s="527" t="s">
        <v>344</v>
      </c>
      <c r="G18" s="814"/>
      <c r="H18" s="814"/>
      <c r="I18" s="463">
        <f>'8a. sz. tábla  (4)'!H17</f>
        <v>6802208</v>
      </c>
      <c r="J18" s="815">
        <f t="shared" si="0"/>
        <v>6802208</v>
      </c>
      <c r="K18" s="798">
        <f t="shared" si="1"/>
        <v>6802208</v>
      </c>
      <c r="L18" s="798"/>
    </row>
    <row r="19" spans="1:12" s="821" customFormat="1" ht="27.6" x14ac:dyDescent="0.25">
      <c r="A19" s="816" t="s">
        <v>796</v>
      </c>
      <c r="B19" s="817">
        <f>SUM(B9:B18)</f>
        <v>163060783.79651695</v>
      </c>
      <c r="C19" s="817">
        <f>SUM(C9:C18)</f>
        <v>204551205.37470001</v>
      </c>
      <c r="D19" s="818">
        <f>SUM(D9:D18)</f>
        <v>2906334275.5368166</v>
      </c>
      <c r="E19" s="818">
        <f>SUM(E9:E18)</f>
        <v>3273946264.7080336</v>
      </c>
      <c r="F19" s="819" t="s">
        <v>797</v>
      </c>
      <c r="G19" s="820">
        <f>SUM(G9:G18)</f>
        <v>257105328</v>
      </c>
      <c r="H19" s="820">
        <f>SUM(H9:H18)</f>
        <v>377680050</v>
      </c>
      <c r="I19" s="820">
        <f>SUM(I9:I18)</f>
        <v>1531757658</v>
      </c>
      <c r="J19" s="820">
        <f>SUM(J9:J18)</f>
        <v>2166543036</v>
      </c>
      <c r="K19" s="798">
        <f>I19+I49</f>
        <v>2863335064</v>
      </c>
      <c r="L19" s="798"/>
    </row>
    <row r="20" spans="1:12" x14ac:dyDescent="0.25">
      <c r="A20" s="788" t="s">
        <v>798</v>
      </c>
      <c r="B20" s="803">
        <f>'2.a tábla ÚJ '!P47-'9. sz. tábla (2)'!B50</f>
        <v>13083041</v>
      </c>
      <c r="C20" s="803">
        <f>'2.a tábla ÚJ '!U47-'9. sz. tábla (2)'!C83</f>
        <v>11266633</v>
      </c>
      <c r="D20" s="804">
        <f>'2.sz.tábla   (2)'!D77+'2.sz.tábla   (2)'!D90+104283868-'9. sz. tábla (2)'!D50</f>
        <v>96890113</v>
      </c>
      <c r="E20" s="822">
        <f>SUM(B20:D20)</f>
        <v>121239787</v>
      </c>
      <c r="F20" s="789" t="s">
        <v>799</v>
      </c>
      <c r="G20" s="805"/>
      <c r="H20" s="805"/>
      <c r="I20" s="805">
        <f>'8a. sz. tábla  (4)'!G21</f>
        <v>49594849</v>
      </c>
      <c r="J20" s="805">
        <f>SUM(G20:I20)</f>
        <v>49594849</v>
      </c>
      <c r="K20" s="798">
        <f>I20+I50+I32</f>
        <v>123837273</v>
      </c>
      <c r="L20" s="798"/>
    </row>
    <row r="21" spans="1:12" ht="41.4" x14ac:dyDescent="0.25">
      <c r="A21" s="816" t="s">
        <v>800</v>
      </c>
      <c r="B21" s="817">
        <f>B19+B20</f>
        <v>176143824.79651695</v>
      </c>
      <c r="C21" s="817">
        <f>C19+C20</f>
        <v>215817838.37470001</v>
      </c>
      <c r="D21" s="818">
        <f>D19+D20</f>
        <v>3003224388.5368166</v>
      </c>
      <c r="E21" s="823">
        <f>E19+E20</f>
        <v>3395186051.7080336</v>
      </c>
      <c r="F21" s="819" t="s">
        <v>801</v>
      </c>
      <c r="G21" s="820">
        <f>G19+G20</f>
        <v>257105328</v>
      </c>
      <c r="H21" s="820">
        <f>H19+H20</f>
        <v>377680050</v>
      </c>
      <c r="I21" s="820">
        <f>I19+I20</f>
        <v>1581352507</v>
      </c>
      <c r="J21" s="820">
        <f>J19+J20</f>
        <v>2216137885</v>
      </c>
    </row>
    <row r="22" spans="1:12" x14ac:dyDescent="0.25">
      <c r="A22" s="824" t="s">
        <v>802</v>
      </c>
      <c r="B22" s="825"/>
      <c r="C22" s="825"/>
      <c r="D22" s="825"/>
      <c r="E22" s="826"/>
      <c r="F22" s="827" t="s">
        <v>426</v>
      </c>
      <c r="G22" s="828"/>
      <c r="H22" s="828"/>
      <c r="I22" s="828"/>
      <c r="J22" s="828"/>
    </row>
    <row r="23" spans="1:12" ht="27.6" x14ac:dyDescent="0.25">
      <c r="A23" s="807" t="s">
        <v>291</v>
      </c>
      <c r="B23" s="803">
        <f>'2.sz.tábla   (2)'!L22-'9. sz. tábla (2)'!B53</f>
        <v>12424</v>
      </c>
      <c r="C23" s="803"/>
      <c r="D23" s="804">
        <f>'2.sz.tábla   (2)'!D22-'9. sz. tábla (2)'!D53</f>
        <v>1115458680</v>
      </c>
      <c r="E23" s="822">
        <f>SUM(B23:D23)</f>
        <v>1115471104</v>
      </c>
      <c r="F23" s="829" t="s">
        <v>292</v>
      </c>
      <c r="G23" s="805"/>
      <c r="H23" s="805"/>
      <c r="I23" s="805">
        <f>'7. sz. tábla 1'!D142-'9. sz. tábla (2)'!I53</f>
        <v>3464242155</v>
      </c>
      <c r="J23" s="805">
        <f t="shared" ref="J23:J30" si="2">SUM(G23:I23)</f>
        <v>3464242155</v>
      </c>
      <c r="K23" s="830">
        <f t="shared" ref="K23:K28" si="3">I23+I53</f>
        <v>8755358772</v>
      </c>
      <c r="L23" s="830"/>
    </row>
    <row r="24" spans="1:12" x14ac:dyDescent="0.25">
      <c r="A24" s="831" t="s">
        <v>803</v>
      </c>
      <c r="B24" s="803">
        <f>'[6]2.a tábla ÚJ '!M34-'9. sz. tábla (2)'!B54</f>
        <v>0</v>
      </c>
      <c r="C24" s="803"/>
      <c r="D24" s="804">
        <f>'2.sz.tábla   (2)'!D58-'9. sz. tábla (2)'!D54</f>
        <v>31500000</v>
      </c>
      <c r="E24" s="822">
        <f>SUM(B24:D24)</f>
        <v>31500000</v>
      </c>
      <c r="F24" s="829" t="s">
        <v>294</v>
      </c>
      <c r="G24" s="805">
        <f>'4.sz.tábla '!Y9-'9. sz. tábla (2)'!G54</f>
        <v>7002557</v>
      </c>
      <c r="H24" s="805">
        <f>'5.tábla (2)'!D29-'9. sz. tábla (2)'!H87</f>
        <v>14110349</v>
      </c>
      <c r="I24" s="805"/>
      <c r="J24" s="805">
        <f t="shared" si="2"/>
        <v>21112906</v>
      </c>
      <c r="K24" s="830">
        <f t="shared" si="3"/>
        <v>0</v>
      </c>
      <c r="L24" s="830"/>
    </row>
    <row r="25" spans="1:12" ht="27.6" x14ac:dyDescent="0.25">
      <c r="A25" s="831" t="s">
        <v>804</v>
      </c>
      <c r="B25" s="803">
        <f>'[6]2.a tábla ÚJ '!M42-'9. sz. tábla (2)'!B88</f>
        <v>0</v>
      </c>
      <c r="C25" s="803"/>
      <c r="D25" s="804">
        <f>'2.sz.tábla   (2)'!D70-'9. sz. tábla (2)'!D55</f>
        <v>112677437</v>
      </c>
      <c r="E25" s="822">
        <f>SUM(B25:D25)</f>
        <v>112677437</v>
      </c>
      <c r="F25" s="829" t="s">
        <v>296</v>
      </c>
      <c r="G25" s="805"/>
      <c r="H25" s="805"/>
      <c r="I25" s="805">
        <f>'7. sz. tábla 1'!D223-'9. sz. tábla (2)'!I55</f>
        <v>79434428</v>
      </c>
      <c r="J25" s="805">
        <f t="shared" si="2"/>
        <v>79434428</v>
      </c>
      <c r="K25" s="830">
        <f t="shared" si="3"/>
        <v>90593955</v>
      </c>
      <c r="L25" s="830"/>
    </row>
    <row r="26" spans="1:12" ht="27.6" x14ac:dyDescent="0.25">
      <c r="A26" s="147" t="s">
        <v>1</v>
      </c>
      <c r="B26" s="803"/>
      <c r="C26" s="803"/>
      <c r="D26" s="804">
        <f>'2.sz.tábla   (2)'!D53-'9. sz. tábla (2)'!D56</f>
        <v>68209288</v>
      </c>
      <c r="E26" s="822">
        <f>SUM(B26:D26)</f>
        <v>68209288</v>
      </c>
      <c r="F26" s="829" t="s">
        <v>805</v>
      </c>
      <c r="G26" s="805"/>
      <c r="H26" s="805"/>
      <c r="I26" s="805"/>
      <c r="J26" s="805">
        <f t="shared" si="2"/>
        <v>0</v>
      </c>
      <c r="K26" s="830">
        <f t="shared" si="3"/>
        <v>0</v>
      </c>
      <c r="L26" s="830"/>
    </row>
    <row r="27" spans="1:12" ht="27.6" x14ac:dyDescent="0.25">
      <c r="A27" s="800"/>
      <c r="B27" s="803"/>
      <c r="C27" s="803"/>
      <c r="D27" s="804"/>
      <c r="E27" s="822"/>
      <c r="F27" s="829" t="s">
        <v>806</v>
      </c>
      <c r="G27" s="805"/>
      <c r="H27" s="805"/>
      <c r="I27" s="805">
        <f>'7. sz. tábla 1'!D162-'9. sz. tábla (2)'!I57</f>
        <v>6390667</v>
      </c>
      <c r="J27" s="805">
        <f t="shared" si="2"/>
        <v>6390667</v>
      </c>
      <c r="K27" s="830">
        <f t="shared" si="3"/>
        <v>197028543</v>
      </c>
      <c r="L27" s="830"/>
    </row>
    <row r="28" spans="1:12" ht="27.6" x14ac:dyDescent="0.25">
      <c r="A28" s="800"/>
      <c r="B28" s="803"/>
      <c r="C28" s="803"/>
      <c r="D28" s="804"/>
      <c r="E28" s="822"/>
      <c r="F28" s="832" t="s">
        <v>807</v>
      </c>
      <c r="G28" s="805"/>
      <c r="H28" s="805"/>
      <c r="I28" s="805">
        <f>'7. sz. tábla 1'!D152-'9. sz. tábla (2)'!I58</f>
        <v>8362424</v>
      </c>
      <c r="J28" s="805">
        <f t="shared" si="2"/>
        <v>8362424</v>
      </c>
      <c r="K28" s="830">
        <f t="shared" si="3"/>
        <v>625762424</v>
      </c>
      <c r="L28" s="830"/>
    </row>
    <row r="29" spans="1:12" ht="27.6" x14ac:dyDescent="0.25">
      <c r="A29" s="833"/>
      <c r="B29" s="803"/>
      <c r="C29" s="803"/>
      <c r="D29" s="804"/>
      <c r="E29" s="822"/>
      <c r="F29" s="829" t="s">
        <v>556</v>
      </c>
      <c r="G29" s="805"/>
      <c r="H29" s="805"/>
      <c r="I29" s="805">
        <f>'7. sz. tábla 1'!D145-'9. sz. tábla (2)'!I60</f>
        <v>0</v>
      </c>
      <c r="J29" s="805">
        <f t="shared" si="2"/>
        <v>0</v>
      </c>
      <c r="K29" s="830">
        <f>I29+I60</f>
        <v>176191061</v>
      </c>
      <c r="L29" s="830"/>
    </row>
    <row r="30" spans="1:12" x14ac:dyDescent="0.25">
      <c r="A30" s="833"/>
      <c r="B30" s="803"/>
      <c r="C30" s="803"/>
      <c r="D30" s="804"/>
      <c r="E30" s="822"/>
      <c r="F30" s="834" t="s">
        <v>23</v>
      </c>
      <c r="G30" s="805"/>
      <c r="H30" s="805"/>
      <c r="I30" s="805">
        <f>'8a. sz. tábla  (4)'!G39</f>
        <v>43355358</v>
      </c>
      <c r="J30" s="805">
        <f t="shared" si="2"/>
        <v>43355358</v>
      </c>
      <c r="K30" s="830">
        <f>I30</f>
        <v>43355358</v>
      </c>
      <c r="L30" s="830"/>
    </row>
    <row r="31" spans="1:12" s="821" customFormat="1" ht="27.6" x14ac:dyDescent="0.25">
      <c r="A31" s="816" t="s">
        <v>808</v>
      </c>
      <c r="B31" s="817">
        <f>SUM(B23:B29)</f>
        <v>12424</v>
      </c>
      <c r="C31" s="817">
        <f>SUM(C23:C29)</f>
        <v>0</v>
      </c>
      <c r="D31" s="818">
        <f>SUM(D23:D29)</f>
        <v>1327845405</v>
      </c>
      <c r="E31" s="823">
        <f>SUM(E23:E29)</f>
        <v>1327857829</v>
      </c>
      <c r="F31" s="819" t="s">
        <v>809</v>
      </c>
      <c r="G31" s="820">
        <f>SUM(G23:G29)</f>
        <v>7002557</v>
      </c>
      <c r="H31" s="820">
        <f>SUM(H23:H29)</f>
        <v>14110349</v>
      </c>
      <c r="I31" s="820">
        <f>SUM(I23:I30)</f>
        <v>3601785032</v>
      </c>
      <c r="J31" s="820">
        <f>SUM(J23:J30)</f>
        <v>3622897938</v>
      </c>
      <c r="K31" s="835">
        <f>SUM(K23:K30)</f>
        <v>9888290113</v>
      </c>
      <c r="L31" s="835"/>
    </row>
    <row r="32" spans="1:12" ht="15" customHeight="1" x14ac:dyDescent="0.25">
      <c r="A32" s="788" t="s">
        <v>798</v>
      </c>
      <c r="B32" s="803">
        <f>'2.a tábla ÚJ '!P48-'9. sz. tábla (2)'!B62</f>
        <v>1281557</v>
      </c>
      <c r="C32" s="803">
        <f>'2.a tábla ÚJ '!U48-'9. sz. tábla (2)'!C91</f>
        <v>7122749</v>
      </c>
      <c r="D32" s="1300">
        <f>'2.sz.tábla   (2)'!D78+1617921033-'9. sz. tábla (2)'!D62</f>
        <v>1849791428</v>
      </c>
      <c r="E32" s="1222">
        <f>SUM(B32:D32)</f>
        <v>1858195734</v>
      </c>
      <c r="F32" s="789" t="s">
        <v>799</v>
      </c>
      <c r="G32" s="805"/>
      <c r="H32" s="805"/>
      <c r="I32" s="805">
        <f>'[6]7. sz. tábla 1'!D246-I62</f>
        <v>74242424</v>
      </c>
      <c r="J32" s="805">
        <f>SUM(G32:I32)</f>
        <v>74242424</v>
      </c>
    </row>
    <row r="33" spans="1:15" ht="41.4" x14ac:dyDescent="0.25">
      <c r="A33" s="824" t="s">
        <v>810</v>
      </c>
      <c r="B33" s="817">
        <f>B31+B32</f>
        <v>1293981</v>
      </c>
      <c r="C33" s="817">
        <f>C31+C32</f>
        <v>7122749</v>
      </c>
      <c r="D33" s="818">
        <f>D31+D32</f>
        <v>3177636833</v>
      </c>
      <c r="E33" s="823">
        <f>E31+E32</f>
        <v>3186053563</v>
      </c>
      <c r="F33" s="819" t="s">
        <v>811</v>
      </c>
      <c r="G33" s="820">
        <f>G31+G32</f>
        <v>7002557</v>
      </c>
      <c r="H33" s="820">
        <f>H31+H32</f>
        <v>14110349</v>
      </c>
      <c r="I33" s="820">
        <f>I31+I32</f>
        <v>3676027456</v>
      </c>
      <c r="J33" s="820">
        <f>J31+J32</f>
        <v>3697140362</v>
      </c>
    </row>
    <row r="34" spans="1:15" x14ac:dyDescent="0.25">
      <c r="B34" s="830">
        <f>B33+B21</f>
        <v>177437805.79651695</v>
      </c>
      <c r="C34" s="830">
        <f>C33+C21</f>
        <v>222940587.37470001</v>
      </c>
      <c r="D34" s="830">
        <f>D33+D21</f>
        <v>6180861221.5368166</v>
      </c>
      <c r="E34" s="830">
        <f>E33+E21</f>
        <v>6581239614.7080336</v>
      </c>
      <c r="G34" s="836">
        <f>G33+G21</f>
        <v>264107885</v>
      </c>
      <c r="H34" s="836">
        <f>H33+H21</f>
        <v>391790399</v>
      </c>
      <c r="I34" s="836">
        <f>I33+I21</f>
        <v>5257379963</v>
      </c>
      <c r="J34" s="836">
        <f>J33+J21</f>
        <v>5913278247</v>
      </c>
    </row>
    <row r="35" spans="1:15" ht="15.75" customHeight="1" x14ac:dyDescent="0.3">
      <c r="A35" s="1455" t="s">
        <v>812</v>
      </c>
      <c r="B35" s="1455"/>
      <c r="C35" s="1455"/>
      <c r="D35" s="1455"/>
      <c r="E35" s="1455"/>
      <c r="F35" s="1455"/>
      <c r="G35" s="1455"/>
      <c r="H35" s="836"/>
    </row>
    <row r="37" spans="1:15" s="781" customFormat="1" ht="26.4" x14ac:dyDescent="0.25">
      <c r="A37" s="837" t="s">
        <v>267</v>
      </c>
      <c r="B37" s="776" t="s">
        <v>425</v>
      </c>
      <c r="C37" s="777" t="s">
        <v>793</v>
      </c>
      <c r="D37" s="778" t="s">
        <v>423</v>
      </c>
      <c r="E37" s="779" t="s">
        <v>555</v>
      </c>
      <c r="F37" s="838" t="s">
        <v>268</v>
      </c>
      <c r="G37" s="776" t="s">
        <v>425</v>
      </c>
      <c r="H37" s="777" t="s">
        <v>793</v>
      </c>
      <c r="I37" s="778" t="s">
        <v>423</v>
      </c>
      <c r="J37" s="779" t="s">
        <v>555</v>
      </c>
      <c r="L37" s="839"/>
    </row>
    <row r="38" spans="1:15" x14ac:dyDescent="0.25">
      <c r="A38" s="782" t="s">
        <v>794</v>
      </c>
      <c r="B38" s="783"/>
      <c r="C38" s="783"/>
      <c r="D38" s="784"/>
      <c r="E38" s="785"/>
      <c r="F38" s="786" t="s">
        <v>422</v>
      </c>
      <c r="G38" s="840"/>
      <c r="H38" s="840"/>
      <c r="I38" s="841"/>
      <c r="J38" s="828"/>
      <c r="L38" s="842"/>
      <c r="M38" s="842"/>
      <c r="N38" s="842"/>
    </row>
    <row r="39" spans="1:15" ht="27.6" x14ac:dyDescent="0.25">
      <c r="A39" s="811" t="s">
        <v>795</v>
      </c>
      <c r="B39" s="803">
        <f>55393000+1000000+175665+86386+85659</f>
        <v>56740710</v>
      </c>
      <c r="C39" s="803"/>
      <c r="D39" s="804">
        <v>266010144</v>
      </c>
      <c r="E39" s="805">
        <f>SUM(B39:D39)</f>
        <v>322750854</v>
      </c>
      <c r="F39" s="810" t="s">
        <v>150</v>
      </c>
      <c r="G39" s="803">
        <f>41049667+3066096</f>
        <v>44115763</v>
      </c>
      <c r="H39" s="803">
        <f>1845600+2297872+1100336</f>
        <v>5243808</v>
      </c>
      <c r="I39" s="804">
        <v>114454836</v>
      </c>
      <c r="J39" s="805">
        <f>SUM(G39:I39)</f>
        <v>163814407</v>
      </c>
      <c r="K39" s="842"/>
      <c r="L39" s="842"/>
      <c r="O39" s="842"/>
    </row>
    <row r="40" spans="1:15" x14ac:dyDescent="0.25">
      <c r="A40" s="800" t="s">
        <v>270</v>
      </c>
      <c r="B40" s="803"/>
      <c r="C40" s="803"/>
      <c r="D40" s="804"/>
      <c r="E40" s="805">
        <f>SUM(B40:D40)</f>
        <v>0</v>
      </c>
      <c r="F40" s="802" t="s">
        <v>141</v>
      </c>
      <c r="G40" s="803">
        <f>8194838+611829</f>
        <v>8806667</v>
      </c>
      <c r="H40" s="803">
        <f>359892+402128+182364</f>
        <v>944384</v>
      </c>
      <c r="I40" s="804">
        <v>23793224</v>
      </c>
      <c r="J40" s="805">
        <f t="shared" ref="J40:J47" si="4">SUM(G40:I40)</f>
        <v>33544275</v>
      </c>
      <c r="K40" s="842"/>
      <c r="L40" s="842"/>
      <c r="O40" s="842"/>
    </row>
    <row r="41" spans="1:15" x14ac:dyDescent="0.25">
      <c r="A41" s="806" t="s">
        <v>272</v>
      </c>
      <c r="B41" s="803">
        <f>22769000</f>
        <v>22769000</v>
      </c>
      <c r="C41" s="803"/>
      <c r="D41" s="804">
        <f>593817732-D56</f>
        <v>498308783</v>
      </c>
      <c r="E41" s="805">
        <f>SUM(B41:D41)</f>
        <v>521077783</v>
      </c>
      <c r="F41" s="802" t="s">
        <v>142</v>
      </c>
      <c r="G41" s="803">
        <f>52772955+1075000-600000</f>
        <v>53247955</v>
      </c>
      <c r="H41" s="803"/>
      <c r="I41" s="804">
        <v>556116737</v>
      </c>
      <c r="J41" s="805">
        <f t="shared" si="4"/>
        <v>609364692</v>
      </c>
      <c r="K41" s="842"/>
      <c r="L41" s="842"/>
      <c r="O41" s="842"/>
    </row>
    <row r="42" spans="1:15" ht="27.6" x14ac:dyDescent="0.25">
      <c r="A42" s="807" t="s">
        <v>276</v>
      </c>
      <c r="B42" s="803">
        <v>75000</v>
      </c>
      <c r="C42" s="803"/>
      <c r="D42" s="804">
        <f>26625559+5900000+1300000</f>
        <v>33825559</v>
      </c>
      <c r="E42" s="805">
        <f>SUM(B42:D42)</f>
        <v>33900559</v>
      </c>
      <c r="F42" s="810" t="s">
        <v>169</v>
      </c>
      <c r="G42" s="803"/>
      <c r="H42" s="803"/>
      <c r="I42" s="804"/>
      <c r="J42" s="805">
        <f t="shared" si="4"/>
        <v>0</v>
      </c>
      <c r="K42" s="842"/>
      <c r="L42" s="842"/>
      <c r="O42" s="842"/>
    </row>
    <row r="43" spans="1:15" x14ac:dyDescent="0.25">
      <c r="A43" s="800"/>
      <c r="B43" s="803"/>
      <c r="C43" s="803"/>
      <c r="D43" s="804"/>
      <c r="E43" s="805">
        <f>SUM(B43:D43)</f>
        <v>0</v>
      </c>
      <c r="F43" s="802" t="s">
        <v>148</v>
      </c>
      <c r="G43" s="803"/>
      <c r="H43" s="803"/>
      <c r="I43" s="804"/>
      <c r="J43" s="805">
        <f t="shared" si="4"/>
        <v>0</v>
      </c>
      <c r="L43" s="842"/>
      <c r="O43" s="842"/>
    </row>
    <row r="44" spans="1:15" x14ac:dyDescent="0.25">
      <c r="A44" s="806"/>
      <c r="B44" s="803"/>
      <c r="C44" s="803"/>
      <c r="D44" s="804"/>
      <c r="E44" s="805"/>
      <c r="F44" s="455" t="s">
        <v>351</v>
      </c>
      <c r="G44" s="803"/>
      <c r="H44" s="803"/>
      <c r="I44" s="804"/>
      <c r="J44" s="805">
        <f t="shared" si="4"/>
        <v>0</v>
      </c>
    </row>
    <row r="45" spans="1:15" ht="27.6" x14ac:dyDescent="0.25">
      <c r="A45" s="806"/>
      <c r="B45" s="803"/>
      <c r="C45" s="803"/>
      <c r="D45" s="804"/>
      <c r="E45" s="805"/>
      <c r="F45" s="455" t="s">
        <v>352</v>
      </c>
      <c r="G45" s="803"/>
      <c r="H45" s="803"/>
      <c r="I45" s="804">
        <v>22322370</v>
      </c>
      <c r="J45" s="805">
        <f t="shared" si="4"/>
        <v>22322370</v>
      </c>
      <c r="L45" s="842"/>
      <c r="M45" s="842"/>
      <c r="N45" s="842"/>
    </row>
    <row r="46" spans="1:15" ht="27.6" x14ac:dyDescent="0.25">
      <c r="A46" s="811"/>
      <c r="B46" s="803"/>
      <c r="C46" s="808"/>
      <c r="D46" s="809"/>
      <c r="E46" s="812"/>
      <c r="F46" s="462" t="s">
        <v>353</v>
      </c>
      <c r="G46" s="803"/>
      <c r="H46" s="803"/>
      <c r="I46" s="804">
        <v>598890239</v>
      </c>
      <c r="J46" s="805">
        <f t="shared" si="4"/>
        <v>598890239</v>
      </c>
      <c r="L46" s="842"/>
    </row>
    <row r="47" spans="1:15" ht="27.6" x14ac:dyDescent="0.25">
      <c r="A47" s="813"/>
      <c r="B47" s="803"/>
      <c r="C47" s="803"/>
      <c r="D47" s="804"/>
      <c r="E47" s="805"/>
      <c r="F47" s="455" t="s">
        <v>354</v>
      </c>
      <c r="G47" s="803"/>
      <c r="H47" s="803"/>
      <c r="I47" s="804">
        <v>16000000</v>
      </c>
      <c r="J47" s="805">
        <f t="shared" si="4"/>
        <v>16000000</v>
      </c>
      <c r="L47" s="842"/>
    </row>
    <row r="48" spans="1:15" x14ac:dyDescent="0.25">
      <c r="A48" s="800"/>
      <c r="B48" s="803"/>
      <c r="C48" s="803"/>
      <c r="D48" s="804"/>
      <c r="E48" s="805"/>
      <c r="F48" s="254" t="s">
        <v>344</v>
      </c>
      <c r="G48" s="803"/>
      <c r="H48" s="803"/>
      <c r="I48" s="804"/>
      <c r="J48" s="828"/>
      <c r="M48" s="842"/>
      <c r="N48" s="842"/>
    </row>
    <row r="49" spans="1:13" ht="27.6" x14ac:dyDescent="0.25">
      <c r="A49" s="816" t="s">
        <v>813</v>
      </c>
      <c r="B49" s="817">
        <f>SUM(B39:B48)</f>
        <v>79584710</v>
      </c>
      <c r="C49" s="817">
        <f>SUM(C39:C48)</f>
        <v>0</v>
      </c>
      <c r="D49" s="818">
        <f>SUM(D39:D48)</f>
        <v>798144486</v>
      </c>
      <c r="E49" s="820">
        <f>SUM(E39:E48)</f>
        <v>877729196</v>
      </c>
      <c r="F49" s="786" t="s">
        <v>814</v>
      </c>
      <c r="G49" s="817">
        <f>SUM(G39:G48)</f>
        <v>106170385</v>
      </c>
      <c r="H49" s="817">
        <f>SUM(H39:H48)</f>
        <v>6188192</v>
      </c>
      <c r="I49" s="818">
        <f>SUM(I39:I48)</f>
        <v>1331577406</v>
      </c>
      <c r="J49" s="820">
        <f>SUM(J39:J48)</f>
        <v>1443935983</v>
      </c>
      <c r="M49" s="830"/>
    </row>
    <row r="50" spans="1:13" x14ac:dyDescent="0.25">
      <c r="A50" s="788" t="s">
        <v>798</v>
      </c>
      <c r="B50" s="803"/>
      <c r="C50" s="803"/>
      <c r="D50" s="804">
        <f>197101571+44641134</f>
        <v>241742705</v>
      </c>
      <c r="E50" s="805">
        <f>SUM(B50:D50)</f>
        <v>241742705</v>
      </c>
      <c r="F50" s="843" t="s">
        <v>799</v>
      </c>
      <c r="G50" s="803"/>
      <c r="H50" s="803"/>
      <c r="I50" s="804">
        <f>'[6]8a. sz. tábla  (4)'!G43</f>
        <v>0</v>
      </c>
      <c r="J50" s="805">
        <f>SUM(G50:I50)</f>
        <v>0</v>
      </c>
    </row>
    <row r="51" spans="1:13" ht="41.4" x14ac:dyDescent="0.25">
      <c r="A51" s="816" t="s">
        <v>815</v>
      </c>
      <c r="B51" s="817">
        <f>B49+B50</f>
        <v>79584710</v>
      </c>
      <c r="C51" s="817">
        <f>C49+C50</f>
        <v>0</v>
      </c>
      <c r="D51" s="818">
        <f>D49+D50</f>
        <v>1039887191</v>
      </c>
      <c r="E51" s="820">
        <f>E49+E50</f>
        <v>1119471901</v>
      </c>
      <c r="F51" s="786" t="s">
        <v>816</v>
      </c>
      <c r="G51" s="817">
        <f>G49+G50</f>
        <v>106170385</v>
      </c>
      <c r="H51" s="817">
        <f>H49+H50</f>
        <v>6188192</v>
      </c>
      <c r="I51" s="818">
        <f>I49+I50</f>
        <v>1331577406</v>
      </c>
      <c r="J51" s="820">
        <f>J49+J50</f>
        <v>1443935983</v>
      </c>
    </row>
    <row r="52" spans="1:13" x14ac:dyDescent="0.25">
      <c r="A52" s="816" t="s">
        <v>802</v>
      </c>
      <c r="B52" s="825"/>
      <c r="C52" s="825"/>
      <c r="D52" s="825"/>
      <c r="E52" s="827"/>
      <c r="F52" s="844" t="s">
        <v>426</v>
      </c>
      <c r="G52" s="845"/>
      <c r="H52" s="845"/>
      <c r="I52" s="845"/>
      <c r="J52" s="828"/>
    </row>
    <row r="53" spans="1:13" ht="27.6" x14ac:dyDescent="0.25">
      <c r="A53" s="807" t="s">
        <v>291</v>
      </c>
      <c r="B53" s="803">
        <v>300000</v>
      </c>
      <c r="C53" s="803"/>
      <c r="D53" s="804">
        <v>1671323085</v>
      </c>
      <c r="E53" s="805">
        <f>SUM(B53:D53)</f>
        <v>1671623085</v>
      </c>
      <c r="F53" s="810" t="s">
        <v>292</v>
      </c>
      <c r="G53" s="803"/>
      <c r="H53" s="803"/>
      <c r="I53" s="804">
        <v>5291116617</v>
      </c>
      <c r="J53" s="805">
        <f>SUM(G53:I53)</f>
        <v>5291116617</v>
      </c>
    </row>
    <row r="54" spans="1:13" x14ac:dyDescent="0.25">
      <c r="A54" s="831" t="s">
        <v>803</v>
      </c>
      <c r="B54" s="803"/>
      <c r="C54" s="803"/>
      <c r="D54" s="804">
        <v>69288400</v>
      </c>
      <c r="E54" s="805">
        <f>SUM(B54:D54)</f>
        <v>69288400</v>
      </c>
      <c r="F54" s="802" t="s">
        <v>294</v>
      </c>
      <c r="G54" s="803">
        <f>200000+200000+710000</f>
        <v>1110000</v>
      </c>
      <c r="H54" s="803"/>
      <c r="I54" s="804"/>
      <c r="J54" s="805">
        <f t="shared" ref="J54:J62" si="5">SUM(G54:I54)</f>
        <v>1110000</v>
      </c>
    </row>
    <row r="55" spans="1:13" ht="27.6" x14ac:dyDescent="0.25">
      <c r="A55" s="831" t="s">
        <v>804</v>
      </c>
      <c r="B55" s="803"/>
      <c r="C55" s="846"/>
      <c r="D55" s="847">
        <f>353634994+150000000</f>
        <v>503634994</v>
      </c>
      <c r="E55" s="805">
        <f>SUM(B55:D55)</f>
        <v>503634994</v>
      </c>
      <c r="F55" s="802" t="s">
        <v>296</v>
      </c>
      <c r="G55" s="803"/>
      <c r="H55" s="803"/>
      <c r="I55" s="804">
        <v>11159527</v>
      </c>
      <c r="J55" s="805">
        <f t="shared" si="5"/>
        <v>11159527</v>
      </c>
    </row>
    <row r="56" spans="1:13" ht="27.6" x14ac:dyDescent="0.25">
      <c r="A56" s="147" t="s">
        <v>1</v>
      </c>
      <c r="B56" s="803"/>
      <c r="C56" s="803"/>
      <c r="D56" s="804">
        <v>95508949</v>
      </c>
      <c r="E56" s="805">
        <f>SUM(B56:D56)</f>
        <v>95508949</v>
      </c>
      <c r="F56" s="802" t="s">
        <v>805</v>
      </c>
      <c r="G56" s="803"/>
      <c r="H56" s="803"/>
      <c r="I56" s="804"/>
      <c r="J56" s="805">
        <f t="shared" si="5"/>
        <v>0</v>
      </c>
    </row>
    <row r="57" spans="1:13" ht="27.6" x14ac:dyDescent="0.25">
      <c r="A57" s="848"/>
      <c r="B57" s="803"/>
      <c r="C57" s="803"/>
      <c r="D57" s="804"/>
      <c r="E57" s="805"/>
      <c r="F57" s="802" t="s">
        <v>806</v>
      </c>
      <c r="G57" s="803"/>
      <c r="H57" s="803"/>
      <c r="I57" s="804">
        <v>190637876</v>
      </c>
      <c r="J57" s="805">
        <f t="shared" si="5"/>
        <v>190637876</v>
      </c>
    </row>
    <row r="58" spans="1:13" ht="27.6" x14ac:dyDescent="0.25">
      <c r="A58" s="848"/>
      <c r="B58" s="803"/>
      <c r="C58" s="803"/>
      <c r="D58" s="804"/>
      <c r="E58" s="805"/>
      <c r="F58" s="849" t="s">
        <v>807</v>
      </c>
      <c r="G58" s="803"/>
      <c r="H58" s="803"/>
      <c r="I58" s="804">
        <v>617400000</v>
      </c>
      <c r="J58" s="805">
        <f t="shared" si="5"/>
        <v>617400000</v>
      </c>
    </row>
    <row r="59" spans="1:13" ht="27.6" x14ac:dyDescent="0.25">
      <c r="A59" s="850"/>
      <c r="B59" s="803"/>
      <c r="C59" s="803"/>
      <c r="D59" s="804"/>
      <c r="E59" s="805"/>
      <c r="F59" s="455" t="s">
        <v>372</v>
      </c>
      <c r="G59" s="803"/>
      <c r="H59" s="803"/>
      <c r="I59" s="804">
        <v>0</v>
      </c>
      <c r="J59" s="805">
        <f t="shared" si="5"/>
        <v>0</v>
      </c>
    </row>
    <row r="60" spans="1:13" ht="27.6" x14ac:dyDescent="0.25">
      <c r="A60" s="850"/>
      <c r="B60" s="803"/>
      <c r="C60" s="803"/>
      <c r="D60" s="804"/>
      <c r="E60" s="805"/>
      <c r="F60" s="455" t="s">
        <v>556</v>
      </c>
      <c r="G60" s="803"/>
      <c r="H60" s="803"/>
      <c r="I60" s="804">
        <v>176191061</v>
      </c>
      <c r="J60" s="805">
        <f t="shared" si="5"/>
        <v>176191061</v>
      </c>
    </row>
    <row r="61" spans="1:13" ht="27.6" x14ac:dyDescent="0.25">
      <c r="A61" s="851" t="s">
        <v>817</v>
      </c>
      <c r="B61" s="817">
        <f>SUM(B53:B59)</f>
        <v>300000</v>
      </c>
      <c r="C61" s="817">
        <f>SUM(C53:C59)</f>
        <v>0</v>
      </c>
      <c r="D61" s="818">
        <f>SUM(D53:D59)</f>
        <v>2339755428</v>
      </c>
      <c r="E61" s="820">
        <f>SUM(E53:E59)</f>
        <v>2340055428</v>
      </c>
      <c r="F61" s="786" t="s">
        <v>818</v>
      </c>
      <c r="G61" s="817">
        <f>SUM(G53:G59)</f>
        <v>1110000</v>
      </c>
      <c r="H61" s="817">
        <f>SUM(H53:H59)</f>
        <v>0</v>
      </c>
      <c r="I61" s="818">
        <f>SUM(I53:I60)</f>
        <v>6286505081</v>
      </c>
      <c r="J61" s="820">
        <f>SUM(J53:J60)</f>
        <v>6287615081</v>
      </c>
    </row>
    <row r="62" spans="1:13" x14ac:dyDescent="0.25">
      <c r="A62" s="787" t="s">
        <v>798</v>
      </c>
      <c r="B62" s="803"/>
      <c r="C62" s="803"/>
      <c r="D62" s="804">
        <f>3265526760+389752488</f>
        <v>3655279248</v>
      </c>
      <c r="E62" s="805">
        <f>SUM(B62:D62)</f>
        <v>3655279248</v>
      </c>
      <c r="F62" s="843" t="s">
        <v>799</v>
      </c>
      <c r="G62" s="803"/>
      <c r="H62" s="803"/>
      <c r="I62" s="804">
        <v>0</v>
      </c>
      <c r="J62" s="805">
        <f t="shared" si="5"/>
        <v>0</v>
      </c>
    </row>
    <row r="63" spans="1:13" x14ac:dyDescent="0.25">
      <c r="A63" s="787"/>
      <c r="B63" s="803"/>
      <c r="C63" s="803"/>
      <c r="D63" s="804"/>
      <c r="E63" s="805"/>
      <c r="F63" s="802"/>
      <c r="G63" s="803"/>
      <c r="H63" s="803"/>
      <c r="I63" s="804"/>
      <c r="J63" s="828"/>
    </row>
    <row r="64" spans="1:13" ht="41.4" x14ac:dyDescent="0.25">
      <c r="A64" s="852" t="s">
        <v>819</v>
      </c>
      <c r="B64" s="817">
        <f>B61+B62</f>
        <v>300000</v>
      </c>
      <c r="C64" s="817">
        <f>C61+C62</f>
        <v>0</v>
      </c>
      <c r="D64" s="818">
        <f>D61+D62</f>
        <v>5995034676</v>
      </c>
      <c r="E64" s="820">
        <f>E61+E62</f>
        <v>5995334676</v>
      </c>
      <c r="F64" s="853" t="s">
        <v>820</v>
      </c>
      <c r="G64" s="817">
        <f>G61+G62</f>
        <v>1110000</v>
      </c>
      <c r="H64" s="817">
        <f>H61+H62</f>
        <v>0</v>
      </c>
      <c r="I64" s="818">
        <f>I61+I62</f>
        <v>6286505081</v>
      </c>
      <c r="J64" s="820">
        <f>J61+J62</f>
        <v>6287615081</v>
      </c>
    </row>
    <row r="65" spans="1:10" x14ac:dyDescent="0.25">
      <c r="A65" s="854"/>
      <c r="B65" s="855">
        <f>B64+B51</f>
        <v>79884710</v>
      </c>
      <c r="C65" s="855">
        <f>C64+C51</f>
        <v>0</v>
      </c>
      <c r="D65" s="855">
        <f>D64+D51</f>
        <v>7034921867</v>
      </c>
      <c r="E65" s="855">
        <f>E64+E51</f>
        <v>7114806577</v>
      </c>
      <c r="F65" s="856"/>
      <c r="G65" s="836">
        <f>G64+G51</f>
        <v>107280385</v>
      </c>
      <c r="H65" s="836">
        <f>H64+H51</f>
        <v>6188192</v>
      </c>
      <c r="I65" s="836">
        <f>I64+I51</f>
        <v>7618082487</v>
      </c>
      <c r="J65" s="836">
        <f>J64+J51</f>
        <v>7731551064</v>
      </c>
    </row>
    <row r="66" spans="1:10" x14ac:dyDescent="0.25">
      <c r="A66" s="854"/>
      <c r="B66" s="855"/>
      <c r="C66" s="855"/>
      <c r="D66" s="855"/>
      <c r="E66" s="855"/>
      <c r="F66" s="856"/>
      <c r="G66" s="836"/>
      <c r="H66" s="836"/>
      <c r="I66" s="836"/>
      <c r="J66" s="836"/>
    </row>
    <row r="67" spans="1:10" x14ac:dyDescent="0.25">
      <c r="A67" s="854"/>
      <c r="B67" s="855"/>
      <c r="C67" s="855"/>
      <c r="D67" s="855"/>
      <c r="E67" s="855"/>
      <c r="F67" s="856"/>
      <c r="G67" s="836"/>
      <c r="H67" s="836"/>
      <c r="I67" s="836"/>
      <c r="J67" s="836"/>
    </row>
    <row r="68" spans="1:10" ht="15.75" customHeight="1" x14ac:dyDescent="0.3">
      <c r="A68" s="1455" t="s">
        <v>821</v>
      </c>
      <c r="B68" s="1455"/>
      <c r="C68" s="1455"/>
      <c r="D68" s="1455"/>
      <c r="E68" s="1455"/>
      <c r="F68" s="1455"/>
      <c r="G68" s="1455"/>
    </row>
    <row r="70" spans="1:10" s="781" customFormat="1" ht="26.4" x14ac:dyDescent="0.25">
      <c r="A70" s="837" t="s">
        <v>267</v>
      </c>
      <c r="B70" s="776" t="s">
        <v>425</v>
      </c>
      <c r="C70" s="777" t="s">
        <v>793</v>
      </c>
      <c r="D70" s="778" t="s">
        <v>423</v>
      </c>
      <c r="E70" s="779" t="s">
        <v>555</v>
      </c>
      <c r="F70" s="838" t="s">
        <v>268</v>
      </c>
      <c r="G70" s="776" t="s">
        <v>425</v>
      </c>
      <c r="H70" s="777" t="s">
        <v>793</v>
      </c>
      <c r="I70" s="778" t="s">
        <v>423</v>
      </c>
      <c r="J70" s="779" t="s">
        <v>555</v>
      </c>
    </row>
    <row r="71" spans="1:10" x14ac:dyDescent="0.25">
      <c r="A71" s="857" t="s">
        <v>794</v>
      </c>
      <c r="B71" s="783"/>
      <c r="C71" s="783"/>
      <c r="D71" s="784"/>
      <c r="E71" s="785"/>
      <c r="F71" s="858" t="s">
        <v>422</v>
      </c>
      <c r="G71" s="840"/>
      <c r="H71" s="840"/>
      <c r="I71" s="841"/>
      <c r="J71" s="828"/>
    </row>
    <row r="72" spans="1:10" ht="27.6" x14ac:dyDescent="0.25">
      <c r="A72" s="859" t="s">
        <v>795</v>
      </c>
      <c r="B72" s="803"/>
      <c r="C72" s="803">
        <f>(158635578+117825+44668+5093000)*0.2236+20808822*0.2039+26342601*0.2039</f>
        <v>46260218.625299998</v>
      </c>
      <c r="D72" s="804"/>
      <c r="E72" s="805">
        <f>SUM(B72:D72)</f>
        <v>46260218.625299998</v>
      </c>
      <c r="F72" s="810" t="s">
        <v>150</v>
      </c>
      <c r="G72" s="803"/>
      <c r="H72" s="803">
        <v>69876814</v>
      </c>
      <c r="I72" s="804"/>
      <c r="J72" s="805">
        <f t="shared" ref="J72:J78" si="6">SUM(G72:I72)</f>
        <v>69876814</v>
      </c>
    </row>
    <row r="73" spans="1:10" x14ac:dyDescent="0.25">
      <c r="A73" s="848" t="s">
        <v>270</v>
      </c>
      <c r="B73" s="803"/>
      <c r="C73" s="803">
        <v>500000</v>
      </c>
      <c r="D73" s="804"/>
      <c r="E73" s="805">
        <f>SUM(B73:D73)</f>
        <v>500000</v>
      </c>
      <c r="F73" s="860" t="s">
        <v>141</v>
      </c>
      <c r="G73" s="803"/>
      <c r="H73" s="803">
        <v>15051954</v>
      </c>
      <c r="I73" s="804"/>
      <c r="J73" s="805">
        <f t="shared" si="6"/>
        <v>15051954</v>
      </c>
    </row>
    <row r="74" spans="1:10" x14ac:dyDescent="0.25">
      <c r="A74" s="806" t="s">
        <v>272</v>
      </c>
      <c r="B74" s="803">
        <v>0</v>
      </c>
      <c r="C74" s="803">
        <v>5000000</v>
      </c>
      <c r="D74" s="804"/>
      <c r="E74" s="805">
        <f>SUM(B74:D74)</f>
        <v>5000000</v>
      </c>
      <c r="F74" s="860" t="s">
        <v>275</v>
      </c>
      <c r="G74" s="803"/>
      <c r="H74" s="803">
        <v>18807899</v>
      </c>
      <c r="I74" s="804"/>
      <c r="J74" s="805">
        <f t="shared" si="6"/>
        <v>18807899</v>
      </c>
    </row>
    <row r="75" spans="1:10" ht="27.6" x14ac:dyDescent="0.25">
      <c r="A75" s="807" t="s">
        <v>276</v>
      </c>
      <c r="B75" s="803"/>
      <c r="C75" s="803"/>
      <c r="D75" s="804"/>
      <c r="E75" s="805"/>
      <c r="F75" s="861" t="s">
        <v>169</v>
      </c>
      <c r="G75" s="803"/>
      <c r="H75" s="803"/>
      <c r="I75" s="804"/>
      <c r="J75" s="805">
        <f t="shared" si="6"/>
        <v>0</v>
      </c>
    </row>
    <row r="76" spans="1:10" x14ac:dyDescent="0.25">
      <c r="A76" s="848"/>
      <c r="B76" s="803"/>
      <c r="C76" s="803"/>
      <c r="D76" s="804"/>
      <c r="E76" s="805"/>
      <c r="F76" s="860" t="s">
        <v>148</v>
      </c>
      <c r="G76" s="803"/>
      <c r="H76" s="803"/>
      <c r="I76" s="804"/>
      <c r="J76" s="805">
        <f t="shared" si="6"/>
        <v>0</v>
      </c>
    </row>
    <row r="77" spans="1:10" x14ac:dyDescent="0.25">
      <c r="A77" s="862"/>
      <c r="B77" s="803"/>
      <c r="C77" s="803"/>
      <c r="D77" s="804"/>
      <c r="E77" s="805"/>
      <c r="F77" s="455" t="s">
        <v>351</v>
      </c>
      <c r="G77" s="803"/>
      <c r="H77" s="803"/>
      <c r="I77" s="804"/>
      <c r="J77" s="805">
        <f t="shared" si="6"/>
        <v>0</v>
      </c>
    </row>
    <row r="78" spans="1:10" ht="27.6" x14ac:dyDescent="0.25">
      <c r="A78" s="862"/>
      <c r="B78" s="803"/>
      <c r="C78" s="803"/>
      <c r="D78" s="804"/>
      <c r="E78" s="805"/>
      <c r="F78" s="455" t="s">
        <v>352</v>
      </c>
      <c r="G78" s="803"/>
      <c r="H78" s="803">
        <v>472776</v>
      </c>
      <c r="I78" s="804"/>
      <c r="J78" s="805">
        <f t="shared" si="6"/>
        <v>472776</v>
      </c>
    </row>
    <row r="79" spans="1:10" ht="27.6" x14ac:dyDescent="0.25">
      <c r="A79" s="859"/>
      <c r="B79" s="803"/>
      <c r="C79" s="808"/>
      <c r="D79" s="809"/>
      <c r="E79" s="812"/>
      <c r="F79" s="462" t="s">
        <v>353</v>
      </c>
      <c r="G79" s="803"/>
      <c r="H79" s="803"/>
      <c r="I79" s="804"/>
      <c r="J79" s="828"/>
    </row>
    <row r="80" spans="1:10" ht="27.6" x14ac:dyDescent="0.25">
      <c r="A80" s="807"/>
      <c r="B80" s="803"/>
      <c r="C80" s="803"/>
      <c r="D80" s="804"/>
      <c r="E80" s="805"/>
      <c r="F80" s="455" t="s">
        <v>354</v>
      </c>
      <c r="G80" s="803"/>
      <c r="H80" s="803"/>
      <c r="I80" s="804"/>
      <c r="J80" s="828"/>
    </row>
    <row r="81" spans="1:11" x14ac:dyDescent="0.25">
      <c r="A81" s="863"/>
      <c r="B81" s="803"/>
      <c r="C81" s="803"/>
      <c r="D81" s="804"/>
      <c r="E81" s="805"/>
      <c r="F81" s="254" t="s">
        <v>344</v>
      </c>
      <c r="G81" s="803"/>
      <c r="H81" s="803"/>
      <c r="I81" s="804"/>
      <c r="J81" s="828"/>
    </row>
    <row r="82" spans="1:11" ht="41.4" x14ac:dyDescent="0.25">
      <c r="A82" s="851" t="s">
        <v>822</v>
      </c>
      <c r="B82" s="817">
        <f>SUM(B72:B81)</f>
        <v>0</v>
      </c>
      <c r="C82" s="817">
        <f>SUM(C72:C81)</f>
        <v>51760218.625299998</v>
      </c>
      <c r="D82" s="818">
        <f>SUM(D72:D81)</f>
        <v>0</v>
      </c>
      <c r="E82" s="820">
        <f>SUM(E72:E81)</f>
        <v>51760218.625299998</v>
      </c>
      <c r="F82" s="858" t="s">
        <v>823</v>
      </c>
      <c r="G82" s="817">
        <f>SUM(G72:G81)</f>
        <v>0</v>
      </c>
      <c r="H82" s="817">
        <f>SUM(H72:H81)</f>
        <v>104209443</v>
      </c>
      <c r="I82" s="818">
        <f>SUM(I72:I81)</f>
        <v>0</v>
      </c>
      <c r="J82" s="820">
        <f>SUM(J72:J81)</f>
        <v>104209443</v>
      </c>
    </row>
    <row r="83" spans="1:11" x14ac:dyDescent="0.25">
      <c r="A83" s="787" t="s">
        <v>798</v>
      </c>
      <c r="B83" s="803"/>
      <c r="C83" s="803">
        <v>3244744</v>
      </c>
      <c r="D83" s="804"/>
      <c r="E83" s="805">
        <f>SUM(B83:D83)</f>
        <v>3244744</v>
      </c>
      <c r="F83" s="864" t="s">
        <v>799</v>
      </c>
      <c r="G83" s="803"/>
      <c r="H83" s="803"/>
      <c r="I83" s="804"/>
      <c r="J83" s="828"/>
    </row>
    <row r="84" spans="1:11" ht="41.4" x14ac:dyDescent="0.25">
      <c r="A84" s="851" t="s">
        <v>824</v>
      </c>
      <c r="B84" s="817">
        <f>B82+B83</f>
        <v>0</v>
      </c>
      <c r="C84" s="817">
        <f>C82+C83</f>
        <v>55004962.625299998</v>
      </c>
      <c r="D84" s="818">
        <f>D82+D83</f>
        <v>0</v>
      </c>
      <c r="E84" s="820">
        <f>E82+E83</f>
        <v>55004962.625299998</v>
      </c>
      <c r="F84" s="858" t="s">
        <v>825</v>
      </c>
      <c r="G84" s="817">
        <f>G82+G83</f>
        <v>0</v>
      </c>
      <c r="H84" s="817">
        <f>H82+H83</f>
        <v>104209443</v>
      </c>
      <c r="I84" s="818">
        <f>I82+I83</f>
        <v>0</v>
      </c>
      <c r="J84" s="820">
        <f>J82+J83</f>
        <v>104209443</v>
      </c>
    </row>
    <row r="85" spans="1:11" x14ac:dyDescent="0.25">
      <c r="A85" s="816" t="s">
        <v>802</v>
      </c>
      <c r="B85" s="825"/>
      <c r="C85" s="825"/>
      <c r="D85" s="825"/>
      <c r="E85" s="827"/>
      <c r="F85" s="844" t="s">
        <v>426</v>
      </c>
      <c r="G85" s="845"/>
      <c r="H85" s="845"/>
      <c r="I85" s="845"/>
      <c r="J85" s="828"/>
    </row>
    <row r="86" spans="1:11" ht="27.6" x14ac:dyDescent="0.25">
      <c r="A86" s="807" t="s">
        <v>291</v>
      </c>
      <c r="B86" s="817"/>
      <c r="C86" s="817"/>
      <c r="D86" s="818"/>
      <c r="E86" s="820"/>
      <c r="F86" s="810" t="s">
        <v>292</v>
      </c>
      <c r="G86" s="803"/>
      <c r="H86" s="803"/>
      <c r="I86" s="804"/>
      <c r="J86" s="805">
        <f t="shared" ref="J86:J91" si="7">SUM(G86:I86)</f>
        <v>0</v>
      </c>
    </row>
    <row r="87" spans="1:11" x14ac:dyDescent="0.25">
      <c r="A87" s="831" t="s">
        <v>803</v>
      </c>
      <c r="B87" s="803"/>
      <c r="C87" s="803"/>
      <c r="D87" s="804"/>
      <c r="E87" s="805"/>
      <c r="F87" s="802" t="s">
        <v>294</v>
      </c>
      <c r="G87" s="803"/>
      <c r="H87" s="803">
        <v>4063722</v>
      </c>
      <c r="I87" s="804"/>
      <c r="J87" s="805">
        <f t="shared" si="7"/>
        <v>4063722</v>
      </c>
    </row>
    <row r="88" spans="1:11" ht="27.6" x14ac:dyDescent="0.25">
      <c r="A88" s="831" t="s">
        <v>804</v>
      </c>
      <c r="B88" s="865"/>
      <c r="C88" s="865"/>
      <c r="D88" s="866"/>
      <c r="E88" s="867"/>
      <c r="F88" s="802" t="s">
        <v>296</v>
      </c>
      <c r="G88" s="803"/>
      <c r="H88" s="803"/>
      <c r="I88" s="804"/>
      <c r="J88" s="805">
        <f t="shared" si="7"/>
        <v>0</v>
      </c>
    </row>
    <row r="89" spans="1:11" x14ac:dyDescent="0.25">
      <c r="A89" s="800"/>
      <c r="B89" s="803"/>
      <c r="C89" s="803"/>
      <c r="D89" s="804"/>
      <c r="E89" s="805"/>
      <c r="F89" s="802" t="s">
        <v>805</v>
      </c>
      <c r="G89" s="803"/>
      <c r="H89" s="803"/>
      <c r="I89" s="804"/>
      <c r="J89" s="805">
        <f t="shared" si="7"/>
        <v>0</v>
      </c>
    </row>
    <row r="90" spans="1:11" ht="27.6" x14ac:dyDescent="0.25">
      <c r="A90" s="851" t="s">
        <v>817</v>
      </c>
      <c r="B90" s="817">
        <f>SUM(B86:B88)</f>
        <v>0</v>
      </c>
      <c r="C90" s="817">
        <f>SUM(C86:C88)</f>
        <v>0</v>
      </c>
      <c r="D90" s="818">
        <f>SUM(D86:D88)</f>
        <v>0</v>
      </c>
      <c r="E90" s="820">
        <f>SUM(E86:E88)</f>
        <v>0</v>
      </c>
      <c r="F90" s="802" t="s">
        <v>806</v>
      </c>
      <c r="G90" s="803"/>
      <c r="H90" s="803"/>
      <c r="I90" s="804"/>
      <c r="J90" s="805">
        <f t="shared" si="7"/>
        <v>0</v>
      </c>
    </row>
    <row r="91" spans="1:11" ht="27.6" x14ac:dyDescent="0.25">
      <c r="A91" s="787" t="s">
        <v>798</v>
      </c>
      <c r="B91" s="803"/>
      <c r="C91" s="803">
        <v>2051322</v>
      </c>
      <c r="D91" s="804"/>
      <c r="E91" s="805">
        <f>SUM(B91:D91)</f>
        <v>2051322</v>
      </c>
      <c r="F91" s="849" t="s">
        <v>807</v>
      </c>
      <c r="G91" s="803"/>
      <c r="H91" s="803"/>
      <c r="I91" s="804"/>
      <c r="J91" s="805">
        <f t="shared" si="7"/>
        <v>0</v>
      </c>
    </row>
    <row r="92" spans="1:11" ht="27.6" x14ac:dyDescent="0.25">
      <c r="A92" s="833"/>
      <c r="B92" s="803"/>
      <c r="C92" s="803"/>
      <c r="D92" s="804"/>
      <c r="E92" s="805"/>
      <c r="F92" s="455" t="s">
        <v>300</v>
      </c>
      <c r="G92" s="803"/>
      <c r="H92" s="803"/>
      <c r="I92" s="804"/>
      <c r="J92" s="828"/>
    </row>
    <row r="93" spans="1:11" ht="41.4" x14ac:dyDescent="0.25">
      <c r="A93" s="824" t="s">
        <v>826</v>
      </c>
      <c r="B93" s="817">
        <f>SUM(B86:B92)</f>
        <v>0</v>
      </c>
      <c r="C93" s="818">
        <f>SUM(C86:C92)</f>
        <v>2051322</v>
      </c>
      <c r="D93" s="818">
        <f>SUM(D86:D92)</f>
        <v>0</v>
      </c>
      <c r="E93" s="820">
        <f>SUM(E86:E92)</f>
        <v>2051322</v>
      </c>
      <c r="F93" s="853" t="s">
        <v>827</v>
      </c>
      <c r="G93" s="817">
        <f>SUM(G86:G92)</f>
        <v>0</v>
      </c>
      <c r="H93" s="818">
        <f>SUM(H86:H92)</f>
        <v>4063722</v>
      </c>
      <c r="I93" s="818">
        <f>SUM(I86:I92)</f>
        <v>0</v>
      </c>
      <c r="J93" s="820">
        <f>SUM(J86:J92)</f>
        <v>4063722</v>
      </c>
    </row>
    <row r="94" spans="1:11" x14ac:dyDescent="0.25">
      <c r="B94" s="830">
        <f>B93+B84+B64+B51+B33+B21</f>
        <v>257322515.79651695</v>
      </c>
      <c r="C94" s="830">
        <f>C93+C84+C64+C51+C33+C21</f>
        <v>279996872</v>
      </c>
      <c r="D94" s="830">
        <f>D93+D84+D64+D51+D33+D21</f>
        <v>13215783088.536816</v>
      </c>
      <c r="E94" s="830">
        <f>E93+E84+E64+E51+E33+E21</f>
        <v>13753102476.333336</v>
      </c>
      <c r="G94" s="836">
        <f>G93+G84+G64+G51+G33+G21</f>
        <v>371388270</v>
      </c>
      <c r="H94" s="836">
        <f>H93+H84+H64+H51+H33+H21</f>
        <v>506251756</v>
      </c>
      <c r="I94" s="836">
        <f>I93+I84+I64+I51+I33+I21</f>
        <v>12875462450</v>
      </c>
      <c r="J94" s="836">
        <f>SUM(G94:I94)</f>
        <v>13753102476</v>
      </c>
      <c r="K94" s="830">
        <f>J93+J84+J64+J51+J33+J21</f>
        <v>13753102476</v>
      </c>
    </row>
    <row r="95" spans="1:11" x14ac:dyDescent="0.25">
      <c r="A95" s="839" t="s">
        <v>560</v>
      </c>
      <c r="B95" s="830">
        <f>B94-G94</f>
        <v>-114065754.20348305</v>
      </c>
      <c r="C95" s="830">
        <f>C94-H94</f>
        <v>-226254884</v>
      </c>
      <c r="D95" s="830">
        <f>D94-I94</f>
        <v>340320638.53681564</v>
      </c>
      <c r="E95" s="830">
        <f>J94-E94</f>
        <v>-0.33333587646484375</v>
      </c>
      <c r="J95" s="836"/>
    </row>
    <row r="96" spans="1:11" x14ac:dyDescent="0.25">
      <c r="C96" s="830"/>
      <c r="H96" s="836"/>
    </row>
  </sheetData>
  <sheetProtection selectLockedCells="1" selectUnlockedCells="1"/>
  <mergeCells count="4">
    <mergeCell ref="A1:J3"/>
    <mergeCell ref="A5:G5"/>
    <mergeCell ref="A35:G35"/>
    <mergeCell ref="A68:G68"/>
  </mergeCells>
  <pageMargins left="0.75" right="0.75" top="1" bottom="1" header="0.5" footer="0.51180555555555551"/>
  <pageSetup paperSize="9" scale="62" firstPageNumber="0" orientation="landscape" r:id="rId1"/>
  <headerFooter alignWithMargins="0">
    <oddHeader>&amp;C9. melléklet a 31/2019. (XII.13.) önkormányzati rendelethez
 az önkormányzat 2019. évi költségvetéséről szóló 6/2019. (II.28.) önkormányzati rendelet 
9. mellékletének helyébe a következő 9. melléklet lép:  
&amp;R
&amp;P. oldal
ezer forint</oddHeader>
  </headerFooter>
  <rowBreaks count="2" manualBreakCount="2">
    <brk id="34" max="9" man="1"/>
    <brk id="6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view="pageLayout" zoomScaleNormal="100" workbookViewId="0">
      <selection activeCell="E407" sqref="E407"/>
    </sheetView>
  </sheetViews>
  <sheetFormatPr defaultRowHeight="13.2" x14ac:dyDescent="0.25"/>
  <cols>
    <col min="1" max="1" width="17.5546875" style="769" customWidth="1"/>
    <col min="2" max="2" width="13.44140625" style="443" customWidth="1"/>
    <col min="3" max="3" width="14.109375" style="443" customWidth="1"/>
    <col min="4" max="4" width="13.44140625" style="443" customWidth="1"/>
    <col min="5" max="5" width="14.109375" style="443" customWidth="1"/>
  </cols>
  <sheetData>
    <row r="1" spans="1:5" x14ac:dyDescent="0.25">
      <c r="A1" s="1456" t="s">
        <v>725</v>
      </c>
      <c r="B1" s="1456"/>
      <c r="C1" s="1456"/>
      <c r="D1" s="1456"/>
      <c r="E1" s="1456"/>
    </row>
    <row r="2" spans="1:5" ht="22.5" customHeight="1" x14ac:dyDescent="0.25">
      <c r="A2" s="1456"/>
      <c r="B2" s="1456"/>
      <c r="C2" s="1456"/>
      <c r="D2" s="1456"/>
      <c r="E2" s="1456"/>
    </row>
    <row r="3" spans="1:5" ht="13.8" x14ac:dyDescent="0.25">
      <c r="A3" s="761"/>
      <c r="B3" s="715"/>
      <c r="C3" s="715"/>
      <c r="D3" s="715"/>
      <c r="E3" s="715"/>
    </row>
    <row r="4" spans="1:5" x14ac:dyDescent="0.25">
      <c r="A4" s="761"/>
      <c r="B4" s="716" t="s">
        <v>726</v>
      </c>
      <c r="C4" s="717"/>
      <c r="D4" s="718"/>
    </row>
    <row r="5" spans="1:5" ht="26.4" x14ac:dyDescent="0.25">
      <c r="A5" s="760" t="s">
        <v>727</v>
      </c>
      <c r="B5" s="1457" t="s">
        <v>728</v>
      </c>
      <c r="C5" s="1457"/>
      <c r="D5" s="1457"/>
    </row>
    <row r="6" spans="1:5" x14ac:dyDescent="0.25">
      <c r="A6" s="762"/>
      <c r="B6" s="719"/>
      <c r="C6" s="720"/>
      <c r="D6" s="721"/>
    </row>
    <row r="7" spans="1:5" x14ac:dyDescent="0.25">
      <c r="A7" s="762"/>
      <c r="B7" s="719"/>
      <c r="C7" s="722"/>
      <c r="D7" s="723"/>
    </row>
    <row r="8" spans="1:5" x14ac:dyDescent="0.25">
      <c r="A8" s="763" t="s">
        <v>729</v>
      </c>
      <c r="B8" s="724" t="s">
        <v>730</v>
      </c>
      <c r="C8" s="725" t="s">
        <v>731</v>
      </c>
      <c r="D8" s="726" t="s">
        <v>732</v>
      </c>
      <c r="E8" s="727" t="s">
        <v>98</v>
      </c>
    </row>
    <row r="9" spans="1:5" x14ac:dyDescent="0.25">
      <c r="A9" s="764" t="s">
        <v>733</v>
      </c>
      <c r="B9" s="728">
        <v>126048529</v>
      </c>
      <c r="C9" s="729">
        <v>189640271</v>
      </c>
      <c r="D9" s="730"/>
      <c r="E9" s="731">
        <f>B9+C9</f>
        <v>315688800</v>
      </c>
    </row>
    <row r="10" spans="1:5" x14ac:dyDescent="0.25">
      <c r="A10" s="764" t="s">
        <v>734</v>
      </c>
      <c r="B10" s="728"/>
      <c r="C10" s="729"/>
      <c r="D10" s="732"/>
      <c r="E10" s="731">
        <f>B10+C10</f>
        <v>0</v>
      </c>
    </row>
    <row r="11" spans="1:5" x14ac:dyDescent="0.25">
      <c r="A11" s="764" t="s">
        <v>735</v>
      </c>
      <c r="B11" s="728"/>
      <c r="C11" s="729"/>
      <c r="D11" s="732"/>
      <c r="E11" s="731">
        <f>B11+C11</f>
        <v>0</v>
      </c>
    </row>
    <row r="12" spans="1:5" x14ac:dyDescent="0.25">
      <c r="A12" s="765" t="s">
        <v>98</v>
      </c>
      <c r="B12" s="733">
        <f>SUM(B9:B11)</f>
        <v>126048529</v>
      </c>
      <c r="C12" s="733">
        <f>SUM(C9:C11)</f>
        <v>189640271</v>
      </c>
      <c r="D12" s="734">
        <f>SUM(D9:D11)</f>
        <v>0</v>
      </c>
      <c r="E12" s="746">
        <f>B12+C12</f>
        <v>315688800</v>
      </c>
    </row>
    <row r="13" spans="1:5" x14ac:dyDescent="0.25">
      <c r="A13" s="766"/>
      <c r="B13" s="736"/>
      <c r="C13" s="735"/>
      <c r="D13" s="737"/>
      <c r="E13" s="738"/>
    </row>
    <row r="14" spans="1:5" ht="39.6" x14ac:dyDescent="0.25">
      <c r="A14" s="763" t="s">
        <v>736</v>
      </c>
      <c r="B14" s="739" t="s">
        <v>737</v>
      </c>
      <c r="C14" s="740" t="s">
        <v>731</v>
      </c>
      <c r="D14" s="727" t="s">
        <v>732</v>
      </c>
      <c r="E14" s="741" t="s">
        <v>98</v>
      </c>
    </row>
    <row r="15" spans="1:5" ht="26.4" x14ac:dyDescent="0.25">
      <c r="A15" s="764" t="s">
        <v>738</v>
      </c>
      <c r="B15" s="728">
        <v>18584629</v>
      </c>
      <c r="C15" s="742">
        <v>81735371</v>
      </c>
      <c r="D15" s="743"/>
      <c r="E15" s="731">
        <f t="shared" ref="E15:E22" si="0">B15+C15</f>
        <v>100320000</v>
      </c>
    </row>
    <row r="16" spans="1:5" ht="26.4" x14ac:dyDescent="0.25">
      <c r="A16" s="764" t="s">
        <v>739</v>
      </c>
      <c r="B16" s="728">
        <v>3199963</v>
      </c>
      <c r="C16" s="742">
        <v>15860837</v>
      </c>
      <c r="D16" s="743"/>
      <c r="E16" s="731">
        <f t="shared" si="0"/>
        <v>19060800</v>
      </c>
    </row>
    <row r="17" spans="1:5" ht="26.4" x14ac:dyDescent="0.25">
      <c r="A17" s="764" t="s">
        <v>740</v>
      </c>
      <c r="B17" s="728"/>
      <c r="C17" s="742"/>
      <c r="D17" s="743"/>
      <c r="E17" s="731">
        <f t="shared" si="0"/>
        <v>0</v>
      </c>
    </row>
    <row r="18" spans="1:5" x14ac:dyDescent="0.25">
      <c r="A18" s="764" t="s">
        <v>741</v>
      </c>
      <c r="B18" s="728">
        <v>32552321</v>
      </c>
      <c r="C18" s="742">
        <v>144455679</v>
      </c>
      <c r="D18" s="743"/>
      <c r="E18" s="731">
        <f t="shared" si="0"/>
        <v>177008000</v>
      </c>
    </row>
    <row r="19" spans="1:5" x14ac:dyDescent="0.25">
      <c r="A19" s="764" t="s">
        <v>742</v>
      </c>
      <c r="B19" s="728"/>
      <c r="C19" s="742"/>
      <c r="D19" s="743"/>
      <c r="E19" s="731">
        <f t="shared" si="0"/>
        <v>0</v>
      </c>
    </row>
    <row r="20" spans="1:5" x14ac:dyDescent="0.25">
      <c r="A20" s="764" t="s">
        <v>743</v>
      </c>
      <c r="B20" s="728">
        <v>114173</v>
      </c>
      <c r="C20" s="742">
        <v>19185827</v>
      </c>
      <c r="D20" s="743"/>
      <c r="E20" s="731">
        <f t="shared" si="0"/>
        <v>19300000</v>
      </c>
    </row>
    <row r="21" spans="1:5" ht="26.4" x14ac:dyDescent="0.25">
      <c r="A21" s="764" t="s">
        <v>744</v>
      </c>
      <c r="B21" s="728"/>
      <c r="C21" s="742"/>
      <c r="D21" s="743"/>
      <c r="E21" s="731">
        <f t="shared" si="0"/>
        <v>0</v>
      </c>
    </row>
    <row r="22" spans="1:5" x14ac:dyDescent="0.25">
      <c r="A22" s="765" t="s">
        <v>98</v>
      </c>
      <c r="B22" s="733">
        <f>SUM(B15:B21)</f>
        <v>54451086</v>
      </c>
      <c r="C22" s="734">
        <f>SUM(C15:C21)</f>
        <v>261237714</v>
      </c>
      <c r="D22" s="744">
        <f>SUM(D15:D21)</f>
        <v>0</v>
      </c>
      <c r="E22" s="746">
        <f t="shared" si="0"/>
        <v>315688800</v>
      </c>
    </row>
    <row r="23" spans="1:5" x14ac:dyDescent="0.25">
      <c r="A23" s="762"/>
      <c r="B23" s="745"/>
      <c r="C23" s="717"/>
      <c r="D23" s="718"/>
    </row>
    <row r="25" spans="1:5" x14ac:dyDescent="0.25">
      <c r="A25" s="761"/>
      <c r="B25" s="716" t="s">
        <v>745</v>
      </c>
      <c r="C25" s="717"/>
      <c r="D25" s="718"/>
    </row>
    <row r="26" spans="1:5" ht="26.4" x14ac:dyDescent="0.25">
      <c r="A26" s="760" t="s">
        <v>727</v>
      </c>
      <c r="B26" s="1458" t="s">
        <v>746</v>
      </c>
      <c r="C26" s="1458"/>
      <c r="D26" s="1458"/>
    </row>
    <row r="27" spans="1:5" x14ac:dyDescent="0.25">
      <c r="A27" s="762"/>
      <c r="B27" s="719"/>
      <c r="C27" s="720"/>
      <c r="D27" s="721"/>
    </row>
    <row r="28" spans="1:5" x14ac:dyDescent="0.25">
      <c r="A28" s="762"/>
      <c r="B28" s="719"/>
      <c r="C28" s="722"/>
      <c r="D28" s="723"/>
    </row>
    <row r="29" spans="1:5" x14ac:dyDescent="0.25">
      <c r="A29" s="763" t="s">
        <v>729</v>
      </c>
      <c r="B29" s="724" t="s">
        <v>730</v>
      </c>
      <c r="C29" s="725" t="s">
        <v>731</v>
      </c>
      <c r="D29" s="726" t="s">
        <v>732</v>
      </c>
      <c r="E29" s="727" t="s">
        <v>98</v>
      </c>
    </row>
    <row r="30" spans="1:5" x14ac:dyDescent="0.25">
      <c r="A30" s="764" t="s">
        <v>733</v>
      </c>
      <c r="B30" s="728"/>
      <c r="C30" s="729">
        <v>618050000</v>
      </c>
      <c r="D30" s="730"/>
      <c r="E30" s="731">
        <f>B30+C30</f>
        <v>618050000</v>
      </c>
    </row>
    <row r="31" spans="1:5" x14ac:dyDescent="0.25">
      <c r="A31" s="764" t="s">
        <v>734</v>
      </c>
      <c r="B31" s="728"/>
      <c r="C31" s="729"/>
      <c r="D31" s="732"/>
      <c r="E31" s="731">
        <f>B31+C31</f>
        <v>0</v>
      </c>
    </row>
    <row r="32" spans="1:5" x14ac:dyDescent="0.25">
      <c r="A32" s="764" t="s">
        <v>735</v>
      </c>
      <c r="B32" s="728"/>
      <c r="C32" s="729"/>
      <c r="D32" s="732"/>
      <c r="E32" s="731">
        <f>B32+C32</f>
        <v>0</v>
      </c>
    </row>
    <row r="33" spans="1:5" ht="26.4" x14ac:dyDescent="0.25">
      <c r="A33" s="767" t="s">
        <v>747</v>
      </c>
      <c r="B33" s="728"/>
      <c r="C33" s="729">
        <v>11421000</v>
      </c>
      <c r="D33" s="732"/>
      <c r="E33" s="731">
        <f>B33+C33</f>
        <v>11421000</v>
      </c>
    </row>
    <row r="34" spans="1:5" x14ac:dyDescent="0.25">
      <c r="A34" s="765" t="s">
        <v>98</v>
      </c>
      <c r="B34" s="733">
        <f>SUM(B30:B32)</f>
        <v>0</v>
      </c>
      <c r="C34" s="733">
        <f>SUM(C30:C33)</f>
        <v>629471000</v>
      </c>
      <c r="D34" s="733">
        <f>SUM(D30:D33)</f>
        <v>0</v>
      </c>
      <c r="E34" s="733">
        <f>SUM(E30:E33)</f>
        <v>629471000</v>
      </c>
    </row>
    <row r="35" spans="1:5" x14ac:dyDescent="0.25">
      <c r="A35" s="766"/>
      <c r="B35" s="736"/>
      <c r="C35" s="735"/>
      <c r="D35" s="737"/>
      <c r="E35" s="738"/>
    </row>
    <row r="36" spans="1:5" ht="39.6" x14ac:dyDescent="0.25">
      <c r="A36" s="763" t="s">
        <v>736</v>
      </c>
      <c r="B36" s="739" t="s">
        <v>737</v>
      </c>
      <c r="C36" s="740" t="s">
        <v>731</v>
      </c>
      <c r="D36" s="727" t="s">
        <v>732</v>
      </c>
      <c r="E36" s="741" t="s">
        <v>98</v>
      </c>
    </row>
    <row r="37" spans="1:5" x14ac:dyDescent="0.25">
      <c r="A37" s="767" t="s">
        <v>748</v>
      </c>
      <c r="B37" s="728"/>
      <c r="C37" s="742"/>
      <c r="D37" s="743"/>
      <c r="E37" s="731">
        <f t="shared" ref="E37:E43" si="1">B37+C37</f>
        <v>0</v>
      </c>
    </row>
    <row r="38" spans="1:5" ht="26.4" x14ac:dyDescent="0.25">
      <c r="A38" s="764" t="s">
        <v>739</v>
      </c>
      <c r="B38" s="728"/>
      <c r="C38" s="742"/>
      <c r="D38" s="743"/>
      <c r="E38" s="731">
        <f t="shared" si="1"/>
        <v>0</v>
      </c>
    </row>
    <row r="39" spans="1:5" x14ac:dyDescent="0.25">
      <c r="A39" s="764" t="s">
        <v>741</v>
      </c>
      <c r="B39" s="728"/>
      <c r="C39" s="742">
        <v>21800000</v>
      </c>
      <c r="D39" s="743"/>
      <c r="E39" s="731">
        <f t="shared" si="1"/>
        <v>21800000</v>
      </c>
    </row>
    <row r="40" spans="1:5" x14ac:dyDescent="0.25">
      <c r="A40" s="764" t="s">
        <v>742</v>
      </c>
      <c r="B40" s="728"/>
      <c r="C40" s="742"/>
      <c r="D40" s="743"/>
      <c r="E40" s="731">
        <f t="shared" si="1"/>
        <v>0</v>
      </c>
    </row>
    <row r="41" spans="1:5" x14ac:dyDescent="0.25">
      <c r="A41" s="764" t="s">
        <v>743</v>
      </c>
      <c r="B41" s="728"/>
      <c r="C41" s="742">
        <v>596250000</v>
      </c>
      <c r="D41" s="743"/>
      <c r="E41" s="731">
        <f t="shared" si="1"/>
        <v>596250000</v>
      </c>
    </row>
    <row r="42" spans="1:5" ht="26.4" x14ac:dyDescent="0.25">
      <c r="A42" s="767" t="s">
        <v>747</v>
      </c>
      <c r="B42" s="728"/>
      <c r="C42" s="742">
        <v>11421000</v>
      </c>
      <c r="D42" s="743"/>
      <c r="E42" s="731">
        <f t="shared" si="1"/>
        <v>11421000</v>
      </c>
    </row>
    <row r="43" spans="1:5" x14ac:dyDescent="0.25">
      <c r="A43" s="765" t="s">
        <v>98</v>
      </c>
      <c r="B43" s="733">
        <f>SUM(B37:B42)</f>
        <v>0</v>
      </c>
      <c r="C43" s="734">
        <f>SUM(C37:C42)</f>
        <v>629471000</v>
      </c>
      <c r="D43" s="744">
        <f>SUM(D37:D42)</f>
        <v>0</v>
      </c>
      <c r="E43" s="746">
        <f t="shared" si="1"/>
        <v>629471000</v>
      </c>
    </row>
    <row r="44" spans="1:5" x14ac:dyDescent="0.25">
      <c r="A44" s="768"/>
      <c r="B44" s="718"/>
      <c r="C44" s="747"/>
      <c r="D44" s="747"/>
    </row>
    <row r="46" spans="1:5" ht="18.75" customHeight="1" x14ac:dyDescent="0.25">
      <c r="A46" s="761"/>
      <c r="B46" s="716" t="s">
        <v>749</v>
      </c>
      <c r="C46" s="717"/>
      <c r="D46" s="718"/>
    </row>
    <row r="47" spans="1:5" ht="26.4" x14ac:dyDescent="0.25">
      <c r="A47" s="760" t="s">
        <v>727</v>
      </c>
      <c r="B47" s="1458" t="s">
        <v>750</v>
      </c>
      <c r="C47" s="1458"/>
      <c r="D47" s="1458"/>
    </row>
    <row r="48" spans="1:5" x14ac:dyDescent="0.25">
      <c r="A48" s="762"/>
      <c r="B48" s="719"/>
      <c r="C48" s="720"/>
      <c r="D48" s="721"/>
    </row>
    <row r="49" spans="1:5" x14ac:dyDescent="0.25">
      <c r="A49" s="762"/>
      <c r="B49" s="719"/>
      <c r="C49" s="722"/>
      <c r="D49" s="723"/>
    </row>
    <row r="50" spans="1:5" x14ac:dyDescent="0.25">
      <c r="A50" s="763" t="s">
        <v>729</v>
      </c>
      <c r="B50" s="724" t="s">
        <v>730</v>
      </c>
      <c r="C50" s="725" t="s">
        <v>731</v>
      </c>
      <c r="D50" s="726" t="s">
        <v>732</v>
      </c>
      <c r="E50" s="727" t="s">
        <v>98</v>
      </c>
    </row>
    <row r="51" spans="1:5" x14ac:dyDescent="0.25">
      <c r="A51" s="764" t="s">
        <v>733</v>
      </c>
      <c r="B51" s="728">
        <v>16476045</v>
      </c>
      <c r="C51" s="729">
        <v>23323900</v>
      </c>
      <c r="D51" s="730"/>
      <c r="E51" s="731">
        <f>SUM(B51:D52)</f>
        <v>39799945</v>
      </c>
    </row>
    <row r="52" spans="1:5" x14ac:dyDescent="0.25">
      <c r="A52" s="764" t="s">
        <v>734</v>
      </c>
      <c r="B52" s="728"/>
      <c r="C52" s="729"/>
      <c r="D52" s="732"/>
      <c r="E52" s="731"/>
    </row>
    <row r="53" spans="1:5" x14ac:dyDescent="0.25">
      <c r="A53" s="764" t="s">
        <v>735</v>
      </c>
      <c r="B53" s="728"/>
      <c r="C53" s="729">
        <f>17642800+72623209+59637601+1943100</f>
        <v>151846710</v>
      </c>
      <c r="D53" s="732"/>
      <c r="E53" s="731">
        <v>17642800</v>
      </c>
    </row>
    <row r="54" spans="1:5" x14ac:dyDescent="0.25">
      <c r="A54" s="765" t="s">
        <v>98</v>
      </c>
      <c r="B54" s="733">
        <f>SUM(B51:B53)</f>
        <v>16476045</v>
      </c>
      <c r="C54" s="733">
        <f>SUM(C51:C53)</f>
        <v>175170610</v>
      </c>
      <c r="D54" s="734">
        <f>SUM(D51:D53)</f>
        <v>0</v>
      </c>
      <c r="E54" s="746">
        <f>B54+C54</f>
        <v>191646655</v>
      </c>
    </row>
    <row r="55" spans="1:5" x14ac:dyDescent="0.25">
      <c r="A55" s="766"/>
      <c r="B55" s="736"/>
      <c r="C55" s="735"/>
      <c r="D55" s="737"/>
      <c r="E55" s="738"/>
    </row>
    <row r="56" spans="1:5" ht="39.6" x14ac:dyDescent="0.25">
      <c r="A56" s="763" t="s">
        <v>736</v>
      </c>
      <c r="B56" s="739" t="s">
        <v>737</v>
      </c>
      <c r="C56" s="740" t="s">
        <v>731</v>
      </c>
      <c r="D56" s="727" t="s">
        <v>732</v>
      </c>
      <c r="E56" s="741" t="s">
        <v>98</v>
      </c>
    </row>
    <row r="57" spans="1:5" x14ac:dyDescent="0.25">
      <c r="A57" s="767" t="s">
        <v>748</v>
      </c>
      <c r="B57" s="728">
        <v>1027780</v>
      </c>
      <c r="C57" s="742">
        <v>1584780</v>
      </c>
      <c r="D57" s="743"/>
      <c r="E57" s="731">
        <f t="shared" ref="E57:E62" si="2">SUM(B57:D57)</f>
        <v>2612560</v>
      </c>
    </row>
    <row r="58" spans="1:5" ht="26.4" x14ac:dyDescent="0.25">
      <c r="A58" s="764" t="s">
        <v>739</v>
      </c>
      <c r="B58" s="728">
        <v>205534</v>
      </c>
      <c r="C58" s="742">
        <v>369230</v>
      </c>
      <c r="D58" s="743"/>
      <c r="E58" s="731">
        <f t="shared" si="2"/>
        <v>574764</v>
      </c>
    </row>
    <row r="59" spans="1:5" x14ac:dyDescent="0.25">
      <c r="A59" s="764" t="s">
        <v>741</v>
      </c>
      <c r="B59" s="728">
        <v>0</v>
      </c>
      <c r="C59" s="742">
        <f>425450</f>
        <v>425450</v>
      </c>
      <c r="D59" s="743"/>
      <c r="E59" s="731">
        <f t="shared" si="2"/>
        <v>425450</v>
      </c>
    </row>
    <row r="60" spans="1:5" x14ac:dyDescent="0.25">
      <c r="A60" s="764" t="s">
        <v>742</v>
      </c>
      <c r="B60" s="728"/>
      <c r="C60" s="742"/>
      <c r="D60" s="743"/>
      <c r="E60" s="731">
        <f t="shared" si="2"/>
        <v>0</v>
      </c>
    </row>
    <row r="61" spans="1:5" x14ac:dyDescent="0.25">
      <c r="A61" s="764" t="s">
        <v>743</v>
      </c>
      <c r="B61" s="728">
        <v>13168209</v>
      </c>
      <c r="C61" s="742">
        <f>40661762+59637601+72623209+1943100-36121240</f>
        <v>138744432</v>
      </c>
      <c r="D61" s="743"/>
      <c r="E61" s="731">
        <f t="shared" si="2"/>
        <v>151912641</v>
      </c>
    </row>
    <row r="62" spans="1:5" ht="26.4" x14ac:dyDescent="0.25">
      <c r="A62" s="767" t="s">
        <v>769</v>
      </c>
      <c r="B62" s="728"/>
      <c r="C62" s="742">
        <v>36121240</v>
      </c>
      <c r="D62" s="1308"/>
      <c r="E62" s="731">
        <f t="shared" si="2"/>
        <v>36121240</v>
      </c>
    </row>
    <row r="63" spans="1:5" x14ac:dyDescent="0.25">
      <c r="A63" s="765" t="s">
        <v>98</v>
      </c>
      <c r="B63" s="733">
        <f>SUM(B57:B61)</f>
        <v>14401523</v>
      </c>
      <c r="C63" s="734">
        <f>SUM(C57:C62)</f>
        <v>177245132</v>
      </c>
      <c r="D63" s="734">
        <f>SUM(D57:D61)</f>
        <v>0</v>
      </c>
      <c r="E63" s="744">
        <f>SUM(E57:E62)</f>
        <v>191646655</v>
      </c>
    </row>
    <row r="65" spans="1:5" x14ac:dyDescent="0.25">
      <c r="A65" s="761"/>
      <c r="B65" s="716" t="s">
        <v>751</v>
      </c>
      <c r="C65" s="717"/>
      <c r="D65" s="718"/>
    </row>
    <row r="66" spans="1:5" ht="26.4" x14ac:dyDescent="0.25">
      <c r="A66" s="760" t="s">
        <v>727</v>
      </c>
      <c r="B66" s="1458" t="s">
        <v>752</v>
      </c>
      <c r="C66" s="1458"/>
      <c r="D66" s="1458"/>
    </row>
    <row r="67" spans="1:5" x14ac:dyDescent="0.25">
      <c r="A67" s="762"/>
      <c r="B67" s="719"/>
      <c r="C67" s="720"/>
      <c r="D67" s="721"/>
    </row>
    <row r="68" spans="1:5" x14ac:dyDescent="0.25">
      <c r="A68" s="762"/>
      <c r="B68" s="719"/>
      <c r="C68" s="722"/>
      <c r="D68" s="723"/>
    </row>
    <row r="69" spans="1:5" x14ac:dyDescent="0.25">
      <c r="A69" s="763" t="s">
        <v>729</v>
      </c>
      <c r="B69" s="724" t="s">
        <v>730</v>
      </c>
      <c r="C69" s="725" t="s">
        <v>731</v>
      </c>
      <c r="D69" s="726" t="s">
        <v>732</v>
      </c>
      <c r="E69" s="727" t="s">
        <v>98</v>
      </c>
    </row>
    <row r="70" spans="1:5" x14ac:dyDescent="0.25">
      <c r="A70" s="764" t="s">
        <v>733</v>
      </c>
      <c r="B70" s="728">
        <v>127508000</v>
      </c>
      <c r="C70" s="729"/>
      <c r="D70" s="730"/>
      <c r="E70" s="731">
        <f>SUM(B70:D71)</f>
        <v>127508000</v>
      </c>
    </row>
    <row r="71" spans="1:5" x14ac:dyDescent="0.25">
      <c r="A71" s="764" t="s">
        <v>734</v>
      </c>
      <c r="B71" s="728"/>
      <c r="C71" s="729"/>
      <c r="D71" s="732"/>
      <c r="E71" s="731"/>
    </row>
    <row r="72" spans="1:5" x14ac:dyDescent="0.25">
      <c r="A72" s="764" t="s">
        <v>735</v>
      </c>
      <c r="B72" s="728"/>
      <c r="C72" s="729">
        <f>13982527+34921711-13728527</f>
        <v>35175711</v>
      </c>
      <c r="D72" s="732"/>
      <c r="E72" s="731">
        <v>14236527</v>
      </c>
    </row>
    <row r="73" spans="1:5" x14ac:dyDescent="0.25">
      <c r="A73" s="765" t="s">
        <v>98</v>
      </c>
      <c r="B73" s="733">
        <f>SUM(B70:B72)</f>
        <v>127508000</v>
      </c>
      <c r="C73" s="733">
        <f>SUM(C70:C72)</f>
        <v>35175711</v>
      </c>
      <c r="D73" s="734">
        <f>SUM(D70:D72)</f>
        <v>0</v>
      </c>
      <c r="E73" s="746">
        <f>B73+C73</f>
        <v>162683711</v>
      </c>
    </row>
    <row r="74" spans="1:5" x14ac:dyDescent="0.25">
      <c r="A74" s="766"/>
      <c r="B74" s="736"/>
      <c r="C74" s="735"/>
      <c r="D74" s="737"/>
      <c r="E74" s="738"/>
    </row>
    <row r="75" spans="1:5" ht="39.6" x14ac:dyDescent="0.25">
      <c r="A75" s="763" t="s">
        <v>736</v>
      </c>
      <c r="B75" s="739" t="s">
        <v>737</v>
      </c>
      <c r="C75" s="740" t="s">
        <v>731</v>
      </c>
      <c r="D75" s="727" t="s">
        <v>732</v>
      </c>
      <c r="E75" s="741" t="s">
        <v>98</v>
      </c>
    </row>
    <row r="76" spans="1:5" x14ac:dyDescent="0.25">
      <c r="A76" s="767" t="s">
        <v>748</v>
      </c>
      <c r="B76" s="728"/>
      <c r="C76" s="742"/>
      <c r="D76" s="743"/>
      <c r="E76" s="731">
        <f t="shared" ref="E76:E81" si="3">SUM(B76:D76)</f>
        <v>0</v>
      </c>
    </row>
    <row r="77" spans="1:5" ht="26.4" x14ac:dyDescent="0.25">
      <c r="A77" s="764" t="s">
        <v>739</v>
      </c>
      <c r="B77" s="728"/>
      <c r="C77" s="742"/>
      <c r="D77" s="743"/>
      <c r="E77" s="731">
        <f t="shared" si="3"/>
        <v>0</v>
      </c>
    </row>
    <row r="78" spans="1:5" x14ac:dyDescent="0.25">
      <c r="A78" s="764" t="s">
        <v>741</v>
      </c>
      <c r="B78" s="728">
        <v>635000</v>
      </c>
      <c r="C78" s="742">
        <f>4953000</f>
        <v>4953000</v>
      </c>
      <c r="D78" s="743"/>
      <c r="E78" s="731">
        <f t="shared" si="3"/>
        <v>5588000</v>
      </c>
    </row>
    <row r="79" spans="1:5" x14ac:dyDescent="0.25">
      <c r="A79" s="764" t="s">
        <v>742</v>
      </c>
      <c r="B79" s="728"/>
      <c r="C79" s="742"/>
      <c r="D79" s="743"/>
      <c r="E79" s="731">
        <f t="shared" si="3"/>
        <v>0</v>
      </c>
    </row>
    <row r="80" spans="1:5" x14ac:dyDescent="0.25">
      <c r="A80" s="764" t="s">
        <v>743</v>
      </c>
      <c r="B80" s="728">
        <v>29035603</v>
      </c>
      <c r="C80" s="742">
        <f>141788635-13728527-22679614</f>
        <v>105380494</v>
      </c>
      <c r="D80" s="743"/>
      <c r="E80" s="731">
        <f t="shared" si="3"/>
        <v>134416097</v>
      </c>
    </row>
    <row r="81" spans="1:5" ht="26.4" x14ac:dyDescent="0.25">
      <c r="A81" s="767" t="s">
        <v>769</v>
      </c>
      <c r="B81" s="728"/>
      <c r="C81" s="742">
        <v>22679614</v>
      </c>
      <c r="D81" s="1308"/>
      <c r="E81" s="731">
        <f t="shared" si="3"/>
        <v>22679614</v>
      </c>
    </row>
    <row r="82" spans="1:5" x14ac:dyDescent="0.25">
      <c r="A82" s="765" t="s">
        <v>98</v>
      </c>
      <c r="B82" s="733">
        <f>SUM(B76:B80)</f>
        <v>29670603</v>
      </c>
      <c r="C82" s="734">
        <f>SUM(C76:C81)</f>
        <v>133013108</v>
      </c>
      <c r="D82" s="734">
        <f>SUM(D76:D81)</f>
        <v>0</v>
      </c>
      <c r="E82" s="744">
        <f>SUM(E76:E81)</f>
        <v>162683711</v>
      </c>
    </row>
    <row r="86" spans="1:5" ht="17.25" customHeight="1" x14ac:dyDescent="0.25">
      <c r="A86" s="761"/>
      <c r="B86" s="716" t="s">
        <v>753</v>
      </c>
      <c r="C86" s="717"/>
      <c r="D86" s="718"/>
    </row>
    <row r="87" spans="1:5" ht="26.4" x14ac:dyDescent="0.25">
      <c r="A87" s="760" t="s">
        <v>727</v>
      </c>
      <c r="B87" s="1458" t="s">
        <v>754</v>
      </c>
      <c r="C87" s="1458"/>
      <c r="D87" s="1458"/>
    </row>
    <row r="88" spans="1:5" x14ac:dyDescent="0.25">
      <c r="A88" s="762"/>
      <c r="B88" s="719"/>
      <c r="C88" s="720"/>
      <c r="D88" s="721"/>
    </row>
    <row r="89" spans="1:5" x14ac:dyDescent="0.25">
      <c r="A89" s="762"/>
      <c r="B89" s="719"/>
      <c r="C89" s="722"/>
      <c r="D89" s="723"/>
    </row>
    <row r="90" spans="1:5" x14ac:dyDescent="0.25">
      <c r="A90" s="763" t="s">
        <v>729</v>
      </c>
      <c r="B90" s="724" t="s">
        <v>730</v>
      </c>
      <c r="C90" s="725" t="s">
        <v>731</v>
      </c>
      <c r="D90" s="726" t="s">
        <v>732</v>
      </c>
      <c r="E90" s="727" t="s">
        <v>98</v>
      </c>
    </row>
    <row r="91" spans="1:5" x14ac:dyDescent="0.25">
      <c r="A91" s="764" t="s">
        <v>733</v>
      </c>
      <c r="B91" s="728">
        <v>987794940</v>
      </c>
      <c r="C91" s="729">
        <v>2385001</v>
      </c>
      <c r="D91" s="730"/>
      <c r="E91" s="731">
        <f>B91+C91</f>
        <v>990179941</v>
      </c>
    </row>
    <row r="92" spans="1:5" x14ac:dyDescent="0.25">
      <c r="A92" s="764" t="s">
        <v>734</v>
      </c>
      <c r="B92" s="728"/>
      <c r="C92" s="729"/>
      <c r="D92" s="732"/>
      <c r="E92" s="731">
        <f>B92+C92</f>
        <v>0</v>
      </c>
    </row>
    <row r="93" spans="1:5" x14ac:dyDescent="0.25">
      <c r="A93" s="764" t="s">
        <v>735</v>
      </c>
      <c r="B93" s="728">
        <v>56522236</v>
      </c>
      <c r="C93" s="729">
        <f>138368829+1800000</f>
        <v>140168829</v>
      </c>
      <c r="D93" s="732"/>
      <c r="E93" s="731">
        <f>B93+C93</f>
        <v>196691065</v>
      </c>
    </row>
    <row r="94" spans="1:5" ht="26.4" x14ac:dyDescent="0.25">
      <c r="A94" s="767" t="s">
        <v>747</v>
      </c>
      <c r="B94" s="728">
        <v>1253999</v>
      </c>
      <c r="C94" s="729">
        <v>8861807</v>
      </c>
      <c r="D94" s="732"/>
      <c r="E94" s="731">
        <f>B94+C94</f>
        <v>10115806</v>
      </c>
    </row>
    <row r="95" spans="1:5" x14ac:dyDescent="0.25">
      <c r="A95" s="765" t="s">
        <v>98</v>
      </c>
      <c r="B95" s="733">
        <f>SUM(B91:B94)</f>
        <v>1045571175</v>
      </c>
      <c r="C95" s="733">
        <f>SUM(C91:C94)</f>
        <v>151415637</v>
      </c>
      <c r="D95" s="733">
        <f>SUM(D91:D94)</f>
        <v>0</v>
      </c>
      <c r="E95" s="733">
        <f>SUM(E91:E94)</f>
        <v>1196986812</v>
      </c>
    </row>
    <row r="96" spans="1:5" x14ac:dyDescent="0.25">
      <c r="A96" s="766"/>
      <c r="B96" s="736"/>
      <c r="C96" s="735"/>
      <c r="D96" s="737"/>
      <c r="E96" s="738"/>
    </row>
    <row r="97" spans="1:5" ht="39.6" x14ac:dyDescent="0.25">
      <c r="A97" s="763" t="s">
        <v>736</v>
      </c>
      <c r="B97" s="739" t="s">
        <v>755</v>
      </c>
      <c r="C97" s="740" t="s">
        <v>731</v>
      </c>
      <c r="D97" s="727" t="s">
        <v>732</v>
      </c>
      <c r="E97" s="741" t="s">
        <v>98</v>
      </c>
    </row>
    <row r="98" spans="1:5" x14ac:dyDescent="0.25">
      <c r="A98" s="767" t="s">
        <v>748</v>
      </c>
      <c r="B98" s="728"/>
      <c r="C98" s="742">
        <v>2114811</v>
      </c>
      <c r="D98" s="743"/>
      <c r="E98" s="731">
        <f t="shared" ref="E98:E104" si="4">B98+C98</f>
        <v>2114811</v>
      </c>
    </row>
    <row r="99" spans="1:5" ht="26.4" x14ac:dyDescent="0.25">
      <c r="A99" s="764" t="s">
        <v>739</v>
      </c>
      <c r="B99" s="728"/>
      <c r="C99" s="742">
        <v>520388</v>
      </c>
      <c r="D99" s="743"/>
      <c r="E99" s="731">
        <f t="shared" si="4"/>
        <v>520388</v>
      </c>
    </row>
    <row r="100" spans="1:5" x14ac:dyDescent="0.25">
      <c r="A100" s="764" t="s">
        <v>741</v>
      </c>
      <c r="B100" s="728">
        <v>4488895</v>
      </c>
      <c r="C100" s="742">
        <v>26461500</v>
      </c>
      <c r="D100" s="743"/>
      <c r="E100" s="731">
        <f t="shared" si="4"/>
        <v>30950395</v>
      </c>
    </row>
    <row r="101" spans="1:5" x14ac:dyDescent="0.25">
      <c r="A101" s="764" t="s">
        <v>742</v>
      </c>
      <c r="B101" s="728"/>
      <c r="C101" s="742"/>
      <c r="D101" s="743"/>
      <c r="E101" s="731">
        <f t="shared" si="4"/>
        <v>0</v>
      </c>
    </row>
    <row r="102" spans="1:5" x14ac:dyDescent="0.25">
      <c r="A102" s="764" t="s">
        <v>743</v>
      </c>
      <c r="B102" s="728">
        <v>274376425</v>
      </c>
      <c r="C102" s="742">
        <f>814077738+1800000</f>
        <v>815877738</v>
      </c>
      <c r="D102" s="743"/>
      <c r="E102" s="731">
        <f t="shared" si="4"/>
        <v>1090254163</v>
      </c>
    </row>
    <row r="103" spans="1:5" x14ac:dyDescent="0.25">
      <c r="A103" s="767" t="s">
        <v>971</v>
      </c>
      <c r="B103" s="728">
        <v>8332858</v>
      </c>
      <c r="C103" s="742">
        <v>54698391</v>
      </c>
      <c r="D103" s="743"/>
      <c r="E103" s="731">
        <f t="shared" si="4"/>
        <v>63031249</v>
      </c>
    </row>
    <row r="104" spans="1:5" ht="26.4" x14ac:dyDescent="0.25">
      <c r="A104" s="767" t="s">
        <v>747</v>
      </c>
      <c r="B104" s="728">
        <v>1253999</v>
      </c>
      <c r="C104" s="742">
        <v>8861807</v>
      </c>
      <c r="D104" s="743"/>
      <c r="E104" s="731">
        <f t="shared" si="4"/>
        <v>10115806</v>
      </c>
    </row>
    <row r="105" spans="1:5" x14ac:dyDescent="0.25">
      <c r="A105" s="765" t="s">
        <v>98</v>
      </c>
      <c r="B105" s="733">
        <f>SUM(B98:B104)</f>
        <v>288452177</v>
      </c>
      <c r="C105" s="733">
        <f>SUM(C98:C104)</f>
        <v>908534635</v>
      </c>
      <c r="D105" s="744">
        <f>SUM(D98:D104)</f>
        <v>0</v>
      </c>
      <c r="E105" s="746">
        <f>SUM(E98:E104)</f>
        <v>1196986812</v>
      </c>
    </row>
    <row r="108" spans="1:5" x14ac:dyDescent="0.25">
      <c r="A108" s="761"/>
      <c r="B108" s="716" t="s">
        <v>756</v>
      </c>
      <c r="C108" s="717"/>
      <c r="D108" s="718"/>
    </row>
    <row r="109" spans="1:5" ht="26.4" x14ac:dyDescent="0.25">
      <c r="A109" s="760" t="s">
        <v>727</v>
      </c>
      <c r="B109" s="1458" t="s">
        <v>757</v>
      </c>
      <c r="C109" s="1458"/>
      <c r="D109" s="1458"/>
    </row>
    <row r="110" spans="1:5" x14ac:dyDescent="0.25">
      <c r="A110" s="762"/>
      <c r="B110" s="719"/>
      <c r="C110" s="720"/>
      <c r="D110" s="721"/>
    </row>
    <row r="111" spans="1:5" x14ac:dyDescent="0.25">
      <c r="A111" s="762"/>
      <c r="B111" s="719"/>
      <c r="C111" s="722"/>
      <c r="D111" s="723"/>
    </row>
    <row r="112" spans="1:5" x14ac:dyDescent="0.25">
      <c r="A112" s="763" t="s">
        <v>729</v>
      </c>
      <c r="B112" s="724" t="s">
        <v>730</v>
      </c>
      <c r="C112" s="725" t="s">
        <v>731</v>
      </c>
      <c r="D112" s="726" t="s">
        <v>732</v>
      </c>
      <c r="E112" s="727" t="s">
        <v>98</v>
      </c>
    </row>
    <row r="113" spans="1:5" x14ac:dyDescent="0.25">
      <c r="A113" s="764" t="s">
        <v>733</v>
      </c>
      <c r="B113" s="728">
        <v>735733678</v>
      </c>
      <c r="C113" s="729">
        <v>34529178</v>
      </c>
      <c r="D113" s="730"/>
      <c r="E113" s="731">
        <f>B113+C113</f>
        <v>770262856</v>
      </c>
    </row>
    <row r="114" spans="1:5" x14ac:dyDescent="0.25">
      <c r="A114" s="764" t="s">
        <v>734</v>
      </c>
      <c r="B114" s="728"/>
      <c r="C114" s="729"/>
      <c r="D114" s="732"/>
      <c r="E114" s="731">
        <f>B114+C114</f>
        <v>0</v>
      </c>
    </row>
    <row r="115" spans="1:5" x14ac:dyDescent="0.25">
      <c r="A115" s="764" t="s">
        <v>735</v>
      </c>
      <c r="B115" s="728"/>
      <c r="C115" s="729"/>
      <c r="D115" s="732"/>
      <c r="E115" s="731">
        <f>B115+C115</f>
        <v>0</v>
      </c>
    </row>
    <row r="116" spans="1:5" ht="26.4" x14ac:dyDescent="0.25">
      <c r="A116" s="767" t="s">
        <v>747</v>
      </c>
      <c r="B116" s="728">
        <v>1803488</v>
      </c>
      <c r="C116" s="729">
        <v>35073560</v>
      </c>
      <c r="D116" s="732"/>
      <c r="E116" s="731">
        <f>B116+C116</f>
        <v>36877048</v>
      </c>
    </row>
    <row r="117" spans="1:5" x14ac:dyDescent="0.25">
      <c r="A117" s="765" t="s">
        <v>98</v>
      </c>
      <c r="B117" s="733">
        <f>SUM(B113:B116)</f>
        <v>737537166</v>
      </c>
      <c r="C117" s="733">
        <f>SUM(C113:C116)</f>
        <v>69602738</v>
      </c>
      <c r="D117" s="733">
        <f>SUM(D113:D116)</f>
        <v>0</v>
      </c>
      <c r="E117" s="733">
        <f>SUM(E113:E116)</f>
        <v>807139904</v>
      </c>
    </row>
    <row r="118" spans="1:5" x14ac:dyDescent="0.25">
      <c r="A118" s="766"/>
      <c r="B118" s="736"/>
      <c r="C118" s="735"/>
      <c r="D118" s="737"/>
      <c r="E118" s="738"/>
    </row>
    <row r="119" spans="1:5" ht="39.6" x14ac:dyDescent="0.25">
      <c r="A119" s="763" t="s">
        <v>736</v>
      </c>
      <c r="B119" s="739" t="s">
        <v>737</v>
      </c>
      <c r="C119" s="740" t="s">
        <v>731</v>
      </c>
      <c r="D119" s="727" t="s">
        <v>732</v>
      </c>
      <c r="E119" s="741" t="s">
        <v>98</v>
      </c>
    </row>
    <row r="120" spans="1:5" x14ac:dyDescent="0.25">
      <c r="A120" s="767" t="s">
        <v>748</v>
      </c>
      <c r="B120" s="728"/>
      <c r="C120" s="742"/>
      <c r="D120" s="743"/>
      <c r="E120" s="731">
        <f>B120+C120</f>
        <v>0</v>
      </c>
    </row>
    <row r="121" spans="1:5" ht="26.4" x14ac:dyDescent="0.25">
      <c r="A121" s="764" t="s">
        <v>739</v>
      </c>
      <c r="B121" s="728"/>
      <c r="C121" s="742"/>
      <c r="D121" s="743"/>
      <c r="E121" s="731">
        <f>B121+C121</f>
        <v>0</v>
      </c>
    </row>
    <row r="122" spans="1:5" x14ac:dyDescent="0.25">
      <c r="A122" s="764" t="s">
        <v>741</v>
      </c>
      <c r="B122" s="728"/>
      <c r="C122" s="742">
        <v>8900000</v>
      </c>
      <c r="D122" s="743"/>
      <c r="E122" s="731">
        <f>SUM(B122:D122)</f>
        <v>8900000</v>
      </c>
    </row>
    <row r="123" spans="1:5" x14ac:dyDescent="0.25">
      <c r="A123" s="764" t="s">
        <v>742</v>
      </c>
      <c r="B123" s="728"/>
      <c r="C123" s="742"/>
      <c r="D123" s="743"/>
      <c r="E123" s="731">
        <f>SUM(B123:D123)</f>
        <v>0</v>
      </c>
    </row>
    <row r="124" spans="1:5" x14ac:dyDescent="0.25">
      <c r="A124" s="764" t="s">
        <v>743</v>
      </c>
      <c r="B124" s="728">
        <v>6679584</v>
      </c>
      <c r="C124" s="742">
        <v>754683272</v>
      </c>
      <c r="D124" s="743"/>
      <c r="E124" s="731">
        <f>SUM(B124:D124)</f>
        <v>761362856</v>
      </c>
    </row>
    <row r="125" spans="1:5" ht="26.4" x14ac:dyDescent="0.25">
      <c r="A125" s="767" t="s">
        <v>747</v>
      </c>
      <c r="B125" s="728">
        <v>1803488</v>
      </c>
      <c r="C125" s="742">
        <v>35073560</v>
      </c>
      <c r="D125" s="743"/>
      <c r="E125" s="731">
        <f>SUM(B125:D125)</f>
        <v>36877048</v>
      </c>
    </row>
    <row r="126" spans="1:5" x14ac:dyDescent="0.25">
      <c r="A126" s="765" t="s">
        <v>98</v>
      </c>
      <c r="B126" s="733">
        <f>SUM(B120:B125)</f>
        <v>8483072</v>
      </c>
      <c r="C126" s="733">
        <f>SUM(C120:C125)</f>
        <v>798656832</v>
      </c>
      <c r="D126" s="733">
        <f>SUM(D120:D125)</f>
        <v>0</v>
      </c>
      <c r="E126" s="733">
        <f>SUM(E120:E125)</f>
        <v>807139904</v>
      </c>
    </row>
    <row r="130" spans="1:5" x14ac:dyDescent="0.25">
      <c r="A130" s="761"/>
      <c r="B130" s="716" t="s">
        <v>758</v>
      </c>
      <c r="C130" s="717"/>
      <c r="D130" s="718"/>
    </row>
    <row r="131" spans="1:5" ht="26.4" x14ac:dyDescent="0.25">
      <c r="A131" s="760" t="s">
        <v>727</v>
      </c>
      <c r="B131" s="1458" t="s">
        <v>759</v>
      </c>
      <c r="C131" s="1458"/>
      <c r="D131" s="1458"/>
    </row>
    <row r="132" spans="1:5" x14ac:dyDescent="0.25">
      <c r="A132" s="762"/>
      <c r="B132" s="719"/>
      <c r="C132" s="720"/>
      <c r="D132" s="721"/>
    </row>
    <row r="133" spans="1:5" x14ac:dyDescent="0.25">
      <c r="A133" s="762"/>
      <c r="B133" s="719"/>
      <c r="C133" s="722"/>
      <c r="D133" s="723"/>
    </row>
    <row r="134" spans="1:5" x14ac:dyDescent="0.25">
      <c r="A134" s="763" t="s">
        <v>729</v>
      </c>
      <c r="B134" s="724" t="s">
        <v>730</v>
      </c>
      <c r="C134" s="725" t="s">
        <v>731</v>
      </c>
      <c r="D134" s="726" t="s">
        <v>732</v>
      </c>
      <c r="E134" s="727" t="s">
        <v>98</v>
      </c>
    </row>
    <row r="135" spans="1:5" x14ac:dyDescent="0.25">
      <c r="A135" s="764" t="s">
        <v>733</v>
      </c>
      <c r="B135" s="728">
        <v>5274000</v>
      </c>
      <c r="C135" s="729"/>
      <c r="D135" s="730"/>
      <c r="E135" s="731">
        <f>SUM(B135:D136)</f>
        <v>5274000</v>
      </c>
    </row>
    <row r="136" spans="1:5" x14ac:dyDescent="0.25">
      <c r="A136" s="764" t="s">
        <v>734</v>
      </c>
      <c r="B136" s="728"/>
      <c r="C136" s="729"/>
      <c r="D136" s="732"/>
      <c r="E136" s="731"/>
    </row>
    <row r="137" spans="1:5" x14ac:dyDescent="0.25">
      <c r="A137" s="764" t="s">
        <v>735</v>
      </c>
      <c r="B137" s="728"/>
      <c r="C137" s="729"/>
      <c r="D137" s="732"/>
      <c r="E137" s="731"/>
    </row>
    <row r="138" spans="1:5" x14ac:dyDescent="0.25">
      <c r="A138" s="765" t="s">
        <v>98</v>
      </c>
      <c r="B138" s="733">
        <f>SUM(B135:B137)</f>
        <v>5274000</v>
      </c>
      <c r="C138" s="733">
        <f>SUM(C135:C137)</f>
        <v>0</v>
      </c>
      <c r="D138" s="734">
        <f>SUM(D135:D137)</f>
        <v>0</v>
      </c>
      <c r="E138" s="746">
        <f>B138+C138</f>
        <v>5274000</v>
      </c>
    </row>
    <row r="139" spans="1:5" x14ac:dyDescent="0.25">
      <c r="A139" s="766"/>
      <c r="B139" s="736"/>
      <c r="C139" s="735"/>
      <c r="D139" s="737"/>
      <c r="E139" s="738"/>
    </row>
    <row r="140" spans="1:5" ht="39.6" x14ac:dyDescent="0.25">
      <c r="A140" s="763" t="s">
        <v>736</v>
      </c>
      <c r="B140" s="739" t="s">
        <v>737</v>
      </c>
      <c r="C140" s="740" t="s">
        <v>731</v>
      </c>
      <c r="D140" s="727" t="s">
        <v>732</v>
      </c>
      <c r="E140" s="741" t="s">
        <v>98</v>
      </c>
    </row>
    <row r="141" spans="1:5" x14ac:dyDescent="0.25">
      <c r="A141" s="767" t="s">
        <v>748</v>
      </c>
      <c r="B141" s="728">
        <v>750000</v>
      </c>
      <c r="C141" s="742">
        <f>450000+1100336</f>
        <v>1550336</v>
      </c>
      <c r="D141" s="743"/>
      <c r="E141" s="731">
        <f>SUM(B141:D141)</f>
        <v>2300336</v>
      </c>
    </row>
    <row r="142" spans="1:5" ht="26.4" x14ac:dyDescent="0.25">
      <c r="A142" s="764" t="s">
        <v>739</v>
      </c>
      <c r="B142" s="728">
        <v>146250</v>
      </c>
      <c r="C142" s="742">
        <f>117750+182364</f>
        <v>300114</v>
      </c>
      <c r="D142" s="743"/>
      <c r="E142" s="731">
        <f>SUM(B142:D142)</f>
        <v>446364</v>
      </c>
    </row>
    <row r="143" spans="1:5" x14ac:dyDescent="0.25">
      <c r="A143" s="764" t="s">
        <v>741</v>
      </c>
      <c r="B143" s="728"/>
      <c r="C143" s="742">
        <v>2527300</v>
      </c>
      <c r="D143" s="743"/>
      <c r="E143" s="731">
        <f>SUM(B143:D143)</f>
        <v>2527300</v>
      </c>
    </row>
    <row r="144" spans="1:5" x14ac:dyDescent="0.25">
      <c r="A144" s="764" t="s">
        <v>742</v>
      </c>
      <c r="B144" s="728"/>
      <c r="C144" s="742"/>
      <c r="D144" s="743"/>
      <c r="E144" s="731">
        <f>SUM(B144:D144)</f>
        <v>0</v>
      </c>
    </row>
    <row r="145" spans="1:5" x14ac:dyDescent="0.25">
      <c r="A145" s="764" t="s">
        <v>743</v>
      </c>
      <c r="B145" s="728"/>
      <c r="C145" s="742"/>
      <c r="D145" s="743"/>
      <c r="E145" s="731">
        <f>SUM(B145:D145)</f>
        <v>0</v>
      </c>
    </row>
    <row r="146" spans="1:5" x14ac:dyDescent="0.25">
      <c r="A146" s="765" t="s">
        <v>98</v>
      </c>
      <c r="B146" s="733">
        <f>SUM(B141:B145)</f>
        <v>896250</v>
      </c>
      <c r="C146" s="734">
        <f>SUM(C141:C145)</f>
        <v>4377750</v>
      </c>
      <c r="D146" s="734">
        <f>SUM(D141:D145)</f>
        <v>0</v>
      </c>
      <c r="E146" s="1156">
        <f>SUM(E141:E145)</f>
        <v>5274000</v>
      </c>
    </row>
    <row r="150" spans="1:5" x14ac:dyDescent="0.25">
      <c r="A150" s="761"/>
      <c r="B150" s="716" t="s">
        <v>760</v>
      </c>
      <c r="C150" s="748"/>
      <c r="D150" s="718"/>
      <c r="E150" s="717"/>
    </row>
    <row r="151" spans="1:5" ht="26.4" x14ac:dyDescent="0.25">
      <c r="A151" s="760" t="s">
        <v>727</v>
      </c>
      <c r="B151" s="1458" t="s">
        <v>761</v>
      </c>
      <c r="C151" s="1458"/>
      <c r="D151" s="1458"/>
      <c r="E151" s="1458"/>
    </row>
    <row r="152" spans="1:5" x14ac:dyDescent="0.25">
      <c r="A152" s="762"/>
      <c r="B152" s="719"/>
      <c r="C152" s="721"/>
      <c r="D152" s="721"/>
      <c r="E152" s="720"/>
    </row>
    <row r="153" spans="1:5" x14ac:dyDescent="0.25">
      <c r="A153" s="762"/>
      <c r="B153" s="719"/>
      <c r="C153" s="723"/>
      <c r="D153" s="723"/>
      <c r="E153" s="722"/>
    </row>
    <row r="154" spans="1:5" x14ac:dyDescent="0.25">
      <c r="A154" s="763" t="s">
        <v>729</v>
      </c>
      <c r="B154" s="724" t="s">
        <v>762</v>
      </c>
      <c r="C154" s="725" t="s">
        <v>763</v>
      </c>
      <c r="D154" s="726" t="s">
        <v>731</v>
      </c>
      <c r="E154" s="727" t="s">
        <v>98</v>
      </c>
    </row>
    <row r="155" spans="1:5" x14ac:dyDescent="0.25">
      <c r="A155" s="764" t="s">
        <v>733</v>
      </c>
      <c r="B155" s="728">
        <v>165036339</v>
      </c>
      <c r="C155" s="729"/>
      <c r="D155" s="732">
        <v>5000000</v>
      </c>
      <c r="E155" s="731">
        <f>SUM(B155:D155)</f>
        <v>170036339</v>
      </c>
    </row>
    <row r="156" spans="1:5" x14ac:dyDescent="0.25">
      <c r="A156" s="764" t="s">
        <v>734</v>
      </c>
      <c r="B156" s="728"/>
      <c r="C156" s="729"/>
      <c r="D156" s="732"/>
      <c r="E156" s="731">
        <f>SUM(B156:D156)</f>
        <v>0</v>
      </c>
    </row>
    <row r="157" spans="1:5" x14ac:dyDescent="0.25">
      <c r="A157" s="764" t="s">
        <v>735</v>
      </c>
      <c r="B157" s="728"/>
      <c r="C157" s="729"/>
      <c r="D157" s="732">
        <v>46409619</v>
      </c>
      <c r="E157" s="731">
        <f>SUM(B157:D157)</f>
        <v>46409619</v>
      </c>
    </row>
    <row r="158" spans="1:5" ht="26.4" x14ac:dyDescent="0.25">
      <c r="A158" s="767" t="s">
        <v>747</v>
      </c>
      <c r="B158" s="728"/>
      <c r="C158" s="729">
        <v>7941676</v>
      </c>
      <c r="D158" s="732">
        <v>16267159</v>
      </c>
      <c r="E158" s="731">
        <f>SUM(B158:D158)</f>
        <v>24208835</v>
      </c>
    </row>
    <row r="159" spans="1:5" x14ac:dyDescent="0.25">
      <c r="A159" s="765" t="s">
        <v>98</v>
      </c>
      <c r="B159" s="733">
        <f>SUM(B155:B158)</f>
        <v>165036339</v>
      </c>
      <c r="C159" s="733">
        <f>SUM(C155:C158)</f>
        <v>7941676</v>
      </c>
      <c r="D159" s="733">
        <f>SUM(D155:D158)</f>
        <v>67676778</v>
      </c>
      <c r="E159" s="733">
        <f>SUM(E155:E158)</f>
        <v>240654793</v>
      </c>
    </row>
    <row r="160" spans="1:5" x14ac:dyDescent="0.25">
      <c r="A160" s="766"/>
      <c r="B160" s="736"/>
      <c r="C160" s="735"/>
      <c r="D160" s="737"/>
      <c r="E160" s="738"/>
    </row>
    <row r="161" spans="1:5" ht="39.6" x14ac:dyDescent="0.25">
      <c r="A161" s="763" t="s">
        <v>736</v>
      </c>
      <c r="B161" s="739" t="s">
        <v>764</v>
      </c>
      <c r="C161" s="739" t="s">
        <v>737</v>
      </c>
      <c r="D161" s="727" t="s">
        <v>731</v>
      </c>
      <c r="E161" s="741" t="s">
        <v>98</v>
      </c>
    </row>
    <row r="162" spans="1:5" x14ac:dyDescent="0.25">
      <c r="A162" s="767" t="s">
        <v>748</v>
      </c>
      <c r="B162" s="728"/>
      <c r="C162" s="742">
        <v>208992</v>
      </c>
      <c r="D162" s="743">
        <v>184709</v>
      </c>
      <c r="E162" s="731">
        <f t="shared" ref="E162:E167" si="5">SUM(B162:D162)</f>
        <v>393701</v>
      </c>
    </row>
    <row r="163" spans="1:5" ht="26.4" x14ac:dyDescent="0.25">
      <c r="A163" s="764" t="s">
        <v>739</v>
      </c>
      <c r="B163" s="728"/>
      <c r="C163" s="742">
        <v>40753</v>
      </c>
      <c r="D163" s="743">
        <v>65546</v>
      </c>
      <c r="E163" s="731">
        <f t="shared" si="5"/>
        <v>106299</v>
      </c>
    </row>
    <row r="164" spans="1:5" x14ac:dyDescent="0.25">
      <c r="A164" s="764" t="s">
        <v>741</v>
      </c>
      <c r="B164" s="728"/>
      <c r="C164" s="742">
        <v>2413433</v>
      </c>
      <c r="D164" s="743">
        <f>6977906+54506995</f>
        <v>61484901</v>
      </c>
      <c r="E164" s="731">
        <f t="shared" si="5"/>
        <v>63898334</v>
      </c>
    </row>
    <row r="165" spans="1:5" x14ac:dyDescent="0.25">
      <c r="A165" s="764" t="s">
        <v>742</v>
      </c>
      <c r="B165" s="728"/>
      <c r="C165" s="742"/>
      <c r="D165" s="743"/>
      <c r="E165" s="731">
        <f t="shared" si="5"/>
        <v>0</v>
      </c>
    </row>
    <row r="166" spans="1:5" x14ac:dyDescent="0.25">
      <c r="A166" s="764" t="s">
        <v>743</v>
      </c>
      <c r="B166" s="728"/>
      <c r="C166" s="742">
        <v>27200180</v>
      </c>
      <c r="D166" s="743">
        <f>179354439-54506995</f>
        <v>124847444</v>
      </c>
      <c r="E166" s="731">
        <f t="shared" si="5"/>
        <v>152047624</v>
      </c>
    </row>
    <row r="167" spans="1:5" ht="26.4" x14ac:dyDescent="0.25">
      <c r="A167" s="767" t="s">
        <v>747</v>
      </c>
      <c r="B167" s="728"/>
      <c r="C167" s="742">
        <v>7941676</v>
      </c>
      <c r="D167" s="743">
        <v>16267159</v>
      </c>
      <c r="E167" s="731">
        <f t="shared" si="5"/>
        <v>24208835</v>
      </c>
    </row>
    <row r="168" spans="1:5" x14ac:dyDescent="0.25">
      <c r="A168" s="765" t="s">
        <v>98</v>
      </c>
      <c r="B168" s="733">
        <f>SUM(B162:B167)</f>
        <v>0</v>
      </c>
      <c r="C168" s="733">
        <f>SUM(C162:C167)</f>
        <v>37805034</v>
      </c>
      <c r="D168" s="733">
        <f>SUM(D162:D167)</f>
        <v>202849759</v>
      </c>
      <c r="E168" s="733">
        <f>SUM(E162:E167)</f>
        <v>240654793</v>
      </c>
    </row>
    <row r="169" spans="1:5" x14ac:dyDescent="0.25">
      <c r="A169" s="768"/>
      <c r="B169" s="718"/>
      <c r="C169" s="747"/>
      <c r="D169" s="749"/>
      <c r="E169" s="747"/>
    </row>
    <row r="171" spans="1:5" x14ac:dyDescent="0.25">
      <c r="A171" s="761"/>
      <c r="B171" s="716" t="s">
        <v>765</v>
      </c>
      <c r="C171" s="748"/>
      <c r="D171" s="718"/>
      <c r="E171" s="717"/>
    </row>
    <row r="172" spans="1:5" ht="26.4" x14ac:dyDescent="0.25">
      <c r="A172" s="760" t="s">
        <v>727</v>
      </c>
      <c r="B172" s="1460" t="s">
        <v>766</v>
      </c>
      <c r="C172" s="1460"/>
      <c r="D172" s="1460"/>
      <c r="E172" s="1460"/>
    </row>
    <row r="173" spans="1:5" x14ac:dyDescent="0.25">
      <c r="A173" s="762"/>
      <c r="B173" s="750"/>
      <c r="C173" s="721"/>
      <c r="D173" s="721"/>
      <c r="E173" s="720"/>
    </row>
    <row r="174" spans="1:5" x14ac:dyDescent="0.25">
      <c r="A174" s="762"/>
      <c r="B174" s="719"/>
      <c r="C174" s="723"/>
      <c r="D174" s="723"/>
      <c r="E174" s="722"/>
    </row>
    <row r="175" spans="1:5" x14ac:dyDescent="0.25">
      <c r="A175" s="763" t="s">
        <v>729</v>
      </c>
      <c r="B175" s="724" t="s">
        <v>762</v>
      </c>
      <c r="C175" s="725" t="s">
        <v>763</v>
      </c>
      <c r="D175" s="726" t="s">
        <v>731</v>
      </c>
      <c r="E175" s="727" t="s">
        <v>98</v>
      </c>
    </row>
    <row r="176" spans="1:5" x14ac:dyDescent="0.25">
      <c r="A176" s="764" t="s">
        <v>733</v>
      </c>
      <c r="B176" s="728">
        <v>590000000</v>
      </c>
      <c r="C176" s="729"/>
      <c r="D176" s="732"/>
      <c r="E176" s="731">
        <f>SUM(B176:D176)</f>
        <v>590000000</v>
      </c>
    </row>
    <row r="177" spans="1:5" x14ac:dyDescent="0.25">
      <c r="A177" s="764" t="s">
        <v>734</v>
      </c>
      <c r="B177" s="728"/>
      <c r="C177" s="729"/>
      <c r="D177" s="732"/>
      <c r="E177" s="731">
        <f>SUM(B177:D177)</f>
        <v>0</v>
      </c>
    </row>
    <row r="178" spans="1:5" x14ac:dyDescent="0.25">
      <c r="A178" s="764" t="s">
        <v>735</v>
      </c>
      <c r="B178" s="728"/>
      <c r="C178" s="729"/>
      <c r="D178" s="732"/>
      <c r="E178" s="731">
        <f>SUM(B178:D178)</f>
        <v>0</v>
      </c>
    </row>
    <row r="179" spans="1:5" ht="26.4" x14ac:dyDescent="0.25">
      <c r="A179" s="767" t="s">
        <v>747</v>
      </c>
      <c r="B179" s="728">
        <v>659080</v>
      </c>
      <c r="C179" s="729">
        <v>2903039</v>
      </c>
      <c r="D179" s="732">
        <v>30187881</v>
      </c>
      <c r="E179" s="731">
        <f>SUM(B179:D179)</f>
        <v>33750000</v>
      </c>
    </row>
    <row r="180" spans="1:5" x14ac:dyDescent="0.25">
      <c r="A180" s="765" t="s">
        <v>98</v>
      </c>
      <c r="B180" s="733">
        <f>SUM(B176:B179)</f>
        <v>590659080</v>
      </c>
      <c r="C180" s="733">
        <f>SUM(C176:C179)</f>
        <v>2903039</v>
      </c>
      <c r="D180" s="733">
        <f>SUM(D176:D179)</f>
        <v>30187881</v>
      </c>
      <c r="E180" s="733">
        <f>SUM(E176:E179)</f>
        <v>623750000</v>
      </c>
    </row>
    <row r="181" spans="1:5" x14ac:dyDescent="0.25">
      <c r="A181" s="766"/>
      <c r="B181" s="736"/>
      <c r="C181" s="735"/>
      <c r="D181" s="737"/>
      <c r="E181" s="738"/>
    </row>
    <row r="182" spans="1:5" ht="39.6" x14ac:dyDescent="0.25">
      <c r="A182" s="763" t="s">
        <v>736</v>
      </c>
      <c r="B182" s="739" t="s">
        <v>764</v>
      </c>
      <c r="C182" s="739" t="s">
        <v>737</v>
      </c>
      <c r="D182" s="727" t="s">
        <v>731</v>
      </c>
      <c r="E182" s="741" t="s">
        <v>98</v>
      </c>
    </row>
    <row r="183" spans="1:5" x14ac:dyDescent="0.25">
      <c r="A183" s="767" t="s">
        <v>748</v>
      </c>
      <c r="B183" s="728"/>
      <c r="C183" s="742"/>
      <c r="D183" s="743"/>
      <c r="E183" s="731">
        <f t="shared" ref="E183:E189" si="6">SUM(B183:D183)</f>
        <v>0</v>
      </c>
    </row>
    <row r="184" spans="1:5" ht="26.4" x14ac:dyDescent="0.25">
      <c r="A184" s="764" t="s">
        <v>739</v>
      </c>
      <c r="B184" s="728"/>
      <c r="C184" s="742"/>
      <c r="D184" s="743"/>
      <c r="E184" s="731">
        <f t="shared" si="6"/>
        <v>0</v>
      </c>
    </row>
    <row r="185" spans="1:5" x14ac:dyDescent="0.25">
      <c r="A185" s="764" t="s">
        <v>741</v>
      </c>
      <c r="B185" s="728">
        <v>2441040</v>
      </c>
      <c r="C185" s="742">
        <v>2846995</v>
      </c>
      <c r="D185" s="743">
        <v>0</v>
      </c>
      <c r="E185" s="731">
        <f t="shared" si="6"/>
        <v>5288035</v>
      </c>
    </row>
    <row r="186" spans="1:5" x14ac:dyDescent="0.25">
      <c r="A186" s="764" t="s">
        <v>742</v>
      </c>
      <c r="B186" s="728"/>
      <c r="C186" s="742"/>
      <c r="D186" s="743">
        <v>0</v>
      </c>
      <c r="E186" s="731">
        <f t="shared" si="6"/>
        <v>0</v>
      </c>
    </row>
    <row r="187" spans="1:5" x14ac:dyDescent="0.25">
      <c r="A187" s="764" t="s">
        <v>743</v>
      </c>
      <c r="B187" s="728"/>
      <c r="C187" s="742">
        <v>7905000</v>
      </c>
      <c r="D187" s="743">
        <v>0</v>
      </c>
      <c r="E187" s="731">
        <f t="shared" si="6"/>
        <v>7905000</v>
      </c>
    </row>
    <row r="188" spans="1:5" ht="26.4" x14ac:dyDescent="0.25">
      <c r="A188" s="1348" t="s">
        <v>747</v>
      </c>
      <c r="B188" s="752">
        <v>659080</v>
      </c>
      <c r="C188" s="753">
        <v>2903039</v>
      </c>
      <c r="D188" s="754">
        <v>0</v>
      </c>
      <c r="E188" s="1349">
        <f t="shared" si="6"/>
        <v>3562119</v>
      </c>
    </row>
    <row r="189" spans="1:5" ht="39.6" x14ac:dyDescent="0.25">
      <c r="A189" s="1351" t="s">
        <v>252</v>
      </c>
      <c r="B189" s="743"/>
      <c r="C189" s="755"/>
      <c r="D189" s="743">
        <v>590000000</v>
      </c>
      <c r="E189" s="731">
        <f t="shared" si="6"/>
        <v>590000000</v>
      </c>
    </row>
    <row r="190" spans="1:5" x14ac:dyDescent="0.25">
      <c r="A190" s="1350" t="s">
        <v>98</v>
      </c>
      <c r="B190" s="756">
        <f>SUM(B183:B188)</f>
        <v>3100120</v>
      </c>
      <c r="C190" s="756">
        <f>SUM(C183:C188)</f>
        <v>13655034</v>
      </c>
      <c r="D190" s="756">
        <f>SUM(D183:D189)</f>
        <v>590000000</v>
      </c>
      <c r="E190" s="756">
        <f>SUM(E183:E189)</f>
        <v>606755154</v>
      </c>
    </row>
    <row r="191" spans="1:5" x14ac:dyDescent="0.25">
      <c r="A191" s="768"/>
      <c r="D191" s="751"/>
    </row>
    <row r="192" spans="1:5" x14ac:dyDescent="0.25">
      <c r="D192" s="444"/>
    </row>
    <row r="193" spans="1:5" x14ac:dyDescent="0.25">
      <c r="A193" s="761"/>
      <c r="B193" s="716" t="s">
        <v>767</v>
      </c>
      <c r="C193" s="748"/>
      <c r="D193" s="718"/>
      <c r="E193" s="717"/>
    </row>
    <row r="194" spans="1:5" ht="26.4" x14ac:dyDescent="0.25">
      <c r="A194" s="760" t="s">
        <v>727</v>
      </c>
      <c r="B194" s="1458" t="s">
        <v>768</v>
      </c>
      <c r="C194" s="1458"/>
      <c r="D194" s="1458"/>
      <c r="E194" s="1458"/>
    </row>
    <row r="195" spans="1:5" x14ac:dyDescent="0.25">
      <c r="A195" s="762"/>
      <c r="B195" s="719"/>
      <c r="C195" s="721"/>
      <c r="D195" s="721"/>
      <c r="E195" s="720"/>
    </row>
    <row r="196" spans="1:5" x14ac:dyDescent="0.25">
      <c r="A196" s="762"/>
      <c r="B196" s="719"/>
      <c r="C196" s="723"/>
      <c r="D196" s="723"/>
      <c r="E196" s="722"/>
    </row>
    <row r="197" spans="1:5" x14ac:dyDescent="0.25">
      <c r="A197" s="763" t="s">
        <v>729</v>
      </c>
      <c r="B197" s="724" t="s">
        <v>762</v>
      </c>
      <c r="C197" s="725" t="s">
        <v>763</v>
      </c>
      <c r="D197" s="726" t="s">
        <v>731</v>
      </c>
      <c r="E197" s="727" t="s">
        <v>98</v>
      </c>
    </row>
    <row r="198" spans="1:5" x14ac:dyDescent="0.25">
      <c r="A198" s="764" t="s">
        <v>733</v>
      </c>
      <c r="B198" s="728">
        <v>59937000</v>
      </c>
      <c r="C198" s="729"/>
      <c r="D198" s="732"/>
      <c r="E198" s="731">
        <f>SUM(B198:D198)</f>
        <v>59937000</v>
      </c>
    </row>
    <row r="199" spans="1:5" x14ac:dyDescent="0.25">
      <c r="A199" s="764" t="s">
        <v>734</v>
      </c>
      <c r="B199" s="728"/>
      <c r="C199" s="729"/>
      <c r="D199" s="732"/>
      <c r="E199" s="731">
        <f>SUM(B199:D199)</f>
        <v>0</v>
      </c>
    </row>
    <row r="200" spans="1:5" x14ac:dyDescent="0.25">
      <c r="A200" s="764" t="s">
        <v>735</v>
      </c>
      <c r="B200" s="728"/>
      <c r="C200" s="729"/>
      <c r="D200" s="732">
        <v>54713714</v>
      </c>
      <c r="E200" s="731">
        <f>SUM(B200:D200)</f>
        <v>54713714</v>
      </c>
    </row>
    <row r="201" spans="1:5" x14ac:dyDescent="0.25">
      <c r="A201" s="765" t="s">
        <v>98</v>
      </c>
      <c r="B201" s="733">
        <f>SUM(B198:B200)</f>
        <v>59937000</v>
      </c>
      <c r="C201" s="733">
        <f>SUM(C198:C200)</f>
        <v>0</v>
      </c>
      <c r="D201" s="733">
        <f>SUM(D198:D200)</f>
        <v>54713714</v>
      </c>
      <c r="E201" s="733">
        <f>SUM(E198:E200)</f>
        <v>114650714</v>
      </c>
    </row>
    <row r="202" spans="1:5" x14ac:dyDescent="0.25">
      <c r="A202" s="766"/>
      <c r="B202" s="736"/>
      <c r="C202" s="735"/>
      <c r="D202" s="737"/>
      <c r="E202" s="738"/>
    </row>
    <row r="203" spans="1:5" ht="39.6" x14ac:dyDescent="0.25">
      <c r="A203" s="763" t="s">
        <v>736</v>
      </c>
      <c r="B203" s="739" t="s">
        <v>764</v>
      </c>
      <c r="C203" s="739" t="s">
        <v>737</v>
      </c>
      <c r="D203" s="727" t="s">
        <v>731</v>
      </c>
      <c r="E203" s="741" t="s">
        <v>98</v>
      </c>
    </row>
    <row r="204" spans="1:5" x14ac:dyDescent="0.25">
      <c r="A204" s="767" t="s">
        <v>748</v>
      </c>
      <c r="B204" s="728"/>
      <c r="C204" s="742">
        <v>362510</v>
      </c>
      <c r="D204" s="743">
        <v>661112</v>
      </c>
      <c r="E204" s="731">
        <f t="shared" ref="E204:E209" si="7">SUM(C204:D204)</f>
        <v>1023622</v>
      </c>
    </row>
    <row r="205" spans="1:5" ht="26.4" x14ac:dyDescent="0.25">
      <c r="A205" s="764" t="s">
        <v>739</v>
      </c>
      <c r="B205" s="728"/>
      <c r="C205" s="742">
        <v>70689</v>
      </c>
      <c r="D205" s="743">
        <v>205689</v>
      </c>
      <c r="E205" s="731">
        <f t="shared" si="7"/>
        <v>276378</v>
      </c>
    </row>
    <row r="206" spans="1:5" x14ac:dyDescent="0.25">
      <c r="A206" s="764" t="s">
        <v>741</v>
      </c>
      <c r="B206" s="728"/>
      <c r="C206" s="742">
        <v>208000</v>
      </c>
      <c r="D206" s="743">
        <v>2219000</v>
      </c>
      <c r="E206" s="731">
        <f t="shared" si="7"/>
        <v>2427000</v>
      </c>
    </row>
    <row r="207" spans="1:5" x14ac:dyDescent="0.25">
      <c r="A207" s="764" t="s">
        <v>742</v>
      </c>
      <c r="B207" s="728"/>
      <c r="C207" s="742">
        <v>0</v>
      </c>
      <c r="D207" s="743"/>
      <c r="E207" s="731">
        <f t="shared" si="7"/>
        <v>0</v>
      </c>
    </row>
    <row r="208" spans="1:5" x14ac:dyDescent="0.25">
      <c r="A208" s="764" t="s">
        <v>743</v>
      </c>
      <c r="B208" s="752"/>
      <c r="C208" s="753">
        <v>5193270</v>
      </c>
      <c r="D208" s="754">
        <v>83425954</v>
      </c>
      <c r="E208" s="731">
        <f t="shared" si="7"/>
        <v>88619224</v>
      </c>
    </row>
    <row r="209" spans="1:5" ht="26.4" x14ac:dyDescent="0.25">
      <c r="A209" s="770" t="s">
        <v>769</v>
      </c>
      <c r="B209" s="743"/>
      <c r="C209" s="755"/>
      <c r="D209" s="743">
        <v>22304490</v>
      </c>
      <c r="E209" s="731">
        <f t="shared" si="7"/>
        <v>22304490</v>
      </c>
    </row>
    <row r="210" spans="1:5" x14ac:dyDescent="0.25">
      <c r="A210" s="765" t="s">
        <v>98</v>
      </c>
      <c r="B210" s="756">
        <f>SUM(B204:B208)</f>
        <v>0</v>
      </c>
      <c r="C210" s="756">
        <f>SUM(C204:C208)</f>
        <v>5834469</v>
      </c>
      <c r="D210" s="756">
        <f>SUM(D204:D209)</f>
        <v>108816245</v>
      </c>
      <c r="E210" s="756">
        <f>SUM(E204:E209)</f>
        <v>114650714</v>
      </c>
    </row>
    <row r="211" spans="1:5" x14ac:dyDescent="0.25">
      <c r="D211" s="751"/>
    </row>
    <row r="212" spans="1:5" x14ac:dyDescent="0.25">
      <c r="D212" s="751"/>
    </row>
    <row r="213" spans="1:5" x14ac:dyDescent="0.25">
      <c r="B213" s="167" t="s">
        <v>770</v>
      </c>
      <c r="C213" s="167"/>
    </row>
    <row r="214" spans="1:5" ht="26.4" x14ac:dyDescent="0.25">
      <c r="A214" s="760" t="s">
        <v>727</v>
      </c>
      <c r="B214" s="1460" t="s">
        <v>771</v>
      </c>
      <c r="C214" s="1460"/>
      <c r="D214" s="1460"/>
      <c r="E214" s="1460"/>
    </row>
    <row r="215" spans="1:5" x14ac:dyDescent="0.25">
      <c r="A215" s="762"/>
      <c r="B215" s="750"/>
      <c r="C215" s="721"/>
      <c r="D215" s="721"/>
      <c r="E215" s="720"/>
    </row>
    <row r="216" spans="1:5" x14ac:dyDescent="0.25">
      <c r="A216" s="762"/>
      <c r="B216" s="719"/>
      <c r="C216" s="723"/>
      <c r="D216" s="723"/>
      <c r="E216" s="722"/>
    </row>
    <row r="217" spans="1:5" x14ac:dyDescent="0.25">
      <c r="A217" s="763" t="s">
        <v>729</v>
      </c>
      <c r="B217" s="724" t="s">
        <v>730</v>
      </c>
      <c r="C217" s="725" t="s">
        <v>772</v>
      </c>
      <c r="D217" s="726" t="s">
        <v>732</v>
      </c>
      <c r="E217" s="727" t="s">
        <v>98</v>
      </c>
    </row>
    <row r="218" spans="1:5" x14ac:dyDescent="0.25">
      <c r="A218" s="764" t="s">
        <v>733</v>
      </c>
      <c r="B218" s="728">
        <v>247456250</v>
      </c>
      <c r="C218" s="729">
        <v>629529250</v>
      </c>
      <c r="D218" s="732"/>
      <c r="E218" s="731">
        <f>SUM(B218:D218)</f>
        <v>876985500</v>
      </c>
    </row>
    <row r="219" spans="1:5" x14ac:dyDescent="0.25">
      <c r="A219" s="764" t="s">
        <v>734</v>
      </c>
      <c r="B219" s="728"/>
      <c r="C219" s="729"/>
      <c r="D219" s="732"/>
      <c r="E219" s="731">
        <f t="shared" ref="E219:E221" si="8">SUM(B219:D219)</f>
        <v>0</v>
      </c>
    </row>
    <row r="220" spans="1:5" x14ac:dyDescent="0.25">
      <c r="A220" s="764" t="s">
        <v>735</v>
      </c>
      <c r="B220" s="728"/>
      <c r="C220" s="729">
        <f>88077500+44450000</f>
        <v>132527500</v>
      </c>
      <c r="D220" s="732"/>
      <c r="E220" s="731">
        <f t="shared" si="8"/>
        <v>132527500</v>
      </c>
    </row>
    <row r="221" spans="1:5" ht="26.4" x14ac:dyDescent="0.25">
      <c r="A221" s="767" t="s">
        <v>747</v>
      </c>
      <c r="B221" s="728"/>
      <c r="C221" s="729">
        <v>13701150</v>
      </c>
      <c r="D221" s="732"/>
      <c r="E221" s="731">
        <f t="shared" si="8"/>
        <v>13701150</v>
      </c>
    </row>
    <row r="222" spans="1:5" x14ac:dyDescent="0.25">
      <c r="A222" s="765" t="s">
        <v>98</v>
      </c>
      <c r="B222" s="733">
        <f>SUM(B218:B221)</f>
        <v>247456250</v>
      </c>
      <c r="C222" s="733">
        <f>SUM(C218:C221)</f>
        <v>775757900</v>
      </c>
      <c r="D222" s="733">
        <f t="shared" ref="D222" si="9">SUM(D218:D221)</f>
        <v>0</v>
      </c>
      <c r="E222" s="733">
        <f>SUM(E218:E221)</f>
        <v>1023214150</v>
      </c>
    </row>
    <row r="223" spans="1:5" x14ac:dyDescent="0.25">
      <c r="A223" s="766"/>
      <c r="B223" s="736"/>
      <c r="C223" s="735"/>
      <c r="D223" s="737"/>
      <c r="E223" s="738"/>
    </row>
    <row r="224" spans="1:5" ht="39.6" x14ac:dyDescent="0.25">
      <c r="A224" s="763" t="s">
        <v>736</v>
      </c>
      <c r="B224" s="739" t="s">
        <v>773</v>
      </c>
      <c r="C224" s="725" t="s">
        <v>772</v>
      </c>
      <c r="D224" s="726" t="s">
        <v>732</v>
      </c>
      <c r="E224" s="741" t="s">
        <v>98</v>
      </c>
    </row>
    <row r="225" spans="1:5" x14ac:dyDescent="0.25">
      <c r="A225" s="767" t="s">
        <v>748</v>
      </c>
      <c r="B225" s="728"/>
      <c r="C225" s="742"/>
      <c r="D225" s="743"/>
      <c r="E225" s="731">
        <f t="shared" ref="E225:E231" si="10">SUM(B225:D225)</f>
        <v>0</v>
      </c>
    </row>
    <row r="226" spans="1:5" ht="26.4" x14ac:dyDescent="0.25">
      <c r="A226" s="764" t="s">
        <v>739</v>
      </c>
      <c r="B226" s="728"/>
      <c r="C226" s="742"/>
      <c r="D226" s="743"/>
      <c r="E226" s="731">
        <f t="shared" si="10"/>
        <v>0</v>
      </c>
    </row>
    <row r="227" spans="1:5" x14ac:dyDescent="0.25">
      <c r="A227" s="764" t="s">
        <v>741</v>
      </c>
      <c r="B227" s="728"/>
      <c r="C227" s="742">
        <v>39052500</v>
      </c>
      <c r="D227" s="743"/>
      <c r="E227" s="731">
        <f t="shared" si="10"/>
        <v>39052500</v>
      </c>
    </row>
    <row r="228" spans="1:5" x14ac:dyDescent="0.25">
      <c r="A228" s="764" t="s">
        <v>742</v>
      </c>
      <c r="B228" s="728"/>
      <c r="C228" s="742"/>
      <c r="D228" s="743"/>
      <c r="E228" s="731">
        <f t="shared" si="10"/>
        <v>0</v>
      </c>
    </row>
    <row r="229" spans="1:5" x14ac:dyDescent="0.25">
      <c r="A229" s="764" t="s">
        <v>743</v>
      </c>
      <c r="B229" s="728"/>
      <c r="C229" s="742">
        <f>840154752+44450000</f>
        <v>884604752</v>
      </c>
      <c r="D229" s="743"/>
      <c r="E229" s="731">
        <f t="shared" si="10"/>
        <v>884604752</v>
      </c>
    </row>
    <row r="230" spans="1:5" ht="26.4" x14ac:dyDescent="0.25">
      <c r="A230" s="767" t="s">
        <v>774</v>
      </c>
      <c r="B230" s="728"/>
      <c r="C230" s="742">
        <v>85855748</v>
      </c>
      <c r="D230" s="743"/>
      <c r="E230" s="731">
        <f t="shared" si="10"/>
        <v>85855748</v>
      </c>
    </row>
    <row r="231" spans="1:5" ht="26.4" x14ac:dyDescent="0.25">
      <c r="A231" s="767" t="s">
        <v>747</v>
      </c>
      <c r="B231" s="728">
        <v>0</v>
      </c>
      <c r="C231" s="742">
        <v>13701150</v>
      </c>
      <c r="D231" s="743"/>
      <c r="E231" s="731">
        <f t="shared" si="10"/>
        <v>13701150</v>
      </c>
    </row>
    <row r="232" spans="1:5" x14ac:dyDescent="0.25">
      <c r="A232" s="765" t="s">
        <v>98</v>
      </c>
      <c r="B232" s="733">
        <f>SUM(B225:B231)</f>
        <v>0</v>
      </c>
      <c r="C232" s="733">
        <f>SUM(C225:C231)</f>
        <v>1023214150</v>
      </c>
      <c r="D232" s="733">
        <f>SUM(D225:D231)</f>
        <v>0</v>
      </c>
      <c r="E232" s="733">
        <f>SUM(E225:E231)</f>
        <v>1023214150</v>
      </c>
    </row>
    <row r="233" spans="1:5" x14ac:dyDescent="0.25">
      <c r="C233" s="757"/>
    </row>
    <row r="235" spans="1:5" x14ac:dyDescent="0.25">
      <c r="A235" s="761"/>
      <c r="B235" s="716" t="s">
        <v>775</v>
      </c>
      <c r="C235" s="748"/>
      <c r="D235" s="718"/>
      <c r="E235" s="717"/>
    </row>
    <row r="236" spans="1:5" ht="26.4" x14ac:dyDescent="0.25">
      <c r="A236" s="760" t="s">
        <v>727</v>
      </c>
      <c r="B236" s="1458" t="s">
        <v>776</v>
      </c>
      <c r="C236" s="1458"/>
      <c r="D236" s="1458"/>
      <c r="E236" s="1458"/>
    </row>
    <row r="237" spans="1:5" x14ac:dyDescent="0.25">
      <c r="A237" s="762"/>
      <c r="B237" s="719"/>
      <c r="C237" s="721"/>
      <c r="D237" s="721"/>
      <c r="E237" s="720"/>
    </row>
    <row r="238" spans="1:5" x14ac:dyDescent="0.25">
      <c r="A238" s="762"/>
      <c r="B238" s="719"/>
      <c r="C238" s="723"/>
      <c r="D238" s="723"/>
      <c r="E238" s="722"/>
    </row>
    <row r="239" spans="1:5" x14ac:dyDescent="0.25">
      <c r="A239" s="763" t="s">
        <v>729</v>
      </c>
      <c r="B239" s="739" t="s">
        <v>777</v>
      </c>
      <c r="C239" s="725" t="s">
        <v>730</v>
      </c>
      <c r="D239" s="758" t="s">
        <v>778</v>
      </c>
      <c r="E239" s="741" t="s">
        <v>98</v>
      </c>
    </row>
    <row r="240" spans="1:5" x14ac:dyDescent="0.25">
      <c r="A240" s="764" t="s">
        <v>733</v>
      </c>
      <c r="B240" s="728">
        <v>9000000</v>
      </c>
      <c r="C240" s="728"/>
      <c r="D240" s="728"/>
      <c r="E240" s="729">
        <f>SUM(B240:D240)</f>
        <v>9000000</v>
      </c>
    </row>
    <row r="241" spans="1:5" x14ac:dyDescent="0.25">
      <c r="A241" s="764" t="s">
        <v>734</v>
      </c>
      <c r="B241" s="728"/>
      <c r="C241" s="728"/>
      <c r="D241" s="728"/>
      <c r="E241" s="729">
        <f>SUM(B241:D241)</f>
        <v>0</v>
      </c>
    </row>
    <row r="242" spans="1:5" x14ac:dyDescent="0.25">
      <c r="A242" s="764" t="s">
        <v>735</v>
      </c>
      <c r="B242" s="728"/>
      <c r="C242" s="728"/>
      <c r="D242" s="728"/>
      <c r="E242" s="729">
        <f>SUM(B242:D242)</f>
        <v>0</v>
      </c>
    </row>
    <row r="243" spans="1:5" x14ac:dyDescent="0.25">
      <c r="A243" s="765" t="s">
        <v>98</v>
      </c>
      <c r="B243" s="733">
        <f>SUM(B240:B242)</f>
        <v>9000000</v>
      </c>
      <c r="C243" s="733">
        <f>SUM(C240:C242)</f>
        <v>0</v>
      </c>
      <c r="D243" s="733">
        <f>SUM(D240:D242)</f>
        <v>0</v>
      </c>
      <c r="E243" s="733">
        <f>SUM(E240:E242)</f>
        <v>9000000</v>
      </c>
    </row>
    <row r="244" spans="1:5" x14ac:dyDescent="0.25">
      <c r="A244" s="766"/>
      <c r="B244" s="736"/>
      <c r="C244" s="736"/>
      <c r="D244" s="736"/>
      <c r="E244" s="735"/>
    </row>
    <row r="245" spans="1:5" ht="39.6" x14ac:dyDescent="0.25">
      <c r="A245" s="763" t="s">
        <v>736</v>
      </c>
      <c r="B245" s="739" t="s">
        <v>764</v>
      </c>
      <c r="C245" s="739" t="s">
        <v>737</v>
      </c>
      <c r="D245" s="727" t="s">
        <v>731</v>
      </c>
      <c r="E245" s="741" t="s">
        <v>98</v>
      </c>
    </row>
    <row r="246" spans="1:5" x14ac:dyDescent="0.25">
      <c r="A246" s="764" t="s">
        <v>779</v>
      </c>
      <c r="B246" s="728"/>
      <c r="C246" s="728">
        <v>376769</v>
      </c>
      <c r="D246" s="728">
        <v>176509</v>
      </c>
      <c r="E246" s="729">
        <f>SUM(C246:D246)</f>
        <v>553278</v>
      </c>
    </row>
    <row r="247" spans="1:5" ht="26.4" x14ac:dyDescent="0.25">
      <c r="A247" s="764" t="s">
        <v>739</v>
      </c>
      <c r="B247" s="728"/>
      <c r="C247" s="728">
        <v>73430</v>
      </c>
      <c r="D247" s="728">
        <v>48292</v>
      </c>
      <c r="E247" s="729">
        <f>SUM(C247:D247)</f>
        <v>121722</v>
      </c>
    </row>
    <row r="248" spans="1:5" x14ac:dyDescent="0.25">
      <c r="A248" s="764" t="s">
        <v>741</v>
      </c>
      <c r="B248" s="728"/>
      <c r="C248" s="728">
        <v>55127</v>
      </c>
      <c r="D248" s="728">
        <v>6109875</v>
      </c>
      <c r="E248" s="729">
        <f>SUM(C248:D248)</f>
        <v>6165002</v>
      </c>
    </row>
    <row r="249" spans="1:5" x14ac:dyDescent="0.25">
      <c r="A249" s="764" t="s">
        <v>742</v>
      </c>
      <c r="B249" s="728"/>
      <c r="C249" s="728"/>
      <c r="D249" s="728"/>
      <c r="E249" s="729">
        <f>SUM(C249:D249)</f>
        <v>0</v>
      </c>
    </row>
    <row r="250" spans="1:5" x14ac:dyDescent="0.25">
      <c r="A250" s="764" t="s">
        <v>743</v>
      </c>
      <c r="B250" s="728"/>
      <c r="C250" s="728">
        <v>2159998</v>
      </c>
      <c r="D250" s="728">
        <v>0</v>
      </c>
      <c r="E250" s="729">
        <f>SUM(C250:D250)</f>
        <v>2159998</v>
      </c>
    </row>
    <row r="251" spans="1:5" x14ac:dyDescent="0.25">
      <c r="A251" s="765" t="s">
        <v>98</v>
      </c>
      <c r="B251" s="733">
        <f>SUM(B246:B250)</f>
        <v>0</v>
      </c>
      <c r="C251" s="733">
        <f>SUM(C246:C250)</f>
        <v>2665324</v>
      </c>
      <c r="D251" s="733">
        <f>SUM(D246:D250)</f>
        <v>6334676</v>
      </c>
      <c r="E251" s="733">
        <f>SUM(E246:E250)</f>
        <v>9000000</v>
      </c>
    </row>
    <row r="253" spans="1:5" x14ac:dyDescent="0.25">
      <c r="A253" s="761"/>
      <c r="B253" s="716" t="s">
        <v>780</v>
      </c>
      <c r="C253" s="748"/>
      <c r="D253" s="718"/>
      <c r="E253" s="717"/>
    </row>
    <row r="254" spans="1:5" ht="26.4" x14ac:dyDescent="0.25">
      <c r="A254" s="760" t="s">
        <v>727</v>
      </c>
      <c r="B254" s="1458" t="s">
        <v>781</v>
      </c>
      <c r="C254" s="1458"/>
      <c r="D254" s="1458"/>
      <c r="E254" s="1458"/>
    </row>
    <row r="255" spans="1:5" x14ac:dyDescent="0.25">
      <c r="A255" s="762"/>
      <c r="B255" s="719"/>
      <c r="C255" s="721"/>
      <c r="D255" s="721"/>
      <c r="E255" s="720"/>
    </row>
    <row r="256" spans="1:5" x14ac:dyDescent="0.25">
      <c r="A256" s="762"/>
      <c r="B256" s="719"/>
      <c r="C256" s="723"/>
      <c r="D256" s="723"/>
      <c r="E256" s="722"/>
    </row>
    <row r="257" spans="1:5" x14ac:dyDescent="0.25">
      <c r="A257" s="763" t="s">
        <v>729</v>
      </c>
      <c r="B257" s="739" t="s">
        <v>777</v>
      </c>
      <c r="C257" s="725" t="s">
        <v>730</v>
      </c>
      <c r="D257" s="758" t="s">
        <v>778</v>
      </c>
      <c r="E257" s="741" t="s">
        <v>98</v>
      </c>
    </row>
    <row r="258" spans="1:5" x14ac:dyDescent="0.25">
      <c r="A258" s="764" t="s">
        <v>733</v>
      </c>
      <c r="B258" s="728">
        <v>76775000</v>
      </c>
      <c r="C258" s="728"/>
      <c r="D258" s="728"/>
      <c r="E258" s="729">
        <f>SUM(B258:D258)</f>
        <v>76775000</v>
      </c>
    </row>
    <row r="259" spans="1:5" x14ac:dyDescent="0.25">
      <c r="A259" s="764" t="s">
        <v>734</v>
      </c>
      <c r="B259" s="728"/>
      <c r="C259" s="728"/>
      <c r="D259" s="728"/>
      <c r="E259" s="729">
        <f t="shared" ref="E259:E260" si="11">SUM(B259:D259)</f>
        <v>0</v>
      </c>
    </row>
    <row r="260" spans="1:5" x14ac:dyDescent="0.25">
      <c r="A260" s="764" t="s">
        <v>735</v>
      </c>
      <c r="B260" s="728">
        <v>0</v>
      </c>
      <c r="C260" s="728"/>
      <c r="D260" s="728"/>
      <c r="E260" s="729">
        <f t="shared" si="11"/>
        <v>0</v>
      </c>
    </row>
    <row r="261" spans="1:5" x14ac:dyDescent="0.25">
      <c r="A261" s="765" t="s">
        <v>98</v>
      </c>
      <c r="B261" s="733">
        <f>SUM(B258:B260)</f>
        <v>76775000</v>
      </c>
      <c r="C261" s="733">
        <f>SUM(C258:C260)</f>
        <v>0</v>
      </c>
      <c r="D261" s="733">
        <f>SUM(D258:D260)</f>
        <v>0</v>
      </c>
      <c r="E261" s="733">
        <f>SUM(E258:E260)</f>
        <v>76775000</v>
      </c>
    </row>
    <row r="262" spans="1:5" x14ac:dyDescent="0.25">
      <c r="A262" s="766"/>
      <c r="B262" s="736"/>
      <c r="C262" s="736"/>
      <c r="D262" s="736"/>
      <c r="E262" s="735"/>
    </row>
    <row r="263" spans="1:5" ht="39.6" x14ac:dyDescent="0.25">
      <c r="A263" s="763" t="s">
        <v>736</v>
      </c>
      <c r="B263" s="739" t="s">
        <v>764</v>
      </c>
      <c r="C263" s="739" t="s">
        <v>737</v>
      </c>
      <c r="D263" s="727" t="s">
        <v>731</v>
      </c>
      <c r="E263" s="741" t="s">
        <v>98</v>
      </c>
    </row>
    <row r="264" spans="1:5" x14ac:dyDescent="0.25">
      <c r="A264" s="764" t="s">
        <v>779</v>
      </c>
      <c r="B264" s="728">
        <v>1652672</v>
      </c>
      <c r="C264" s="728">
        <v>6524784</v>
      </c>
      <c r="D264" s="728">
        <f>11682778+2297872</f>
        <v>13980650</v>
      </c>
      <c r="E264" s="729">
        <f>SUM(B264:D264)</f>
        <v>22158106</v>
      </c>
    </row>
    <row r="265" spans="1:5" ht="26.4" x14ac:dyDescent="0.25">
      <c r="A265" s="764" t="s">
        <v>739</v>
      </c>
      <c r="B265" s="728">
        <v>363388</v>
      </c>
      <c r="C265" s="728">
        <v>1218459</v>
      </c>
      <c r="D265" s="728">
        <f>2379919+402128</f>
        <v>2782047</v>
      </c>
      <c r="E265" s="729">
        <f>SUM(B265:D265)</f>
        <v>4363894</v>
      </c>
    </row>
    <row r="266" spans="1:5" x14ac:dyDescent="0.25">
      <c r="A266" s="764" t="s">
        <v>741</v>
      </c>
      <c r="B266" s="728">
        <v>22595500</v>
      </c>
      <c r="C266" s="728">
        <v>293634</v>
      </c>
      <c r="D266" s="728">
        <f>30063866-2700000-845000</f>
        <v>26518866</v>
      </c>
      <c r="E266" s="729">
        <f>SUM(B266:D266)</f>
        <v>49408000</v>
      </c>
    </row>
    <row r="267" spans="1:5" x14ac:dyDescent="0.25">
      <c r="A267" s="764" t="s">
        <v>742</v>
      </c>
      <c r="B267" s="728"/>
      <c r="C267" s="728"/>
      <c r="D267" s="728"/>
      <c r="E267" s="729">
        <f>SUM(B267:D267)</f>
        <v>0</v>
      </c>
    </row>
    <row r="268" spans="1:5" x14ac:dyDescent="0.25">
      <c r="A268" s="764" t="s">
        <v>743</v>
      </c>
      <c r="B268" s="728"/>
      <c r="C268" s="728"/>
      <c r="D268" s="728">
        <v>845000</v>
      </c>
      <c r="E268" s="729">
        <f>SUM(B268:D268)</f>
        <v>845000</v>
      </c>
    </row>
    <row r="269" spans="1:5" x14ac:dyDescent="0.25">
      <c r="A269" s="765" t="s">
        <v>98</v>
      </c>
      <c r="B269" s="733">
        <f>SUM(B264:B268)</f>
        <v>24611560</v>
      </c>
      <c r="C269" s="733">
        <f>SUM(C264:C268)</f>
        <v>8036877</v>
      </c>
      <c r="D269" s="733">
        <f>SUM(D264:D268)</f>
        <v>44126563</v>
      </c>
      <c r="E269" s="733">
        <f>SUM(E264:E268)</f>
        <v>76775000</v>
      </c>
    </row>
    <row r="272" spans="1:5" x14ac:dyDescent="0.25">
      <c r="A272" s="761"/>
      <c r="B272" s="716" t="s">
        <v>782</v>
      </c>
      <c r="C272" s="717"/>
      <c r="D272" s="718"/>
    </row>
    <row r="273" spans="1:5" ht="25.5" customHeight="1" x14ac:dyDescent="0.25">
      <c r="A273" s="760" t="s">
        <v>727</v>
      </c>
      <c r="B273" s="1458" t="s">
        <v>783</v>
      </c>
      <c r="C273" s="1458"/>
      <c r="D273" s="1458"/>
      <c r="E273" s="1458"/>
    </row>
    <row r="274" spans="1:5" x14ac:dyDescent="0.25">
      <c r="A274" s="762"/>
      <c r="B274" s="1458"/>
      <c r="C274" s="1458"/>
      <c r="D274" s="1458"/>
      <c r="E274" s="1458"/>
    </row>
    <row r="275" spans="1:5" x14ac:dyDescent="0.25">
      <c r="A275" s="762"/>
      <c r="B275" s="719"/>
      <c r="C275" s="722"/>
      <c r="D275" s="723"/>
    </row>
    <row r="276" spans="1:5" x14ac:dyDescent="0.25">
      <c r="A276" s="763" t="s">
        <v>729</v>
      </c>
      <c r="B276" s="724" t="s">
        <v>730</v>
      </c>
      <c r="C276" s="725" t="s">
        <v>731</v>
      </c>
      <c r="D276" s="726" t="s">
        <v>732</v>
      </c>
      <c r="E276" s="727" t="s">
        <v>98</v>
      </c>
    </row>
    <row r="277" spans="1:5" x14ac:dyDescent="0.25">
      <c r="A277" s="764" t="s">
        <v>733</v>
      </c>
      <c r="B277" s="728">
        <v>1135929178</v>
      </c>
      <c r="C277" s="729">
        <v>0</v>
      </c>
      <c r="D277" s="732">
        <v>1703893767</v>
      </c>
      <c r="E277" s="731">
        <f>SUM(B277:D277)</f>
        <v>2839822945</v>
      </c>
    </row>
    <row r="278" spans="1:5" x14ac:dyDescent="0.25">
      <c r="A278" s="764" t="s">
        <v>734</v>
      </c>
      <c r="B278" s="728"/>
      <c r="C278" s="729"/>
      <c r="D278" s="732"/>
      <c r="E278" s="731">
        <f>B278+C278</f>
        <v>0</v>
      </c>
    </row>
    <row r="279" spans="1:5" x14ac:dyDescent="0.25">
      <c r="A279" s="764" t="s">
        <v>735</v>
      </c>
      <c r="B279" s="728"/>
      <c r="C279" s="729"/>
      <c r="D279" s="732"/>
      <c r="E279" s="731">
        <f>B279+C279</f>
        <v>0</v>
      </c>
    </row>
    <row r="280" spans="1:5" ht="26.4" x14ac:dyDescent="0.25">
      <c r="A280" s="767" t="s">
        <v>747</v>
      </c>
      <c r="B280" s="728"/>
      <c r="C280" s="729">
        <v>24579000</v>
      </c>
      <c r="D280" s="732">
        <v>14580103</v>
      </c>
      <c r="E280" s="731">
        <f>SUM(B280:D280)</f>
        <v>39159103</v>
      </c>
    </row>
    <row r="281" spans="1:5" x14ac:dyDescent="0.25">
      <c r="A281" s="765" t="s">
        <v>98</v>
      </c>
      <c r="B281" s="733">
        <f>SUM(B277:B280)</f>
        <v>1135929178</v>
      </c>
      <c r="C281" s="733">
        <f>SUM(C277:C280)</f>
        <v>24579000</v>
      </c>
      <c r="D281" s="733">
        <f>SUM(D277:D280)</f>
        <v>1718473870</v>
      </c>
      <c r="E281" s="733">
        <f>SUM(E277:E280)</f>
        <v>2878982048</v>
      </c>
    </row>
    <row r="282" spans="1:5" x14ac:dyDescent="0.25">
      <c r="A282" s="766"/>
      <c r="B282" s="736"/>
      <c r="C282" s="735"/>
      <c r="D282" s="737"/>
      <c r="E282" s="738"/>
    </row>
    <row r="283" spans="1:5" ht="39.6" x14ac:dyDescent="0.25">
      <c r="A283" s="763" t="s">
        <v>736</v>
      </c>
      <c r="B283" s="739" t="s">
        <v>737</v>
      </c>
      <c r="C283" s="740" t="s">
        <v>731</v>
      </c>
      <c r="D283" s="727" t="s">
        <v>732</v>
      </c>
      <c r="E283" s="741" t="s">
        <v>98</v>
      </c>
    </row>
    <row r="284" spans="1:5" x14ac:dyDescent="0.25">
      <c r="A284" s="767" t="s">
        <v>748</v>
      </c>
      <c r="B284" s="728"/>
      <c r="C284" s="742"/>
      <c r="D284" s="743"/>
      <c r="E284" s="731">
        <f>B284+C284</f>
        <v>0</v>
      </c>
    </row>
    <row r="285" spans="1:5" ht="26.4" x14ac:dyDescent="0.25">
      <c r="A285" s="764" t="s">
        <v>739</v>
      </c>
      <c r="B285" s="728"/>
      <c r="C285" s="742"/>
      <c r="D285" s="743"/>
      <c r="E285" s="731">
        <f>B285+C285</f>
        <v>0</v>
      </c>
    </row>
    <row r="286" spans="1:5" x14ac:dyDescent="0.25">
      <c r="A286" s="764" t="s">
        <v>741</v>
      </c>
      <c r="B286" s="728"/>
      <c r="C286" s="742">
        <v>10310000</v>
      </c>
      <c r="D286" s="743">
        <v>1300380</v>
      </c>
      <c r="E286" s="731">
        <f>SUM(B286:D286)</f>
        <v>11610380</v>
      </c>
    </row>
    <row r="287" spans="1:5" x14ac:dyDescent="0.25">
      <c r="A287" s="764" t="s">
        <v>742</v>
      </c>
      <c r="B287" s="728"/>
      <c r="C287" s="742"/>
      <c r="D287" s="743"/>
      <c r="E287" s="731">
        <f>SUM(B287:D287)</f>
        <v>0</v>
      </c>
    </row>
    <row r="288" spans="1:5" x14ac:dyDescent="0.25">
      <c r="A288" s="764" t="s">
        <v>743</v>
      </c>
      <c r="B288" s="728"/>
      <c r="C288" s="742">
        <v>1125619178</v>
      </c>
      <c r="D288" s="743">
        <v>1702593387</v>
      </c>
      <c r="E288" s="731">
        <f>SUM(B288:D288)</f>
        <v>2828212565</v>
      </c>
    </row>
    <row r="289" spans="1:5" ht="26.4" x14ac:dyDescent="0.25">
      <c r="A289" s="767" t="s">
        <v>747</v>
      </c>
      <c r="B289" s="728"/>
      <c r="C289" s="742">
        <v>24579000</v>
      </c>
      <c r="D289" s="743">
        <v>14580103</v>
      </c>
      <c r="E289" s="731">
        <f>SUM(B289:D289)</f>
        <v>39159103</v>
      </c>
    </row>
    <row r="290" spans="1:5" x14ac:dyDescent="0.25">
      <c r="A290" s="765" t="s">
        <v>98</v>
      </c>
      <c r="B290" s="733">
        <f>SUM(B284:B289)</f>
        <v>0</v>
      </c>
      <c r="C290" s="733">
        <f>SUM(C284:C289)</f>
        <v>1160508178</v>
      </c>
      <c r="D290" s="733">
        <f>SUM(D284:D289)</f>
        <v>1718473870</v>
      </c>
      <c r="E290" s="733">
        <f>SUM(E284:E289)</f>
        <v>2878982048</v>
      </c>
    </row>
    <row r="293" spans="1:5" x14ac:dyDescent="0.25">
      <c r="A293" s="761"/>
      <c r="B293" s="716" t="s">
        <v>784</v>
      </c>
      <c r="C293" s="717"/>
      <c r="D293" s="718"/>
    </row>
    <row r="294" spans="1:5" ht="25.5" customHeight="1" x14ac:dyDescent="0.25">
      <c r="A294" s="760" t="s">
        <v>727</v>
      </c>
      <c r="B294" s="1458" t="s">
        <v>785</v>
      </c>
      <c r="C294" s="1458"/>
      <c r="D294" s="1458"/>
      <c r="E294" s="1458"/>
    </row>
    <row r="295" spans="1:5" x14ac:dyDescent="0.25">
      <c r="A295" s="762"/>
      <c r="B295" s="759"/>
      <c r="C295" s="759"/>
      <c r="D295" s="759"/>
      <c r="E295" s="759"/>
    </row>
    <row r="296" spans="1:5" x14ac:dyDescent="0.25">
      <c r="A296" s="762"/>
      <c r="B296" s="719"/>
      <c r="C296" s="722"/>
      <c r="D296" s="723"/>
    </row>
    <row r="297" spans="1:5" x14ac:dyDescent="0.25">
      <c r="A297" s="763" t="s">
        <v>729</v>
      </c>
      <c r="B297" s="724" t="s">
        <v>730</v>
      </c>
      <c r="C297" s="725" t="s">
        <v>731</v>
      </c>
      <c r="D297" s="726" t="s">
        <v>732</v>
      </c>
      <c r="E297" s="727" t="s">
        <v>98</v>
      </c>
    </row>
    <row r="298" spans="1:5" x14ac:dyDescent="0.25">
      <c r="A298" s="764" t="s">
        <v>733</v>
      </c>
      <c r="B298" s="728">
        <v>143306680</v>
      </c>
      <c r="C298" s="729">
        <v>0</v>
      </c>
      <c r="D298" s="732">
        <v>214959990</v>
      </c>
      <c r="E298" s="731">
        <f>SUM(B298:D298)</f>
        <v>358266670</v>
      </c>
    </row>
    <row r="299" spans="1:5" x14ac:dyDescent="0.25">
      <c r="A299" s="764" t="s">
        <v>734</v>
      </c>
      <c r="B299" s="728"/>
      <c r="C299" s="729"/>
      <c r="D299" s="732"/>
      <c r="E299" s="731">
        <f>B299+C299</f>
        <v>0</v>
      </c>
    </row>
    <row r="300" spans="1:5" x14ac:dyDescent="0.25">
      <c r="A300" s="764" t="s">
        <v>735</v>
      </c>
      <c r="B300" s="728"/>
      <c r="C300" s="729"/>
      <c r="D300" s="732"/>
      <c r="E300" s="731">
        <f>B300+C300</f>
        <v>0</v>
      </c>
    </row>
    <row r="301" spans="1:5" ht="26.4" x14ac:dyDescent="0.25">
      <c r="A301" s="767" t="s">
        <v>747</v>
      </c>
      <c r="B301" s="728"/>
      <c r="C301" s="729">
        <v>2577285</v>
      </c>
      <c r="D301" s="732">
        <v>482715</v>
      </c>
      <c r="E301" s="731">
        <f>SUM(B301:D301)</f>
        <v>3060000</v>
      </c>
    </row>
    <row r="302" spans="1:5" x14ac:dyDescent="0.25">
      <c r="A302" s="765" t="s">
        <v>98</v>
      </c>
      <c r="B302" s="733">
        <f>SUM(B298:B301)</f>
        <v>143306680</v>
      </c>
      <c r="C302" s="733">
        <f>SUM(C298:C301)</f>
        <v>2577285</v>
      </c>
      <c r="D302" s="733">
        <f>SUM(D298:D301)</f>
        <v>215442705</v>
      </c>
      <c r="E302" s="733">
        <f>SUM(E298:E301)</f>
        <v>361326670</v>
      </c>
    </row>
    <row r="303" spans="1:5" x14ac:dyDescent="0.25">
      <c r="A303" s="766"/>
      <c r="B303" s="736"/>
      <c r="C303" s="735"/>
      <c r="D303" s="737"/>
      <c r="E303" s="738"/>
    </row>
    <row r="304" spans="1:5" ht="39.6" x14ac:dyDescent="0.25">
      <c r="A304" s="763" t="s">
        <v>736</v>
      </c>
      <c r="B304" s="739" t="s">
        <v>737</v>
      </c>
      <c r="C304" s="740" t="s">
        <v>731</v>
      </c>
      <c r="D304" s="727" t="s">
        <v>732</v>
      </c>
      <c r="E304" s="741" t="s">
        <v>98</v>
      </c>
    </row>
    <row r="305" spans="1:5" x14ac:dyDescent="0.25">
      <c r="A305" s="767" t="s">
        <v>748</v>
      </c>
      <c r="B305" s="728"/>
      <c r="C305" s="742"/>
      <c r="D305" s="743"/>
      <c r="E305" s="731">
        <f>B305+C305</f>
        <v>0</v>
      </c>
    </row>
    <row r="306" spans="1:5" ht="26.4" x14ac:dyDescent="0.25">
      <c r="A306" s="764" t="s">
        <v>739</v>
      </c>
      <c r="B306" s="728"/>
      <c r="C306" s="742"/>
      <c r="D306" s="743"/>
      <c r="E306" s="731">
        <f>B306+C306</f>
        <v>0</v>
      </c>
    </row>
    <row r="307" spans="1:5" x14ac:dyDescent="0.25">
      <c r="A307" s="764" t="s">
        <v>741</v>
      </c>
      <c r="B307" s="728"/>
      <c r="C307" s="742">
        <v>4151000</v>
      </c>
      <c r="D307" s="743">
        <v>26670</v>
      </c>
      <c r="E307" s="731">
        <f>SUM(B307:D307)</f>
        <v>4177670</v>
      </c>
    </row>
    <row r="308" spans="1:5" x14ac:dyDescent="0.25">
      <c r="A308" s="764" t="s">
        <v>742</v>
      </c>
      <c r="B308" s="728"/>
      <c r="C308" s="742"/>
      <c r="D308" s="743"/>
      <c r="E308" s="731">
        <f>SUM(B308:D308)</f>
        <v>0</v>
      </c>
    </row>
    <row r="309" spans="1:5" x14ac:dyDescent="0.25">
      <c r="A309" s="764" t="s">
        <v>743</v>
      </c>
      <c r="B309" s="728"/>
      <c r="C309" s="742">
        <v>139155680</v>
      </c>
      <c r="D309" s="743">
        <v>214933320</v>
      </c>
      <c r="E309" s="731">
        <f>SUM(B309:D309)</f>
        <v>354089000</v>
      </c>
    </row>
    <row r="310" spans="1:5" ht="26.4" x14ac:dyDescent="0.25">
      <c r="A310" s="767" t="s">
        <v>747</v>
      </c>
      <c r="B310" s="728"/>
      <c r="C310" s="742">
        <v>2577285</v>
      </c>
      <c r="D310" s="743">
        <v>482715</v>
      </c>
      <c r="E310" s="731">
        <f>SUM(B310:D310)</f>
        <v>3060000</v>
      </c>
    </row>
    <row r="311" spans="1:5" x14ac:dyDescent="0.25">
      <c r="A311" s="765" t="s">
        <v>98</v>
      </c>
      <c r="B311" s="733">
        <f>SUM(B305:B310)</f>
        <v>0</v>
      </c>
      <c r="C311" s="733">
        <f>SUM(C305:C310)</f>
        <v>145883965</v>
      </c>
      <c r="D311" s="733">
        <f>SUM(D305:D310)</f>
        <v>215442705</v>
      </c>
      <c r="E311" s="733">
        <f>SUM(E305:E310)</f>
        <v>361326670</v>
      </c>
    </row>
    <row r="314" spans="1:5" x14ac:dyDescent="0.25">
      <c r="A314" s="761"/>
      <c r="B314" s="716" t="s">
        <v>786</v>
      </c>
      <c r="C314" s="717"/>
      <c r="D314" s="718"/>
    </row>
    <row r="315" spans="1:5" ht="26.4" x14ac:dyDescent="0.25">
      <c r="A315" s="760" t="s">
        <v>727</v>
      </c>
      <c r="B315" s="1459" t="s">
        <v>787</v>
      </c>
      <c r="C315" s="1459"/>
      <c r="D315" s="1459"/>
      <c r="E315" s="1459"/>
    </row>
    <row r="316" spans="1:5" x14ac:dyDescent="0.25">
      <c r="A316" s="762"/>
      <c r="B316" s="1459"/>
      <c r="C316" s="1459"/>
      <c r="D316" s="1459"/>
      <c r="E316" s="1459"/>
    </row>
    <row r="317" spans="1:5" x14ac:dyDescent="0.25">
      <c r="A317" s="762"/>
      <c r="B317" s="719"/>
      <c r="C317" s="722"/>
      <c r="D317" s="723"/>
    </row>
    <row r="318" spans="1:5" x14ac:dyDescent="0.25">
      <c r="A318" s="763" t="s">
        <v>729</v>
      </c>
      <c r="B318" s="724" t="s">
        <v>730</v>
      </c>
      <c r="C318" s="725" t="s">
        <v>731</v>
      </c>
      <c r="D318" s="726" t="s">
        <v>732</v>
      </c>
      <c r="E318" s="727" t="s">
        <v>98</v>
      </c>
    </row>
    <row r="319" spans="1:5" x14ac:dyDescent="0.25">
      <c r="A319" s="764" t="s">
        <v>733</v>
      </c>
      <c r="B319" s="728">
        <v>17731712</v>
      </c>
      <c r="C319" s="729">
        <v>180001453</v>
      </c>
      <c r="D319" s="730">
        <v>85940373</v>
      </c>
      <c r="E319" s="731">
        <f>SUM(B319:D319)</f>
        <v>283673538</v>
      </c>
    </row>
    <row r="320" spans="1:5" x14ac:dyDescent="0.25">
      <c r="A320" s="764" t="s">
        <v>734</v>
      </c>
      <c r="B320" s="728"/>
      <c r="C320" s="729"/>
      <c r="D320" s="732"/>
      <c r="E320" s="731">
        <f>SUM(B320:D320)</f>
        <v>0</v>
      </c>
    </row>
    <row r="321" spans="1:5" x14ac:dyDescent="0.25">
      <c r="A321" s="764" t="s">
        <v>735</v>
      </c>
      <c r="B321" s="728"/>
      <c r="C321" s="729">
        <v>13423241</v>
      </c>
      <c r="D321" s="732">
        <v>5834117</v>
      </c>
      <c r="E321" s="731">
        <f>SUM(B321:D321)</f>
        <v>19257358</v>
      </c>
    </row>
    <row r="322" spans="1:5" ht="26.4" x14ac:dyDescent="0.25">
      <c r="A322" s="767" t="s">
        <v>747</v>
      </c>
      <c r="B322" s="728"/>
      <c r="C322" s="729">
        <v>6873230</v>
      </c>
      <c r="D322" s="732">
        <v>506112</v>
      </c>
      <c r="E322" s="731">
        <f>SUM(B322:D322)</f>
        <v>7379342</v>
      </c>
    </row>
    <row r="323" spans="1:5" x14ac:dyDescent="0.25">
      <c r="A323" s="765" t="s">
        <v>98</v>
      </c>
      <c r="B323" s="733">
        <f>SUM(B319:B322)</f>
        <v>17731712</v>
      </c>
      <c r="C323" s="733">
        <f>SUM(C319:C322)</f>
        <v>200297924</v>
      </c>
      <c r="D323" s="733">
        <f>SUM(D319:D322)</f>
        <v>92280602</v>
      </c>
      <c r="E323" s="733">
        <f>SUM(E319:E322)</f>
        <v>310310238</v>
      </c>
    </row>
    <row r="324" spans="1:5" x14ac:dyDescent="0.25">
      <c r="A324" s="766"/>
      <c r="B324" s="736"/>
      <c r="C324" s="735"/>
      <c r="D324" s="737"/>
      <c r="E324" s="738"/>
    </row>
    <row r="325" spans="1:5" ht="39.6" x14ac:dyDescent="0.25">
      <c r="A325" s="763" t="s">
        <v>736</v>
      </c>
      <c r="B325" s="739" t="s">
        <v>737</v>
      </c>
      <c r="C325" s="740" t="s">
        <v>731</v>
      </c>
      <c r="D325" s="727" t="s">
        <v>732</v>
      </c>
      <c r="E325" s="741" t="s">
        <v>98</v>
      </c>
    </row>
    <row r="326" spans="1:5" x14ac:dyDescent="0.25">
      <c r="A326" s="767" t="s">
        <v>748</v>
      </c>
      <c r="B326" s="728"/>
      <c r="C326" s="742"/>
      <c r="D326" s="743"/>
      <c r="E326" s="731">
        <f>B326+C326</f>
        <v>0</v>
      </c>
    </row>
    <row r="327" spans="1:5" ht="26.4" x14ac:dyDescent="0.25">
      <c r="A327" s="764" t="s">
        <v>739</v>
      </c>
      <c r="B327" s="728"/>
      <c r="C327" s="742"/>
      <c r="D327" s="743"/>
      <c r="E327" s="731">
        <f>B327+C327</f>
        <v>0</v>
      </c>
    </row>
    <row r="328" spans="1:5" x14ac:dyDescent="0.25">
      <c r="A328" s="764" t="s">
        <v>741</v>
      </c>
      <c r="B328" s="728"/>
      <c r="C328" s="742">
        <v>5307500</v>
      </c>
      <c r="D328" s="743">
        <v>1102500</v>
      </c>
      <c r="E328" s="731">
        <f>SUM(B328:D328)</f>
        <v>6410000</v>
      </c>
    </row>
    <row r="329" spans="1:5" x14ac:dyDescent="0.25">
      <c r="A329" s="764" t="s">
        <v>742</v>
      </c>
      <c r="B329" s="728"/>
      <c r="C329" s="742"/>
      <c r="D329" s="743"/>
      <c r="E329" s="731">
        <f>SUM(B329:D329)</f>
        <v>0</v>
      </c>
    </row>
    <row r="330" spans="1:5" x14ac:dyDescent="0.25">
      <c r="A330" s="764" t="s">
        <v>743</v>
      </c>
      <c r="B330" s="728"/>
      <c r="C330" s="742">
        <v>205848906</v>
      </c>
      <c r="D330" s="743">
        <v>90671990</v>
      </c>
      <c r="E330" s="731">
        <f>SUM(B330:D330)</f>
        <v>296520896</v>
      </c>
    </row>
    <row r="331" spans="1:5" ht="26.4" x14ac:dyDescent="0.25">
      <c r="A331" s="767" t="s">
        <v>747</v>
      </c>
      <c r="B331" s="728"/>
      <c r="C331" s="742">
        <v>6873230</v>
      </c>
      <c r="D331" s="743">
        <v>506112</v>
      </c>
      <c r="E331" s="731">
        <f>SUM(B331:D331)</f>
        <v>7379342</v>
      </c>
    </row>
    <row r="332" spans="1:5" x14ac:dyDescent="0.25">
      <c r="A332" s="765" t="s">
        <v>98</v>
      </c>
      <c r="B332" s="733">
        <f>SUM(B326:B331)</f>
        <v>0</v>
      </c>
      <c r="C332" s="733">
        <f>SUM(C326:C331)</f>
        <v>218029636</v>
      </c>
      <c r="D332" s="733">
        <f>SUM(D326:D331)</f>
        <v>92280602</v>
      </c>
      <c r="E332" s="733">
        <f>SUM(E326:E331)</f>
        <v>310310238</v>
      </c>
    </row>
    <row r="335" spans="1:5" x14ac:dyDescent="0.25">
      <c r="A335" s="761"/>
      <c r="B335" s="716" t="s">
        <v>788</v>
      </c>
      <c r="C335" s="717"/>
      <c r="D335" s="718"/>
    </row>
    <row r="336" spans="1:5" ht="26.4" x14ac:dyDescent="0.25">
      <c r="A336" s="760" t="s">
        <v>727</v>
      </c>
      <c r="B336" s="1459" t="s">
        <v>789</v>
      </c>
      <c r="C336" s="1459"/>
      <c r="D336" s="1459"/>
      <c r="E336" s="1459"/>
    </row>
    <row r="337" spans="1:5" x14ac:dyDescent="0.25">
      <c r="A337" s="762"/>
      <c r="B337" s="1459"/>
      <c r="C337" s="1459"/>
      <c r="D337" s="1459"/>
      <c r="E337" s="1459"/>
    </row>
    <row r="338" spans="1:5" x14ac:dyDescent="0.25">
      <c r="A338" s="762"/>
      <c r="B338" s="719"/>
      <c r="C338" s="722"/>
      <c r="D338" s="723"/>
    </row>
    <row r="339" spans="1:5" x14ac:dyDescent="0.25">
      <c r="A339" s="763" t="s">
        <v>729</v>
      </c>
      <c r="B339" s="724" t="s">
        <v>730</v>
      </c>
      <c r="C339" s="725" t="s">
        <v>731</v>
      </c>
      <c r="D339" s="726" t="s">
        <v>732</v>
      </c>
      <c r="E339" s="727" t="s">
        <v>98</v>
      </c>
    </row>
    <row r="340" spans="1:5" x14ac:dyDescent="0.25">
      <c r="A340" s="764" t="s">
        <v>733</v>
      </c>
      <c r="B340" s="728"/>
      <c r="C340" s="729">
        <v>45952151</v>
      </c>
      <c r="D340" s="730"/>
      <c r="E340" s="731">
        <f>SUM(B340:D340)</f>
        <v>45952151</v>
      </c>
    </row>
    <row r="341" spans="1:5" x14ac:dyDescent="0.25">
      <c r="A341" s="764" t="s">
        <v>734</v>
      </c>
      <c r="B341" s="728"/>
      <c r="C341" s="729"/>
      <c r="D341" s="732"/>
      <c r="E341" s="731">
        <f>SUM(B341:D341)</f>
        <v>0</v>
      </c>
    </row>
    <row r="342" spans="1:5" x14ac:dyDescent="0.25">
      <c r="A342" s="764" t="s">
        <v>735</v>
      </c>
      <c r="B342" s="728"/>
      <c r="C342" s="729"/>
      <c r="D342" s="732"/>
      <c r="E342" s="731">
        <f>SUM(B342:D342)</f>
        <v>0</v>
      </c>
    </row>
    <row r="343" spans="1:5" ht="26.4" x14ac:dyDescent="0.25">
      <c r="A343" s="767" t="s">
        <v>747</v>
      </c>
      <c r="B343" s="728"/>
      <c r="C343" s="729">
        <v>12093449</v>
      </c>
      <c r="D343" s="732"/>
      <c r="E343" s="731">
        <f>SUM(B343:D343)</f>
        <v>12093449</v>
      </c>
    </row>
    <row r="344" spans="1:5" x14ac:dyDescent="0.25">
      <c r="A344" s="765" t="s">
        <v>98</v>
      </c>
      <c r="B344" s="733">
        <f>SUM(B340:B343)</f>
        <v>0</v>
      </c>
      <c r="C344" s="733">
        <f>SUM(C340:C343)</f>
        <v>58045600</v>
      </c>
      <c r="D344" s="733">
        <f>SUM(D340:D343)</f>
        <v>0</v>
      </c>
      <c r="E344" s="733">
        <f>SUM(E340:E343)</f>
        <v>58045600</v>
      </c>
    </row>
    <row r="345" spans="1:5" x14ac:dyDescent="0.25">
      <c r="A345" s="766"/>
      <c r="B345" s="736"/>
      <c r="C345" s="735"/>
      <c r="D345" s="737"/>
      <c r="E345" s="738"/>
    </row>
    <row r="346" spans="1:5" ht="39.6" x14ac:dyDescent="0.25">
      <c r="A346" s="763" t="s">
        <v>736</v>
      </c>
      <c r="B346" s="739" t="s">
        <v>737</v>
      </c>
      <c r="C346" s="740" t="s">
        <v>731</v>
      </c>
      <c r="D346" s="727" t="s">
        <v>732</v>
      </c>
      <c r="E346" s="741" t="s">
        <v>98</v>
      </c>
    </row>
    <row r="347" spans="1:5" x14ac:dyDescent="0.25">
      <c r="A347" s="767" t="s">
        <v>748</v>
      </c>
      <c r="B347" s="728"/>
      <c r="C347" s="742">
        <v>960000</v>
      </c>
      <c r="D347" s="743"/>
      <c r="E347" s="731">
        <f>B347+C347</f>
        <v>960000</v>
      </c>
    </row>
    <row r="348" spans="1:5" ht="26.4" x14ac:dyDescent="0.25">
      <c r="A348" s="764" t="s">
        <v>739</v>
      </c>
      <c r="B348" s="728"/>
      <c r="C348" s="742">
        <v>201600</v>
      </c>
      <c r="D348" s="743"/>
      <c r="E348" s="731">
        <f>B348+C348</f>
        <v>201600</v>
      </c>
    </row>
    <row r="349" spans="1:5" x14ac:dyDescent="0.25">
      <c r="A349" s="764" t="s">
        <v>741</v>
      </c>
      <c r="B349" s="728"/>
      <c r="C349" s="742"/>
      <c r="D349" s="743"/>
      <c r="E349" s="731">
        <f t="shared" ref="E349:E352" si="12">B349+C349</f>
        <v>0</v>
      </c>
    </row>
    <row r="350" spans="1:5" x14ac:dyDescent="0.25">
      <c r="A350" s="764" t="s">
        <v>742</v>
      </c>
      <c r="B350" s="728"/>
      <c r="C350" s="742"/>
      <c r="D350" s="743"/>
      <c r="E350" s="731">
        <f t="shared" si="12"/>
        <v>0</v>
      </c>
    </row>
    <row r="351" spans="1:5" x14ac:dyDescent="0.25">
      <c r="A351" s="764" t="s">
        <v>743</v>
      </c>
      <c r="B351" s="728"/>
      <c r="C351" s="742">
        <v>44790551</v>
      </c>
      <c r="D351" s="743"/>
      <c r="E351" s="731">
        <f t="shared" si="12"/>
        <v>44790551</v>
      </c>
    </row>
    <row r="352" spans="1:5" ht="26.4" x14ac:dyDescent="0.25">
      <c r="A352" s="767" t="s">
        <v>747</v>
      </c>
      <c r="B352" s="728"/>
      <c r="C352" s="742">
        <v>12093449</v>
      </c>
      <c r="D352" s="743"/>
      <c r="E352" s="731">
        <f t="shared" si="12"/>
        <v>12093449</v>
      </c>
    </row>
    <row r="353" spans="1:5" x14ac:dyDescent="0.25">
      <c r="A353" s="765" t="s">
        <v>98</v>
      </c>
      <c r="B353" s="733">
        <f>SUM(B347:B352)</f>
        <v>0</v>
      </c>
      <c r="C353" s="733">
        <f>SUM(C347:C352)</f>
        <v>58045600</v>
      </c>
      <c r="D353" s="733">
        <f>SUM(D347:D352)</f>
        <v>0</v>
      </c>
      <c r="E353" s="733">
        <f>SUM(E347:E352)</f>
        <v>58045600</v>
      </c>
    </row>
    <row r="358" spans="1:5" x14ac:dyDescent="0.25">
      <c r="A358" s="761"/>
      <c r="B358" s="716" t="s">
        <v>966</v>
      </c>
      <c r="C358" s="717"/>
      <c r="D358" s="718"/>
    </row>
    <row r="359" spans="1:5" ht="25.5" customHeight="1" x14ac:dyDescent="0.25">
      <c r="A359" s="760" t="s">
        <v>727</v>
      </c>
      <c r="B359" s="1458" t="s">
        <v>965</v>
      </c>
      <c r="C359" s="1458"/>
      <c r="D359" s="1458"/>
      <c r="E359" s="1458"/>
    </row>
    <row r="360" spans="1:5" x14ac:dyDescent="0.25">
      <c r="A360" s="762"/>
      <c r="B360" s="719"/>
      <c r="C360" s="720"/>
      <c r="D360" s="721"/>
    </row>
    <row r="361" spans="1:5" x14ac:dyDescent="0.25">
      <c r="A361" s="762"/>
      <c r="B361" s="719"/>
      <c r="C361" s="722"/>
      <c r="D361" s="723"/>
    </row>
    <row r="362" spans="1:5" x14ac:dyDescent="0.25">
      <c r="A362" s="763" t="s">
        <v>729</v>
      </c>
      <c r="B362" s="725" t="s">
        <v>731</v>
      </c>
      <c r="C362" s="726" t="s">
        <v>732</v>
      </c>
      <c r="D362" s="726" t="s">
        <v>967</v>
      </c>
      <c r="E362" s="727" t="s">
        <v>98</v>
      </c>
    </row>
    <row r="363" spans="1:5" x14ac:dyDescent="0.25">
      <c r="A363" s="764" t="s">
        <v>733</v>
      </c>
      <c r="B363" s="729">
        <v>81935000</v>
      </c>
      <c r="C363" s="730"/>
      <c r="D363" s="730"/>
      <c r="E363" s="731">
        <f>B363+C363</f>
        <v>81935000</v>
      </c>
    </row>
    <row r="364" spans="1:5" x14ac:dyDescent="0.25">
      <c r="A364" s="764" t="s">
        <v>734</v>
      </c>
      <c r="B364" s="729"/>
      <c r="C364" s="732"/>
      <c r="D364" s="732"/>
      <c r="E364" s="731">
        <f>B364+C364</f>
        <v>0</v>
      </c>
    </row>
    <row r="365" spans="1:5" x14ac:dyDescent="0.25">
      <c r="A365" s="764" t="s">
        <v>735</v>
      </c>
      <c r="B365" s="729">
        <f>94542171-56412712+589788</f>
        <v>38719247</v>
      </c>
      <c r="C365" s="732"/>
      <c r="D365" s="732"/>
      <c r="E365" s="731">
        <f>B365+C365</f>
        <v>38719247</v>
      </c>
    </row>
    <row r="366" spans="1:5" x14ac:dyDescent="0.25">
      <c r="A366" s="765" t="s">
        <v>98</v>
      </c>
      <c r="B366" s="733">
        <f>SUM(B363:B365)</f>
        <v>120654247</v>
      </c>
      <c r="C366" s="734">
        <f>SUM(C363:C365)</f>
        <v>0</v>
      </c>
      <c r="D366" s="734">
        <f>SUM(D363:D365)</f>
        <v>0</v>
      </c>
      <c r="E366" s="746">
        <f>B366+C366</f>
        <v>120654247</v>
      </c>
    </row>
    <row r="367" spans="1:5" x14ac:dyDescent="0.25">
      <c r="A367" s="766"/>
      <c r="B367" s="735"/>
      <c r="C367" s="737"/>
      <c r="D367" s="737"/>
      <c r="E367" s="738"/>
    </row>
    <row r="368" spans="1:5" x14ac:dyDescent="0.25">
      <c r="A368" s="763" t="s">
        <v>736</v>
      </c>
      <c r="B368" s="740" t="s">
        <v>731</v>
      </c>
      <c r="C368" s="727" t="s">
        <v>732</v>
      </c>
      <c r="D368" s="727" t="s">
        <v>967</v>
      </c>
      <c r="E368" s="741" t="s">
        <v>98</v>
      </c>
    </row>
    <row r="369" spans="1:5" ht="26.4" x14ac:dyDescent="0.25">
      <c r="A369" s="764" t="s">
        <v>738</v>
      </c>
      <c r="B369" s="742">
        <v>1434728</v>
      </c>
      <c r="C369" s="743"/>
      <c r="D369" s="743"/>
      <c r="E369" s="731">
        <f t="shared" ref="E369:E376" si="13">B369+C369</f>
        <v>1434728</v>
      </c>
    </row>
    <row r="370" spans="1:5" ht="26.4" x14ac:dyDescent="0.25">
      <c r="A370" s="764" t="s">
        <v>739</v>
      </c>
      <c r="B370" s="742">
        <v>279772</v>
      </c>
      <c r="C370" s="743"/>
      <c r="D370" s="743"/>
      <c r="E370" s="731">
        <f t="shared" si="13"/>
        <v>279772</v>
      </c>
    </row>
    <row r="371" spans="1:5" ht="26.4" x14ac:dyDescent="0.25">
      <c r="A371" s="764" t="s">
        <v>740</v>
      </c>
      <c r="B371" s="742"/>
      <c r="C371" s="743"/>
      <c r="D371" s="743"/>
      <c r="E371" s="731">
        <f t="shared" si="13"/>
        <v>0</v>
      </c>
    </row>
    <row r="372" spans="1:5" x14ac:dyDescent="0.25">
      <c r="A372" s="764" t="s">
        <v>741</v>
      </c>
      <c r="B372" s="742">
        <v>3527061</v>
      </c>
      <c r="C372" s="743"/>
      <c r="D372" s="743"/>
      <c r="E372" s="731">
        <f t="shared" si="13"/>
        <v>3527061</v>
      </c>
    </row>
    <row r="373" spans="1:5" x14ac:dyDescent="0.25">
      <c r="A373" s="764" t="s">
        <v>742</v>
      </c>
      <c r="B373" s="742"/>
      <c r="C373" s="743"/>
      <c r="D373" s="743"/>
      <c r="E373" s="731">
        <f t="shared" si="13"/>
        <v>0</v>
      </c>
    </row>
    <row r="374" spans="1:5" x14ac:dyDescent="0.25">
      <c r="A374" s="764" t="s">
        <v>743</v>
      </c>
      <c r="B374" s="742">
        <f>171235610-56412712+589788</f>
        <v>115412686</v>
      </c>
      <c r="C374" s="743"/>
      <c r="D374" s="743"/>
      <c r="E374" s="731">
        <f t="shared" si="13"/>
        <v>115412686</v>
      </c>
    </row>
    <row r="375" spans="1:5" ht="26.4" x14ac:dyDescent="0.25">
      <c r="A375" s="764" t="s">
        <v>744</v>
      </c>
      <c r="B375" s="742"/>
      <c r="C375" s="743"/>
      <c r="D375" s="743"/>
      <c r="E375" s="731">
        <f t="shared" si="13"/>
        <v>0</v>
      </c>
    </row>
    <row r="376" spans="1:5" x14ac:dyDescent="0.25">
      <c r="A376" s="765" t="s">
        <v>98</v>
      </c>
      <c r="B376" s="734">
        <f>SUM(B369:B375)</f>
        <v>120654247</v>
      </c>
      <c r="C376" s="744">
        <f>SUM(C369:C375)</f>
        <v>0</v>
      </c>
      <c r="D376" s="744">
        <f>SUM(D369:D375)</f>
        <v>0</v>
      </c>
      <c r="E376" s="746">
        <f t="shared" si="13"/>
        <v>120654247</v>
      </c>
    </row>
    <row r="385" spans="1:5" x14ac:dyDescent="0.25">
      <c r="A385" s="761"/>
      <c r="B385" s="716" t="s">
        <v>1075</v>
      </c>
      <c r="C385" s="748"/>
      <c r="D385" s="718"/>
      <c r="E385" s="717"/>
    </row>
    <row r="386" spans="1:5" ht="25.5" customHeight="1" x14ac:dyDescent="0.25">
      <c r="A386" s="760" t="s">
        <v>727</v>
      </c>
      <c r="B386" s="1460" t="s">
        <v>1076</v>
      </c>
      <c r="C386" s="1460"/>
      <c r="D386" s="1460"/>
      <c r="E386" s="1460"/>
    </row>
    <row r="387" spans="1:5" x14ac:dyDescent="0.25">
      <c r="A387" s="762"/>
      <c r="B387" s="750"/>
      <c r="C387" s="721"/>
      <c r="D387" s="721"/>
      <c r="E387" s="720"/>
    </row>
    <row r="388" spans="1:5" x14ac:dyDescent="0.25">
      <c r="A388" s="762"/>
      <c r="B388" s="719"/>
      <c r="C388" s="723"/>
      <c r="D388" s="723"/>
      <c r="E388" s="722"/>
    </row>
    <row r="389" spans="1:5" x14ac:dyDescent="0.25">
      <c r="A389" s="763" t="s">
        <v>729</v>
      </c>
      <c r="B389" s="724" t="s">
        <v>772</v>
      </c>
      <c r="C389" s="725" t="s">
        <v>1077</v>
      </c>
      <c r="D389" s="726" t="s">
        <v>967</v>
      </c>
      <c r="E389" s="727" t="s">
        <v>98</v>
      </c>
    </row>
    <row r="390" spans="1:5" x14ac:dyDescent="0.25">
      <c r="A390" s="764" t="s">
        <v>733</v>
      </c>
      <c r="B390" s="728">
        <v>1114605492</v>
      </c>
      <c r="C390" s="729"/>
      <c r="D390" s="732"/>
      <c r="E390" s="731">
        <f>SUM(B390:D390)</f>
        <v>1114605492</v>
      </c>
    </row>
    <row r="391" spans="1:5" x14ac:dyDescent="0.25">
      <c r="A391" s="764" t="s">
        <v>734</v>
      </c>
      <c r="B391" s="728"/>
      <c r="C391" s="729"/>
      <c r="D391" s="732"/>
      <c r="E391" s="731">
        <f>SUM(B391:D391)</f>
        <v>0</v>
      </c>
    </row>
    <row r="392" spans="1:5" x14ac:dyDescent="0.25">
      <c r="A392" s="764" t="s">
        <v>735</v>
      </c>
      <c r="B392" s="728"/>
      <c r="C392" s="729"/>
      <c r="D392" s="732"/>
      <c r="E392" s="731">
        <f>SUM(B392:D392)</f>
        <v>0</v>
      </c>
    </row>
    <row r="393" spans="1:5" ht="26.4" x14ac:dyDescent="0.25">
      <c r="A393" s="767" t="s">
        <v>747</v>
      </c>
      <c r="B393" s="728">
        <f>B400+B403</f>
        <v>31185000</v>
      </c>
      <c r="C393" s="729"/>
      <c r="D393" s="732"/>
      <c r="E393" s="731">
        <f>SUM(B393:D393)</f>
        <v>31185000</v>
      </c>
    </row>
    <row r="394" spans="1:5" x14ac:dyDescent="0.25">
      <c r="A394" s="765" t="s">
        <v>98</v>
      </c>
      <c r="B394" s="733">
        <f>SUM(B390:B393)</f>
        <v>1145790492</v>
      </c>
      <c r="C394" s="733">
        <f>SUM(C390:C393)</f>
        <v>0</v>
      </c>
      <c r="D394" s="733">
        <f>SUM(D390:D393)</f>
        <v>0</v>
      </c>
      <c r="E394" s="733">
        <f>SUM(E390:E393)</f>
        <v>1145790492</v>
      </c>
    </row>
    <row r="395" spans="1:5" x14ac:dyDescent="0.25">
      <c r="A395" s="766"/>
      <c r="B395" s="736"/>
      <c r="C395" s="735"/>
      <c r="D395" s="737"/>
      <c r="E395" s="738"/>
    </row>
    <row r="396" spans="1:5" x14ac:dyDescent="0.25">
      <c r="A396" s="763" t="s">
        <v>736</v>
      </c>
      <c r="B396" s="724" t="s">
        <v>772</v>
      </c>
      <c r="C396" s="725" t="s">
        <v>1077</v>
      </c>
      <c r="D396" s="726" t="s">
        <v>967</v>
      </c>
      <c r="E396" s="727" t="s">
        <v>98</v>
      </c>
    </row>
    <row r="397" spans="1:5" x14ac:dyDescent="0.25">
      <c r="A397" s="767" t="s">
        <v>748</v>
      </c>
      <c r="B397" s="728"/>
      <c r="C397" s="742"/>
      <c r="D397" s="743"/>
      <c r="E397" s="731">
        <f t="shared" ref="E397:E403" si="14">SUM(B397:D397)</f>
        <v>0</v>
      </c>
    </row>
    <row r="398" spans="1:5" ht="26.4" x14ac:dyDescent="0.25">
      <c r="A398" s="764" t="s">
        <v>739</v>
      </c>
      <c r="B398" s="728"/>
      <c r="C398" s="742"/>
      <c r="D398" s="743"/>
      <c r="E398" s="731">
        <f t="shared" si="14"/>
        <v>0</v>
      </c>
    </row>
    <row r="399" spans="1:5" x14ac:dyDescent="0.25">
      <c r="A399" s="764" t="s">
        <v>741</v>
      </c>
      <c r="B399" s="728">
        <v>38500000</v>
      </c>
      <c r="C399" s="742"/>
      <c r="D399" s="743">
        <v>0</v>
      </c>
      <c r="E399" s="731">
        <f t="shared" si="14"/>
        <v>38500000</v>
      </c>
    </row>
    <row r="400" spans="1:5" ht="26.4" x14ac:dyDescent="0.25">
      <c r="A400" s="767" t="s">
        <v>747</v>
      </c>
      <c r="B400" s="728">
        <v>10395000</v>
      </c>
      <c r="C400" s="742"/>
      <c r="D400" s="743"/>
      <c r="E400" s="731">
        <f t="shared" si="14"/>
        <v>10395000</v>
      </c>
    </row>
    <row r="401" spans="1:5" x14ac:dyDescent="0.25">
      <c r="A401" s="764" t="s">
        <v>742</v>
      </c>
      <c r="B401" s="728"/>
      <c r="C401" s="742"/>
      <c r="D401" s="743">
        <v>0</v>
      </c>
      <c r="E401" s="731">
        <f t="shared" si="14"/>
        <v>0</v>
      </c>
    </row>
    <row r="402" spans="1:5" x14ac:dyDescent="0.25">
      <c r="A402" s="764" t="s">
        <v>743</v>
      </c>
      <c r="B402" s="728">
        <v>1076105492</v>
      </c>
      <c r="C402" s="742"/>
      <c r="D402" s="743">
        <v>0</v>
      </c>
      <c r="E402" s="731">
        <f t="shared" si="14"/>
        <v>1076105492</v>
      </c>
    </row>
    <row r="403" spans="1:5" ht="26.4" x14ac:dyDescent="0.25">
      <c r="A403" s="1352" t="s">
        <v>747</v>
      </c>
      <c r="B403" s="1353">
        <v>20790000</v>
      </c>
      <c r="C403" s="1354"/>
      <c r="D403" s="743">
        <v>0</v>
      </c>
      <c r="E403" s="731">
        <f t="shared" si="14"/>
        <v>20790000</v>
      </c>
    </row>
    <row r="404" spans="1:5" x14ac:dyDescent="0.25">
      <c r="A404" s="1350" t="s">
        <v>98</v>
      </c>
      <c r="B404" s="756">
        <f>SUM(B397:B403)</f>
        <v>1145790492</v>
      </c>
      <c r="C404" s="756">
        <f>SUM(C397:C403)</f>
        <v>0</v>
      </c>
      <c r="D404" s="756">
        <f>SUM(D397:D403)</f>
        <v>0</v>
      </c>
      <c r="E404" s="756">
        <f>SUM(E397:E403)</f>
        <v>1145790492</v>
      </c>
    </row>
  </sheetData>
  <mergeCells count="20">
    <mergeCell ref="B386:E386"/>
    <mergeCell ref="B273:E274"/>
    <mergeCell ref="B294:E294"/>
    <mergeCell ref="B315:E316"/>
    <mergeCell ref="B359:E359"/>
    <mergeCell ref="B87:D87"/>
    <mergeCell ref="B336:E337"/>
    <mergeCell ref="B109:D109"/>
    <mergeCell ref="B131:D131"/>
    <mergeCell ref="B151:E151"/>
    <mergeCell ref="B172:E172"/>
    <mergeCell ref="B194:E194"/>
    <mergeCell ref="B214:E214"/>
    <mergeCell ref="B236:E236"/>
    <mergeCell ref="B254:E254"/>
    <mergeCell ref="A1:E2"/>
    <mergeCell ref="B5:D5"/>
    <mergeCell ref="B26:D26"/>
    <mergeCell ref="B47:D47"/>
    <mergeCell ref="B66:D66"/>
  </mergeCells>
  <pageMargins left="0" right="0" top="0.85416666666666663" bottom="0.74803149606299213" header="0.31496062992125984" footer="0.31496062992125984"/>
  <pageSetup paperSize="9" scale="98" orientation="portrait" r:id="rId1"/>
  <headerFooter>
    <oddHeader>&amp;C10. melléklet a 31/2019. (XII.13.)  önkormányzati rendelethez
 az önkormányzat 2019. évi költségvetéséről szóló 6/2019. (II.28.) önkormányzati rendelet 
13. mellékletének helyébe a következő 10. melléklet lép:  
&amp;R&amp;P. oldal</oddHeader>
  </headerFooter>
  <rowBreaks count="8" manualBreakCount="8">
    <brk id="45" max="16383" man="1"/>
    <brk id="85" max="16383" man="1"/>
    <brk id="128" max="16383" man="1"/>
    <brk id="169" max="16383" man="1"/>
    <brk id="212" max="16383" man="1"/>
    <brk id="252" max="16383" man="1"/>
    <brk id="291" max="16383" man="1"/>
    <brk id="3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R55"/>
  <sheetViews>
    <sheetView view="pageLayout" zoomScaleNormal="100" zoomScaleSheetLayoutView="89" workbookViewId="0">
      <selection activeCell="K30" sqref="K30"/>
    </sheetView>
  </sheetViews>
  <sheetFormatPr defaultColWidth="9.109375" defaultRowHeight="13.2" x14ac:dyDescent="0.25"/>
  <cols>
    <col min="1" max="1" width="51" style="932" customWidth="1"/>
    <col min="2" max="2" width="16.33203125" style="769" customWidth="1"/>
    <col min="3" max="3" width="15.88671875" style="769" customWidth="1"/>
    <col min="4" max="4" width="16" style="769" customWidth="1"/>
    <col min="5" max="5" width="15.6640625" style="769" customWidth="1"/>
    <col min="6" max="6" width="16.88671875" style="769" bestFit="1" customWidth="1"/>
    <col min="7" max="7" width="16.109375" style="769" bestFit="1" customWidth="1"/>
    <col min="8" max="9" width="16.33203125" style="769" bestFit="1" customWidth="1"/>
    <col min="10" max="10" width="16.109375" style="769" customWidth="1"/>
    <col min="11" max="12" width="16.33203125" style="769" bestFit="1" customWidth="1"/>
    <col min="13" max="13" width="16.88671875" style="769" bestFit="1" customWidth="1"/>
    <col min="14" max="14" width="17.44140625" style="769" customWidth="1"/>
    <col min="15" max="15" width="17" style="105" customWidth="1"/>
    <col min="16" max="16" width="15.33203125" style="105" customWidth="1"/>
    <col min="17" max="17" width="13.44140625" style="105" bestFit="1" customWidth="1"/>
    <col min="18" max="16384" width="9.109375" style="443"/>
  </cols>
  <sheetData>
    <row r="1" spans="1:18" ht="15" x14ac:dyDescent="0.25">
      <c r="A1" s="899"/>
      <c r="B1" s="900"/>
      <c r="C1" s="900"/>
      <c r="D1" s="900"/>
      <c r="E1" s="900"/>
      <c r="F1" s="900"/>
      <c r="G1" s="900"/>
      <c r="H1" s="900"/>
      <c r="I1" s="900"/>
      <c r="J1" s="900"/>
      <c r="K1" s="900"/>
      <c r="L1" s="900"/>
      <c r="M1" s="900"/>
      <c r="N1" s="900"/>
    </row>
    <row r="2" spans="1:18" ht="15" x14ac:dyDescent="0.25">
      <c r="A2" s="901"/>
      <c r="B2" s="900"/>
      <c r="C2" s="900"/>
      <c r="D2" s="900"/>
      <c r="E2" s="900"/>
      <c r="F2" s="900"/>
      <c r="G2" s="900"/>
      <c r="H2" s="900"/>
      <c r="I2" s="900"/>
      <c r="J2" s="900"/>
      <c r="K2" s="900"/>
      <c r="L2" s="900"/>
      <c r="M2" s="1461"/>
      <c r="N2" s="1461"/>
    </row>
    <row r="3" spans="1:18" ht="15.75" customHeight="1" x14ac:dyDescent="0.3">
      <c r="A3" s="1462" t="s">
        <v>883</v>
      </c>
      <c r="B3" s="1462"/>
      <c r="C3" s="1462"/>
      <c r="D3" s="1462"/>
      <c r="E3" s="1462"/>
      <c r="F3" s="1462"/>
      <c r="G3" s="1462"/>
      <c r="H3" s="1462"/>
      <c r="I3" s="1462"/>
      <c r="J3" s="1462"/>
      <c r="K3" s="1462"/>
      <c r="L3" s="1462"/>
      <c r="M3" s="1462"/>
      <c r="N3" s="1462"/>
      <c r="O3" s="1462"/>
    </row>
    <row r="4" spans="1:18" ht="15" x14ac:dyDescent="0.25">
      <c r="A4" s="899"/>
      <c r="B4" s="900"/>
      <c r="C4" s="900"/>
      <c r="D4" s="900"/>
      <c r="E4" s="900"/>
      <c r="F4" s="900"/>
      <c r="G4" s="900"/>
      <c r="H4" s="900"/>
      <c r="I4" s="900"/>
      <c r="J4" s="900"/>
      <c r="K4" s="900"/>
      <c r="L4" s="900"/>
      <c r="M4" s="900"/>
      <c r="N4" s="902"/>
    </row>
    <row r="5" spans="1:18" ht="15" x14ac:dyDescent="0.25">
      <c r="A5" s="903" t="s">
        <v>101</v>
      </c>
      <c r="B5" s="903" t="s">
        <v>884</v>
      </c>
      <c r="C5" s="903" t="s">
        <v>885</v>
      </c>
      <c r="D5" s="903" t="s">
        <v>886</v>
      </c>
      <c r="E5" s="903" t="s">
        <v>887</v>
      </c>
      <c r="F5" s="903" t="s">
        <v>888</v>
      </c>
      <c r="G5" s="903" t="s">
        <v>889</v>
      </c>
      <c r="H5" s="903" t="s">
        <v>890</v>
      </c>
      <c r="I5" s="903" t="s">
        <v>891</v>
      </c>
      <c r="J5" s="903" t="s">
        <v>892</v>
      </c>
      <c r="K5" s="903" t="s">
        <v>893</v>
      </c>
      <c r="L5" s="903" t="s">
        <v>894</v>
      </c>
      <c r="M5" s="903" t="s">
        <v>895</v>
      </c>
      <c r="N5" s="903" t="s">
        <v>98</v>
      </c>
    </row>
    <row r="6" spans="1:18" ht="15.6" x14ac:dyDescent="0.3">
      <c r="A6" s="904" t="s">
        <v>896</v>
      </c>
      <c r="B6" s="905">
        <f>302250+4312471333</f>
        <v>4312773583</v>
      </c>
      <c r="C6" s="905">
        <f t="shared" ref="C6:M6" si="0">B54</f>
        <v>4140506196</v>
      </c>
      <c r="D6" s="905">
        <f t="shared" si="0"/>
        <v>3764996669</v>
      </c>
      <c r="E6" s="905">
        <f t="shared" si="0"/>
        <v>3842550496</v>
      </c>
      <c r="F6" s="905">
        <f t="shared" si="0"/>
        <v>3282029215</v>
      </c>
      <c r="G6" s="905">
        <f t="shared" si="0"/>
        <v>3209254280</v>
      </c>
      <c r="H6" s="905">
        <f t="shared" si="0"/>
        <v>2965804436</v>
      </c>
      <c r="I6" s="905">
        <f t="shared" si="0"/>
        <v>2846337405</v>
      </c>
      <c r="J6" s="905">
        <f t="shared" si="0"/>
        <v>2833857030</v>
      </c>
      <c r="K6" s="905">
        <f t="shared" si="0"/>
        <v>3000610285</v>
      </c>
      <c r="L6" s="905">
        <f t="shared" si="0"/>
        <v>2830207435</v>
      </c>
      <c r="M6" s="905">
        <f t="shared" si="0"/>
        <v>2141705697</v>
      </c>
      <c r="N6" s="905">
        <f>Q6</f>
        <v>4312773583</v>
      </c>
      <c r="O6" s="906">
        <f>168750+4275021925</f>
        <v>4275190675</v>
      </c>
      <c r="P6" s="907">
        <f>6095+127405+6985221+3121703+3902973+23439511</f>
        <v>37582908</v>
      </c>
      <c r="Q6" s="908">
        <f>SUM(O6:P6)</f>
        <v>4312773583</v>
      </c>
      <c r="R6" s="105"/>
    </row>
    <row r="7" spans="1:18" ht="15.6" x14ac:dyDescent="0.3">
      <c r="A7" s="909" t="s">
        <v>423</v>
      </c>
      <c r="B7" s="910"/>
      <c r="C7" s="910"/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</row>
    <row r="8" spans="1:18" ht="15" x14ac:dyDescent="0.25">
      <c r="A8" s="911" t="s">
        <v>897</v>
      </c>
      <c r="B8" s="912">
        <v>123374132</v>
      </c>
      <c r="C8" s="912">
        <v>91869936</v>
      </c>
      <c r="D8" s="912">
        <v>85476922</v>
      </c>
      <c r="E8" s="912">
        <v>83249046</v>
      </c>
      <c r="F8" s="912">
        <v>111472489</v>
      </c>
      <c r="G8" s="912">
        <v>94963941</v>
      </c>
      <c r="H8" s="912">
        <v>114896763</v>
      </c>
      <c r="I8" s="912">
        <v>90612142</v>
      </c>
      <c r="J8" s="912">
        <v>89611362</v>
      </c>
      <c r="K8" s="912">
        <v>130020008</v>
      </c>
      <c r="L8" s="912">
        <v>86454639</v>
      </c>
      <c r="M8" s="912">
        <v>345811416</v>
      </c>
      <c r="N8" s="913">
        <f t="shared" ref="N8:N16" si="1">SUM(B8:M8)</f>
        <v>1447812796</v>
      </c>
      <c r="O8" s="908">
        <f>'2.sz.tábla   (2)'!D7</f>
        <v>1447812796.3333333</v>
      </c>
    </row>
    <row r="9" spans="1:18" ht="15" x14ac:dyDescent="0.25">
      <c r="A9" s="914" t="s">
        <v>898</v>
      </c>
      <c r="B9" s="913">
        <v>21315000</v>
      </c>
      <c r="C9" s="913">
        <v>17500000</v>
      </c>
      <c r="D9" s="913">
        <v>562000000</v>
      </c>
      <c r="E9" s="913">
        <v>40000000</v>
      </c>
      <c r="F9" s="913">
        <v>80000000</v>
      </c>
      <c r="G9" s="913">
        <v>80000000</v>
      </c>
      <c r="H9" s="913">
        <v>80000000</v>
      </c>
      <c r="I9" s="913">
        <v>100000000</v>
      </c>
      <c r="J9" s="913">
        <v>610000000</v>
      </c>
      <c r="K9" s="913">
        <v>160000000</v>
      </c>
      <c r="L9" s="913">
        <v>90000000</v>
      </c>
      <c r="M9" s="913">
        <v>22885000</v>
      </c>
      <c r="N9" s="913">
        <f t="shared" si="1"/>
        <v>1863700000</v>
      </c>
      <c r="O9" s="908">
        <f>'2.sz.tábla   (2)'!D30</f>
        <v>1863700000</v>
      </c>
    </row>
    <row r="10" spans="1:18" ht="15" x14ac:dyDescent="0.25">
      <c r="A10" s="914" t="s">
        <v>794</v>
      </c>
      <c r="B10" s="913">
        <v>16822356</v>
      </c>
      <c r="C10" s="913">
        <v>22848907</v>
      </c>
      <c r="D10" s="913">
        <v>58380527</v>
      </c>
      <c r="E10" s="913">
        <v>33661873</v>
      </c>
      <c r="F10" s="913">
        <v>64640087</v>
      </c>
      <c r="G10" s="913">
        <v>49446906</v>
      </c>
      <c r="H10" s="913">
        <v>90303123</v>
      </c>
      <c r="I10" s="913">
        <v>186937150</v>
      </c>
      <c r="J10" s="913">
        <v>80549063</v>
      </c>
      <c r="K10" s="913">
        <v>53511115</v>
      </c>
      <c r="L10" s="913">
        <v>34749700</v>
      </c>
      <c r="M10" s="913">
        <v>84846913</v>
      </c>
      <c r="N10" s="913">
        <f t="shared" si="1"/>
        <v>776697720</v>
      </c>
      <c r="O10" s="908">
        <f>'2.sz.tábla   (2)'!D43</f>
        <v>776697720</v>
      </c>
    </row>
    <row r="11" spans="1:18" ht="15" x14ac:dyDescent="0.25">
      <c r="A11" s="1286" t="s">
        <v>899</v>
      </c>
      <c r="B11" s="913">
        <v>0</v>
      </c>
      <c r="C11" s="913">
        <v>0</v>
      </c>
      <c r="D11" s="913">
        <v>0</v>
      </c>
      <c r="E11" s="913">
        <v>895559</v>
      </c>
      <c r="F11" s="913">
        <v>0</v>
      </c>
      <c r="G11" s="913">
        <v>290000</v>
      </c>
      <c r="H11" s="913">
        <v>900000</v>
      </c>
      <c r="I11" s="913"/>
      <c r="J11" s="913">
        <v>25440000</v>
      </c>
      <c r="K11" s="913">
        <v>0</v>
      </c>
      <c r="L11" s="913">
        <v>6300000</v>
      </c>
      <c r="M11" s="913">
        <v>0</v>
      </c>
      <c r="N11" s="913">
        <f t="shared" si="1"/>
        <v>33825559</v>
      </c>
      <c r="O11" s="908">
        <f>'2.sz.tábla   (2)'!D66</f>
        <v>33825559</v>
      </c>
    </row>
    <row r="12" spans="1:18" ht="15" customHeight="1" x14ac:dyDescent="0.3">
      <c r="A12" s="915" t="s">
        <v>900</v>
      </c>
      <c r="B12" s="913"/>
      <c r="C12" s="913"/>
      <c r="D12" s="913"/>
      <c r="E12" s="913"/>
      <c r="F12" s="913"/>
      <c r="G12" s="913"/>
      <c r="H12" s="913"/>
      <c r="I12" s="913"/>
      <c r="J12" s="913"/>
      <c r="K12" s="913"/>
      <c r="L12" s="913"/>
      <c r="M12" s="913"/>
      <c r="N12" s="913">
        <f t="shared" si="1"/>
        <v>0</v>
      </c>
    </row>
    <row r="13" spans="1:18" s="442" customFormat="1" ht="15" customHeight="1" x14ac:dyDescent="0.25">
      <c r="A13" s="911" t="s">
        <v>897</v>
      </c>
      <c r="B13" s="913">
        <v>0</v>
      </c>
      <c r="C13" s="913">
        <v>0</v>
      </c>
      <c r="D13" s="916">
        <v>6585650</v>
      </c>
      <c r="E13" s="916">
        <f>2195217</f>
        <v>2195217</v>
      </c>
      <c r="F13" s="916">
        <v>6086100</v>
      </c>
      <c r="G13" s="916">
        <f t="shared" ref="G13:I13" si="2">2195217</f>
        <v>2195217</v>
      </c>
      <c r="H13" s="916">
        <v>3033790</v>
      </c>
      <c r="I13" s="916">
        <f t="shared" si="2"/>
        <v>2195217</v>
      </c>
      <c r="J13" s="916">
        <v>7551746</v>
      </c>
      <c r="K13" s="916">
        <v>2195217</v>
      </c>
      <c r="L13" s="916">
        <v>2311127</v>
      </c>
      <c r="M13" s="916">
        <v>2597811</v>
      </c>
      <c r="N13" s="913">
        <f t="shared" si="1"/>
        <v>36947092</v>
      </c>
      <c r="O13" s="908">
        <f>'2.sz.tábla   (2)'!H7</f>
        <v>36947092</v>
      </c>
      <c r="P13" s="105"/>
      <c r="Q13" s="105"/>
    </row>
    <row r="14" spans="1:18" ht="15" customHeight="1" x14ac:dyDescent="0.25">
      <c r="A14" s="914" t="s">
        <v>898</v>
      </c>
      <c r="B14" s="913"/>
      <c r="C14" s="913"/>
      <c r="D14" s="913"/>
      <c r="E14" s="913">
        <v>100000</v>
      </c>
      <c r="F14" s="913">
        <v>0</v>
      </c>
      <c r="G14" s="913">
        <v>100000</v>
      </c>
      <c r="H14" s="913">
        <v>0</v>
      </c>
      <c r="I14" s="913">
        <v>100000</v>
      </c>
      <c r="J14" s="913">
        <v>0</v>
      </c>
      <c r="K14" s="913">
        <v>100000</v>
      </c>
      <c r="L14" s="913"/>
      <c r="M14" s="913">
        <v>100000</v>
      </c>
      <c r="N14" s="913">
        <f t="shared" si="1"/>
        <v>500000</v>
      </c>
      <c r="O14" s="908">
        <f>'2.sz.tábla   (2)'!H30</f>
        <v>500000</v>
      </c>
    </row>
    <row r="15" spans="1:18" ht="15" customHeight="1" x14ac:dyDescent="0.25">
      <c r="A15" s="914" t="s">
        <v>794</v>
      </c>
      <c r="B15" s="913">
        <v>1658620</v>
      </c>
      <c r="C15" s="913">
        <v>4262120</v>
      </c>
      <c r="D15" s="913">
        <v>2679383</v>
      </c>
      <c r="E15" s="913">
        <v>2870200</v>
      </c>
      <c r="F15" s="913">
        <v>4452620</v>
      </c>
      <c r="G15" s="913">
        <v>3631881</v>
      </c>
      <c r="H15" s="913">
        <v>2103120</v>
      </c>
      <c r="I15" s="913">
        <v>2108200</v>
      </c>
      <c r="J15" s="913">
        <v>2738120</v>
      </c>
      <c r="K15" s="913">
        <v>2738120</v>
      </c>
      <c r="L15" s="913">
        <v>1976120</v>
      </c>
      <c r="M15" s="913">
        <v>2001520</v>
      </c>
      <c r="N15" s="913">
        <f t="shared" si="1"/>
        <v>33220024</v>
      </c>
      <c r="O15" s="908">
        <f>'2.sz.tábla   (2)'!H43</f>
        <v>33220024</v>
      </c>
    </row>
    <row r="16" spans="1:18" ht="18" x14ac:dyDescent="0.35">
      <c r="A16" s="918" t="s">
        <v>425</v>
      </c>
      <c r="B16" s="913"/>
      <c r="C16" s="913"/>
      <c r="D16" s="913"/>
      <c r="E16" s="913"/>
      <c r="F16" s="913"/>
      <c r="G16" s="913"/>
      <c r="H16" s="913"/>
      <c r="I16" s="913"/>
      <c r="J16" s="913"/>
      <c r="K16" s="913"/>
      <c r="L16" s="913"/>
      <c r="M16" s="913"/>
      <c r="N16" s="913">
        <f t="shared" si="1"/>
        <v>0</v>
      </c>
    </row>
    <row r="17" spans="1:17" s="444" customFormat="1" ht="15" x14ac:dyDescent="0.25">
      <c r="A17" s="1144" t="s">
        <v>897</v>
      </c>
      <c r="B17" s="1145">
        <v>10253747</v>
      </c>
      <c r="C17" s="1145">
        <v>10253747</v>
      </c>
      <c r="D17" s="1145">
        <v>10468497</v>
      </c>
      <c r="E17" s="1145">
        <v>10468497</v>
      </c>
      <c r="F17" s="1145">
        <v>10468497</v>
      </c>
      <c r="G17" s="1145">
        <v>10468497</v>
      </c>
      <c r="H17" s="1145">
        <v>10468497</v>
      </c>
      <c r="I17" s="1145">
        <v>11169997</v>
      </c>
      <c r="J17" s="1145">
        <v>11419997</v>
      </c>
      <c r="K17" s="1145">
        <v>11419997</v>
      </c>
      <c r="L17" s="1145">
        <v>11419998</v>
      </c>
      <c r="M17" s="1145">
        <v>11420006</v>
      </c>
      <c r="N17" s="1145">
        <f>SUM(B17:M17)</f>
        <v>129699974</v>
      </c>
      <c r="O17" s="1154">
        <f>'2.sz.tábla   (2)'!L7</f>
        <v>129699974</v>
      </c>
      <c r="P17" s="1155"/>
      <c r="Q17" s="1155"/>
    </row>
    <row r="18" spans="1:17" s="444" customFormat="1" ht="15" x14ac:dyDescent="0.25">
      <c r="A18" s="1146" t="s">
        <v>794</v>
      </c>
      <c r="B18" s="1145">
        <v>8798146</v>
      </c>
      <c r="C18" s="1145">
        <v>297146</v>
      </c>
      <c r="D18" s="1145">
        <v>299146</v>
      </c>
      <c r="E18" s="1145">
        <v>10798146</v>
      </c>
      <c r="F18" s="1145">
        <v>299146</v>
      </c>
      <c r="G18" s="1145">
        <v>1278146</v>
      </c>
      <c r="H18" s="1145">
        <v>10799146</v>
      </c>
      <c r="I18" s="1145">
        <v>299146</v>
      </c>
      <c r="J18" s="1145">
        <v>174146</v>
      </c>
      <c r="K18" s="1145">
        <v>10998146</v>
      </c>
      <c r="L18" s="1145">
        <v>174154</v>
      </c>
      <c r="M18" s="1145">
        <v>461137</v>
      </c>
      <c r="N18" s="1145">
        <f>SUM(B18:M18)</f>
        <v>44675751</v>
      </c>
      <c r="O18" s="1154">
        <f>'2.sz.tábla   (2)'!L43</f>
        <v>44675751</v>
      </c>
      <c r="P18" s="1155"/>
      <c r="Q18" s="1155"/>
    </row>
    <row r="19" spans="1:17" s="444" customFormat="1" ht="15" x14ac:dyDescent="0.25">
      <c r="A19" s="1146" t="s">
        <v>901</v>
      </c>
      <c r="B19" s="1145"/>
      <c r="C19" s="1145">
        <v>75000</v>
      </c>
      <c r="D19" s="1145"/>
      <c r="E19" s="1145"/>
      <c r="F19" s="1145"/>
      <c r="G19" s="1145"/>
      <c r="H19" s="1145"/>
      <c r="I19" s="1145"/>
      <c r="J19" s="1145"/>
      <c r="K19" s="1145"/>
      <c r="L19" s="1145"/>
      <c r="M19" s="1145"/>
      <c r="N19" s="1145">
        <f>SUM(B19:M19)</f>
        <v>75000</v>
      </c>
      <c r="O19" s="1154">
        <f>'2.sz.tábla   (2)'!L66</f>
        <v>75000</v>
      </c>
      <c r="P19" s="1155"/>
      <c r="Q19" s="1155"/>
    </row>
    <row r="20" spans="1:17" ht="15.6" x14ac:dyDescent="0.3">
      <c r="A20" s="915" t="s">
        <v>902</v>
      </c>
      <c r="B20" s="919">
        <f>SUM(B8:B19)</f>
        <v>182222001</v>
      </c>
      <c r="C20" s="919">
        <f t="shared" ref="C20:N20" si="3">SUM(C8:C19)</f>
        <v>147106856</v>
      </c>
      <c r="D20" s="919">
        <f t="shared" si="3"/>
        <v>725890125</v>
      </c>
      <c r="E20" s="919">
        <f t="shared" si="3"/>
        <v>184238538</v>
      </c>
      <c r="F20" s="919">
        <f t="shared" si="3"/>
        <v>277418939</v>
      </c>
      <c r="G20" s="919">
        <f t="shared" si="3"/>
        <v>242374588</v>
      </c>
      <c r="H20" s="919">
        <f t="shared" si="3"/>
        <v>312504439</v>
      </c>
      <c r="I20" s="919">
        <f t="shared" si="3"/>
        <v>393421852</v>
      </c>
      <c r="J20" s="919">
        <f t="shared" si="3"/>
        <v>827484434</v>
      </c>
      <c r="K20" s="919">
        <f t="shared" si="3"/>
        <v>370982603</v>
      </c>
      <c r="L20" s="919">
        <f t="shared" si="3"/>
        <v>233385738</v>
      </c>
      <c r="M20" s="919">
        <f>SUM(M8:M19)</f>
        <v>470123803</v>
      </c>
      <c r="N20" s="919">
        <f t="shared" si="3"/>
        <v>4367153916</v>
      </c>
      <c r="O20" s="908">
        <f>SUM(O8:O19)</f>
        <v>4367153916.333333</v>
      </c>
    </row>
    <row r="21" spans="1:17" s="444" customFormat="1" ht="15" x14ac:dyDescent="0.25">
      <c r="A21" s="1144" t="s">
        <v>903</v>
      </c>
      <c r="B21" s="1145">
        <v>0</v>
      </c>
      <c r="C21" s="1145">
        <v>0</v>
      </c>
      <c r="D21" s="1145">
        <v>44790551</v>
      </c>
      <c r="E21" s="1145">
        <v>0</v>
      </c>
      <c r="F21" s="1145">
        <v>76693439</v>
      </c>
      <c r="G21" s="1145">
        <v>0</v>
      </c>
      <c r="H21" s="1145">
        <v>0</v>
      </c>
      <c r="I21" s="1145">
        <v>0</v>
      </c>
      <c r="J21" s="1145">
        <v>30000000</v>
      </c>
      <c r="K21" s="1145">
        <v>14999755</v>
      </c>
      <c r="L21" s="1145">
        <v>2503000</v>
      </c>
      <c r="M21" s="1145">
        <v>2617795020</v>
      </c>
      <c r="N21" s="1145">
        <f>SUM(B21:M21)</f>
        <v>2786781765</v>
      </c>
      <c r="O21" s="1154">
        <f>'2.sz.tábla   (2)'!D22</f>
        <v>2786781765</v>
      </c>
      <c r="P21" s="1155"/>
      <c r="Q21" s="1155"/>
    </row>
    <row r="22" spans="1:17" s="444" customFormat="1" ht="15" x14ac:dyDescent="0.25">
      <c r="A22" s="1146" t="s">
        <v>904</v>
      </c>
      <c r="B22" s="1145">
        <v>0</v>
      </c>
      <c r="C22" s="1145">
        <v>0</v>
      </c>
      <c r="D22" s="1145">
        <v>0</v>
      </c>
      <c r="E22" s="1145">
        <v>0</v>
      </c>
      <c r="F22" s="1145">
        <v>0</v>
      </c>
      <c r="G22" s="1145">
        <v>19421520</v>
      </c>
      <c r="H22" s="1145">
        <v>19421520</v>
      </c>
      <c r="I22" s="1145">
        <v>25895360</v>
      </c>
      <c r="J22" s="1145">
        <v>0</v>
      </c>
      <c r="K22" s="1145">
        <v>0</v>
      </c>
      <c r="L22" s="1145">
        <v>4550000</v>
      </c>
      <c r="M22" s="1145">
        <v>31500000</v>
      </c>
      <c r="N22" s="1145">
        <f>SUM(B22:M22)</f>
        <v>100788400</v>
      </c>
      <c r="O22" s="1154">
        <f>'2.sz.tábla   (2)'!D58</f>
        <v>100788400</v>
      </c>
      <c r="P22" s="1155"/>
      <c r="Q22" s="1155"/>
    </row>
    <row r="23" spans="1:17" s="444" customFormat="1" ht="15" x14ac:dyDescent="0.25">
      <c r="A23" s="1146" t="s">
        <v>905</v>
      </c>
      <c r="B23" s="1145">
        <v>2591282</v>
      </c>
      <c r="C23" s="1145">
        <v>2284134</v>
      </c>
      <c r="D23" s="1145">
        <v>52284134</v>
      </c>
      <c r="E23" s="1145">
        <v>2591251</v>
      </c>
      <c r="F23" s="1145">
        <v>2216663</v>
      </c>
      <c r="G23" s="1145">
        <v>64039226</v>
      </c>
      <c r="H23" s="1145">
        <v>51846373</v>
      </c>
      <c r="I23" s="1145">
        <v>1539226</v>
      </c>
      <c r="J23" s="1145">
        <v>1539226</v>
      </c>
      <c r="K23" s="1145">
        <v>151846374</v>
      </c>
      <c r="L23" s="1145">
        <v>11539226</v>
      </c>
      <c r="M23" s="1145">
        <v>271995316</v>
      </c>
      <c r="N23" s="1145">
        <f>SUM(B23:M23)</f>
        <v>616312431</v>
      </c>
      <c r="O23" s="1154">
        <f>'2.sz.tábla   (2)'!D70</f>
        <v>616312431</v>
      </c>
      <c r="P23" s="1155"/>
      <c r="Q23" s="1155"/>
    </row>
    <row r="24" spans="1:17" s="921" customFormat="1" ht="15.6" x14ac:dyDescent="0.3">
      <c r="A24" s="915" t="s">
        <v>906</v>
      </c>
      <c r="B24" s="919"/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  <c r="N24" s="919">
        <f>SUM(B24:M24)</f>
        <v>0</v>
      </c>
      <c r="O24" s="920">
        <f>'2.sz.tábla   (2)'!K58</f>
        <v>0</v>
      </c>
    </row>
    <row r="25" spans="1:17" s="1150" customFormat="1" ht="15.6" x14ac:dyDescent="0.3">
      <c r="A25" s="1147" t="s">
        <v>907</v>
      </c>
      <c r="B25" s="1148"/>
      <c r="C25" s="1148"/>
      <c r="D25" s="1148"/>
      <c r="E25" s="1148"/>
      <c r="F25" s="1148"/>
      <c r="G25" s="1148"/>
      <c r="H25" s="1148"/>
      <c r="I25" s="1148"/>
      <c r="J25" s="1148"/>
      <c r="K25" s="1148"/>
      <c r="L25" s="1148"/>
      <c r="M25" s="1148">
        <v>312424</v>
      </c>
      <c r="N25" s="1148">
        <f>SUM(B25:M25)</f>
        <v>312424</v>
      </c>
      <c r="O25" s="1149">
        <f>'2.sz.tábla   (2)'!L22+'2.sz.tábla   (2)'!L58</f>
        <v>312424</v>
      </c>
    </row>
    <row r="26" spans="1:17" ht="15.6" x14ac:dyDescent="0.3">
      <c r="A26" s="915" t="s">
        <v>908</v>
      </c>
      <c r="B26" s="919">
        <f>SUM(B21:B25)</f>
        <v>2591282</v>
      </c>
      <c r="C26" s="919">
        <f t="shared" ref="C26:M26" si="4">SUM(C21:C25)</f>
        <v>2284134</v>
      </c>
      <c r="D26" s="919">
        <f t="shared" si="4"/>
        <v>97074685</v>
      </c>
      <c r="E26" s="919">
        <f t="shared" si="4"/>
        <v>2591251</v>
      </c>
      <c r="F26" s="919">
        <f t="shared" si="4"/>
        <v>78910102</v>
      </c>
      <c r="G26" s="919">
        <f t="shared" si="4"/>
        <v>83460746</v>
      </c>
      <c r="H26" s="919">
        <f t="shared" si="4"/>
        <v>71267893</v>
      </c>
      <c r="I26" s="919">
        <f t="shared" si="4"/>
        <v>27434586</v>
      </c>
      <c r="J26" s="919">
        <f t="shared" si="4"/>
        <v>31539226</v>
      </c>
      <c r="K26" s="919">
        <f t="shared" si="4"/>
        <v>166846129</v>
      </c>
      <c r="L26" s="919">
        <f t="shared" si="4"/>
        <v>18592226</v>
      </c>
      <c r="M26" s="919">
        <f t="shared" si="4"/>
        <v>2921602760</v>
      </c>
      <c r="N26" s="919">
        <f>SUM(N21:N25)</f>
        <v>3504195020</v>
      </c>
      <c r="O26" s="908">
        <f>SUM(O21:O25)</f>
        <v>3504195020</v>
      </c>
    </row>
    <row r="27" spans="1:17" s="167" customFormat="1" ht="15.6" x14ac:dyDescent="0.3">
      <c r="A27" s="922" t="s">
        <v>417</v>
      </c>
      <c r="B27" s="923">
        <f>B20+B26</f>
        <v>184813283</v>
      </c>
      <c r="C27" s="923">
        <f t="shared" ref="C27:N27" si="5">C20+C26</f>
        <v>149390990</v>
      </c>
      <c r="D27" s="923">
        <f t="shared" si="5"/>
        <v>822964810</v>
      </c>
      <c r="E27" s="923">
        <f t="shared" si="5"/>
        <v>186829789</v>
      </c>
      <c r="F27" s="923">
        <f t="shared" si="5"/>
        <v>356329041</v>
      </c>
      <c r="G27" s="923">
        <f t="shared" si="5"/>
        <v>325835334</v>
      </c>
      <c r="H27" s="923">
        <f t="shared" si="5"/>
        <v>383772332</v>
      </c>
      <c r="I27" s="923">
        <f t="shared" si="5"/>
        <v>420856438</v>
      </c>
      <c r="J27" s="923">
        <f t="shared" si="5"/>
        <v>859023660</v>
      </c>
      <c r="K27" s="923">
        <f t="shared" si="5"/>
        <v>537828732</v>
      </c>
      <c r="L27" s="923">
        <f t="shared" si="5"/>
        <v>251977964</v>
      </c>
      <c r="M27" s="923">
        <f t="shared" si="5"/>
        <v>3391726563</v>
      </c>
      <c r="N27" s="923">
        <f t="shared" si="5"/>
        <v>7871348936</v>
      </c>
      <c r="O27" s="908">
        <f>O26+O20</f>
        <v>7871348936.333333</v>
      </c>
    </row>
    <row r="28" spans="1:17" s="928" customFormat="1" ht="45" x14ac:dyDescent="0.25">
      <c r="A28" s="924" t="s">
        <v>909</v>
      </c>
      <c r="B28" s="925">
        <f>1100000+200000000</f>
        <v>201100000</v>
      </c>
      <c r="C28" s="925">
        <f>1100000</f>
        <v>1100000</v>
      </c>
      <c r="D28" s="925">
        <v>1100000</v>
      </c>
      <c r="E28" s="925">
        <v>1100000</v>
      </c>
      <c r="F28" s="925">
        <v>1100000</v>
      </c>
      <c r="G28" s="925">
        <v>201100000</v>
      </c>
      <c r="H28" s="925">
        <f>1100000</f>
        <v>1100000</v>
      </c>
      <c r="I28" s="925">
        <f>1100000</f>
        <v>1100000</v>
      </c>
      <c r="J28" s="925">
        <f>1000000</f>
        <v>1000000</v>
      </c>
      <c r="K28" s="925">
        <f>1000000</f>
        <v>1000000</v>
      </c>
      <c r="L28" s="925">
        <f>1000000</f>
        <v>1000000</v>
      </c>
      <c r="M28" s="925">
        <f>1000000+1322204901</f>
        <v>1323204901</v>
      </c>
      <c r="N28" s="926">
        <f>SUM(B28:M28)</f>
        <v>1735004901</v>
      </c>
      <c r="O28" s="927">
        <f>'2.sz.tábla   (2)'!D79</f>
        <v>1735004901</v>
      </c>
    </row>
    <row r="29" spans="1:17" ht="15" x14ac:dyDescent="0.25">
      <c r="A29" s="914" t="s">
        <v>910</v>
      </c>
      <c r="B29" s="913">
        <v>268502675</v>
      </c>
      <c r="C29" s="913">
        <v>214983705</v>
      </c>
      <c r="D29" s="913">
        <v>256940534</v>
      </c>
      <c r="E29" s="913">
        <v>207066070</v>
      </c>
      <c r="F29" s="913">
        <v>20583342</v>
      </c>
      <c r="G29" s="913">
        <v>93921957</v>
      </c>
      <c r="H29" s="913">
        <v>45994538</v>
      </c>
      <c r="I29" s="913">
        <v>4236344</v>
      </c>
      <c r="J29" s="913">
        <v>124149091</v>
      </c>
      <c r="K29" s="913">
        <v>51621260</v>
      </c>
      <c r="L29" s="913">
        <v>6595308</v>
      </c>
      <c r="M29" s="913">
        <v>2814103769</v>
      </c>
      <c r="N29" s="913">
        <f>SUM(B29:M29)</f>
        <v>4108698593</v>
      </c>
      <c r="O29" s="908">
        <f>'2.sz.tábla   (2)'!C76</f>
        <v>4108698593</v>
      </c>
    </row>
    <row r="30" spans="1:17" ht="15" x14ac:dyDescent="0.25">
      <c r="A30" s="914" t="s">
        <v>911</v>
      </c>
      <c r="B30" s="913">
        <v>2828815</v>
      </c>
      <c r="C30" s="913">
        <v>2640413</v>
      </c>
      <c r="D30" s="913">
        <v>8981088</v>
      </c>
      <c r="E30" s="913">
        <v>140413</v>
      </c>
      <c r="F30" s="913">
        <v>140413</v>
      </c>
      <c r="G30" s="913">
        <v>8443446</v>
      </c>
      <c r="H30" s="913">
        <v>92613</v>
      </c>
      <c r="I30" s="913">
        <v>92613</v>
      </c>
      <c r="J30" s="913">
        <v>92612</v>
      </c>
      <c r="K30" s="913">
        <v>77674</v>
      </c>
      <c r="L30" s="913">
        <v>77674</v>
      </c>
      <c r="M30" s="913">
        <v>77674</v>
      </c>
      <c r="N30" s="913">
        <f>SUM(B30:M30)</f>
        <v>23685448</v>
      </c>
      <c r="O30" s="908">
        <f>'2.sz.tábla   (2)'!G76</f>
        <v>23685448</v>
      </c>
    </row>
    <row r="31" spans="1:17" s="444" customFormat="1" ht="15" x14ac:dyDescent="0.25">
      <c r="A31" s="1146" t="s">
        <v>912</v>
      </c>
      <c r="B31" s="1145">
        <v>0</v>
      </c>
      <c r="C31" s="1145">
        <v>176276</v>
      </c>
      <c r="D31" s="1145">
        <v>0</v>
      </c>
      <c r="E31" s="1145">
        <v>0</v>
      </c>
      <c r="F31" s="1145">
        <v>0</v>
      </c>
      <c r="G31" s="1145">
        <v>14188322</v>
      </c>
      <c r="H31" s="1145">
        <v>0</v>
      </c>
      <c r="I31" s="1145">
        <v>0</v>
      </c>
      <c r="J31" s="1145">
        <v>0</v>
      </c>
      <c r="K31" s="1145">
        <v>0</v>
      </c>
      <c r="L31" s="1145">
        <v>0</v>
      </c>
      <c r="M31" s="1145">
        <v>0</v>
      </c>
      <c r="N31" s="1145">
        <f>SUM(B31:M31)</f>
        <v>14364598</v>
      </c>
      <c r="O31" s="1154">
        <f>'2.sz.tábla   (2)'!L76</f>
        <v>14364598</v>
      </c>
      <c r="P31" s="1155"/>
      <c r="Q31" s="1155"/>
    </row>
    <row r="32" spans="1:17" ht="15.6" x14ac:dyDescent="0.3">
      <c r="A32" s="922" t="s">
        <v>421</v>
      </c>
      <c r="B32" s="923">
        <f t="shared" ref="B32:N32" si="6">SUM(B27:B31)</f>
        <v>657244773</v>
      </c>
      <c r="C32" s="923">
        <f t="shared" si="6"/>
        <v>368291384</v>
      </c>
      <c r="D32" s="923">
        <f t="shared" si="6"/>
        <v>1089986432</v>
      </c>
      <c r="E32" s="923">
        <f t="shared" si="6"/>
        <v>395136272</v>
      </c>
      <c r="F32" s="923">
        <f t="shared" si="6"/>
        <v>378152796</v>
      </c>
      <c r="G32" s="923">
        <f t="shared" si="6"/>
        <v>643489059</v>
      </c>
      <c r="H32" s="923">
        <f t="shared" si="6"/>
        <v>430959483</v>
      </c>
      <c r="I32" s="923">
        <f t="shared" si="6"/>
        <v>426285395</v>
      </c>
      <c r="J32" s="923">
        <f t="shared" si="6"/>
        <v>984265363</v>
      </c>
      <c r="K32" s="923">
        <f t="shared" si="6"/>
        <v>590527666</v>
      </c>
      <c r="L32" s="923">
        <f t="shared" si="6"/>
        <v>259650946</v>
      </c>
      <c r="M32" s="923">
        <f t="shared" si="6"/>
        <v>7529112907</v>
      </c>
      <c r="N32" s="923">
        <f t="shared" si="6"/>
        <v>13753102476</v>
      </c>
      <c r="O32" s="908">
        <f>SUM(O27:O31)</f>
        <v>13753102476.333332</v>
      </c>
      <c r="P32" s="908">
        <f>'1.sz.tábla   (2)'!D18</f>
        <v>13753102476.333332</v>
      </c>
      <c r="Q32" s="908"/>
    </row>
    <row r="33" spans="1:16" ht="30" x14ac:dyDescent="0.25">
      <c r="A33" s="914" t="s">
        <v>913</v>
      </c>
      <c r="B33" s="913">
        <v>24368187</v>
      </c>
      <c r="C33" s="913">
        <v>25307867</v>
      </c>
      <c r="D33" s="913">
        <v>25177996</v>
      </c>
      <c r="E33" s="913">
        <v>25213696</v>
      </c>
      <c r="F33" s="913">
        <v>38556166</v>
      </c>
      <c r="G33" s="913">
        <v>24907186</v>
      </c>
      <c r="H33" s="913">
        <v>26473090</v>
      </c>
      <c r="I33" s="913">
        <v>27673058</v>
      </c>
      <c r="J33" s="913">
        <v>25457186</v>
      </c>
      <c r="K33" s="913">
        <v>26522686</v>
      </c>
      <c r="L33" s="913">
        <v>27283016</v>
      </c>
      <c r="M33" s="913">
        <v>33035218</v>
      </c>
      <c r="N33" s="913">
        <f t="shared" ref="N33:N43" si="7">SUM(B33:M33)</f>
        <v>329975352</v>
      </c>
      <c r="O33" s="908">
        <f>'5.tábla (2)'!D7</f>
        <v>329975352</v>
      </c>
      <c r="P33" s="908"/>
    </row>
    <row r="34" spans="1:16" ht="15" x14ac:dyDescent="0.25">
      <c r="A34" s="914" t="s">
        <v>914</v>
      </c>
      <c r="B34" s="913">
        <v>14094371</v>
      </c>
      <c r="C34" s="913">
        <v>10021979</v>
      </c>
      <c r="D34" s="913">
        <v>8200249</v>
      </c>
      <c r="E34" s="913">
        <v>11761849</v>
      </c>
      <c r="F34" s="913">
        <v>10606446</v>
      </c>
      <c r="G34" s="913">
        <v>12919613</v>
      </c>
      <c r="H34" s="913">
        <v>12527431</v>
      </c>
      <c r="I34" s="913">
        <v>8842831</v>
      </c>
      <c r="J34" s="913">
        <v>10682806</v>
      </c>
      <c r="K34" s="913">
        <v>12437431</v>
      </c>
      <c r="L34" s="913">
        <v>9052832</v>
      </c>
      <c r="M34" s="913">
        <v>53564249</v>
      </c>
      <c r="N34" s="913">
        <f t="shared" si="7"/>
        <v>174712087</v>
      </c>
      <c r="O34" s="908">
        <f>'5.tábla (2)'!D37</f>
        <v>174712087</v>
      </c>
      <c r="P34" s="908"/>
    </row>
    <row r="35" spans="1:16" ht="30" x14ac:dyDescent="0.25">
      <c r="A35" s="914" t="s">
        <v>915</v>
      </c>
      <c r="B35" s="913">
        <v>6302973</v>
      </c>
      <c r="C35" s="913">
        <v>4897374</v>
      </c>
      <c r="D35" s="913">
        <v>4851769</v>
      </c>
      <c r="E35" s="913">
        <v>6145044</v>
      </c>
      <c r="F35" s="913">
        <v>9231173</v>
      </c>
      <c r="G35" s="913">
        <v>4809100</v>
      </c>
      <c r="H35" s="913">
        <v>6374171</v>
      </c>
      <c r="I35" s="913">
        <v>5296435</v>
      </c>
      <c r="J35" s="913">
        <v>4910762</v>
      </c>
      <c r="K35" s="913">
        <v>6056381</v>
      </c>
      <c r="L35" s="913">
        <v>5171832</v>
      </c>
      <c r="M35" s="913">
        <v>6743256</v>
      </c>
      <c r="N35" s="913">
        <f t="shared" si="7"/>
        <v>70790270</v>
      </c>
      <c r="O35" s="908">
        <f>'5.tábla (2)'!D12</f>
        <v>70790270</v>
      </c>
      <c r="P35" s="908"/>
    </row>
    <row r="36" spans="1:16" ht="15" x14ac:dyDescent="0.25">
      <c r="A36" s="914" t="s">
        <v>916</v>
      </c>
      <c r="B36" s="913">
        <v>2056603</v>
      </c>
      <c r="C36" s="913">
        <v>2451494</v>
      </c>
      <c r="D36" s="913">
        <v>1337365</v>
      </c>
      <c r="E36" s="913">
        <v>1412880</v>
      </c>
      <c r="F36" s="913">
        <v>2461632</v>
      </c>
      <c r="G36" s="913">
        <v>2858509</v>
      </c>
      <c r="H36" s="913">
        <v>1704321</v>
      </c>
      <c r="I36" s="913">
        <v>2146984</v>
      </c>
      <c r="J36" s="913">
        <v>2054692</v>
      </c>
      <c r="K36" s="913">
        <v>1792926</v>
      </c>
      <c r="L36" s="913">
        <v>2035249</v>
      </c>
      <c r="M36" s="913">
        <v>10251873</v>
      </c>
      <c r="N36" s="913">
        <f t="shared" si="7"/>
        <v>32564528</v>
      </c>
      <c r="O36" s="908">
        <f>'5.tábla (2)'!D57</f>
        <v>32564528</v>
      </c>
      <c r="P36" s="908"/>
    </row>
    <row r="37" spans="1:16" ht="30" x14ac:dyDescent="0.25">
      <c r="A37" s="914" t="s">
        <v>917</v>
      </c>
      <c r="B37" s="913">
        <v>7909190</v>
      </c>
      <c r="C37" s="913">
        <v>11834120</v>
      </c>
      <c r="D37" s="913">
        <v>7378382</v>
      </c>
      <c r="E37" s="913">
        <v>6016200</v>
      </c>
      <c r="F37" s="913">
        <v>6649468</v>
      </c>
      <c r="G37" s="913">
        <v>7586344</v>
      </c>
      <c r="H37" s="913">
        <v>5733120</v>
      </c>
      <c r="I37" s="913">
        <v>5864200</v>
      </c>
      <c r="J37" s="913">
        <v>5968120</v>
      </c>
      <c r="K37" s="913">
        <v>6190611</v>
      </c>
      <c r="L37" s="913">
        <v>5876120</v>
      </c>
      <c r="M37" s="913">
        <v>6391520</v>
      </c>
      <c r="N37" s="913">
        <f t="shared" si="7"/>
        <v>83397395</v>
      </c>
      <c r="O37" s="908">
        <f>'5.tábla (2)'!D17</f>
        <v>83397395</v>
      </c>
      <c r="P37" s="908"/>
    </row>
    <row r="38" spans="1:16" ht="15" x14ac:dyDescent="0.25">
      <c r="A38" s="914" t="s">
        <v>918</v>
      </c>
      <c r="B38" s="913">
        <v>53894950</v>
      </c>
      <c r="C38" s="913">
        <v>69891817</v>
      </c>
      <c r="D38" s="913">
        <v>82399527</v>
      </c>
      <c r="E38" s="913">
        <v>133165458</v>
      </c>
      <c r="F38" s="913">
        <v>33089697</v>
      </c>
      <c r="G38" s="913">
        <v>95125963</v>
      </c>
      <c r="H38" s="913">
        <v>78032683</v>
      </c>
      <c r="I38" s="913">
        <v>47692043</v>
      </c>
      <c r="J38" s="913">
        <v>118149973</v>
      </c>
      <c r="K38" s="913">
        <v>100467154</v>
      </c>
      <c r="L38" s="913">
        <v>47181872</v>
      </c>
      <c r="M38" s="913">
        <v>375173593</v>
      </c>
      <c r="N38" s="913">
        <f t="shared" si="7"/>
        <v>1234264730</v>
      </c>
      <c r="O38" s="908">
        <f>'5.tábla (2)'!D76</f>
        <v>1234264730</v>
      </c>
      <c r="P38" s="908"/>
    </row>
    <row r="39" spans="1:16" ht="27.75" customHeight="1" x14ac:dyDescent="0.25">
      <c r="A39" s="914" t="s">
        <v>919</v>
      </c>
      <c r="B39" s="913"/>
      <c r="C39" s="913"/>
      <c r="D39" s="913"/>
      <c r="E39" s="913"/>
      <c r="F39" s="913"/>
      <c r="G39" s="913">
        <v>2318668</v>
      </c>
      <c r="H39" s="913"/>
      <c r="I39" s="913">
        <v>798000</v>
      </c>
      <c r="J39" s="913"/>
      <c r="K39" s="913"/>
      <c r="L39" s="913">
        <v>798000</v>
      </c>
      <c r="M39" s="913"/>
      <c r="N39" s="913">
        <f t="shared" si="7"/>
        <v>3914668</v>
      </c>
      <c r="O39" s="908">
        <f>'5.tábla (2)'!D23+'5.tábla (2)'!D25+'5.tábla (2)'!D27</f>
        <v>3914668</v>
      </c>
      <c r="P39" s="908"/>
    </row>
    <row r="40" spans="1:16" ht="15" customHeight="1" x14ac:dyDescent="0.25">
      <c r="A40" s="914" t="s">
        <v>920</v>
      </c>
      <c r="B40" s="913">
        <v>1683000</v>
      </c>
      <c r="C40" s="913">
        <v>1683000</v>
      </c>
      <c r="D40" s="913">
        <v>1783000</v>
      </c>
      <c r="E40" s="913">
        <v>2783000</v>
      </c>
      <c r="F40" s="913">
        <v>1883000</v>
      </c>
      <c r="G40" s="913">
        <v>2733000</v>
      </c>
      <c r="H40" s="913">
        <v>1733000</v>
      </c>
      <c r="I40" s="913">
        <v>1783000</v>
      </c>
      <c r="J40" s="913">
        <v>3483000</v>
      </c>
      <c r="K40" s="913">
        <v>2783000</v>
      </c>
      <c r="L40" s="913">
        <v>2283000</v>
      </c>
      <c r="M40" s="913">
        <v>3487000</v>
      </c>
      <c r="N40" s="913">
        <f t="shared" si="7"/>
        <v>28100000</v>
      </c>
      <c r="O40" s="908">
        <f>'5.tábla (2)'!D129</f>
        <v>28100000</v>
      </c>
      <c r="P40" s="908"/>
    </row>
    <row r="41" spans="1:16" ht="15" x14ac:dyDescent="0.25">
      <c r="A41" s="914" t="s">
        <v>921</v>
      </c>
      <c r="B41" s="913">
        <v>87828646</v>
      </c>
      <c r="C41" s="913">
        <v>121539386</v>
      </c>
      <c r="D41" s="913">
        <v>115342125</v>
      </c>
      <c r="E41" s="913">
        <v>159858256</v>
      </c>
      <c r="F41" s="913">
        <v>110932821</v>
      </c>
      <c r="G41" s="913">
        <v>102493901</v>
      </c>
      <c r="H41" s="913">
        <v>114483062</v>
      </c>
      <c r="I41" s="913">
        <v>91984547</v>
      </c>
      <c r="J41" s="913">
        <v>121068659</v>
      </c>
      <c r="K41" s="913">
        <v>157316114</v>
      </c>
      <c r="L41" s="913">
        <v>87087449</v>
      </c>
      <c r="M41" s="913">
        <v>116956545</v>
      </c>
      <c r="N41" s="913">
        <f t="shared" si="7"/>
        <v>1386891511</v>
      </c>
      <c r="O41" s="908">
        <f>'5.tábla (2)'!D139</f>
        <v>1386891511</v>
      </c>
      <c r="P41" s="908"/>
    </row>
    <row r="42" spans="1:16" s="1152" customFormat="1" ht="30" x14ac:dyDescent="0.25">
      <c r="A42" s="1339" t="s">
        <v>922</v>
      </c>
      <c r="B42" s="1340">
        <v>31915476</v>
      </c>
      <c r="C42" s="1340">
        <v>29333118</v>
      </c>
      <c r="D42" s="1340">
        <v>28112705</v>
      </c>
      <c r="E42" s="1340">
        <v>28455705</v>
      </c>
      <c r="F42" s="1340">
        <v>33284955</v>
      </c>
      <c r="G42" s="1340">
        <v>29206800</v>
      </c>
      <c r="H42" s="1340">
        <v>28757281</v>
      </c>
      <c r="I42" s="1340">
        <v>29056777</v>
      </c>
      <c r="J42" s="1340">
        <v>31534781</v>
      </c>
      <c r="K42" s="1340">
        <v>32485782</v>
      </c>
      <c r="L42" s="1340">
        <v>30696688</v>
      </c>
      <c r="M42" s="1340">
        <v>30435645</v>
      </c>
      <c r="N42" s="1340">
        <f t="shared" si="7"/>
        <v>363275713</v>
      </c>
      <c r="O42" s="1151">
        <f>'4.sz.tábla '!D9+'4.sz.tábla '!H9+'4.sz.tábla '!L9+'4.sz.tábla '!Q9+'4.sz.tábla '!U9</f>
        <v>363275713</v>
      </c>
      <c r="P42" s="908"/>
    </row>
    <row r="43" spans="1:16" ht="15" x14ac:dyDescent="0.25">
      <c r="A43" s="914" t="s">
        <v>923</v>
      </c>
      <c r="B43" s="913"/>
      <c r="C43" s="913"/>
      <c r="D43" s="913"/>
      <c r="E43" s="913"/>
      <c r="F43" s="913"/>
      <c r="G43" s="913"/>
      <c r="H43" s="913"/>
      <c r="I43" s="913"/>
      <c r="J43" s="913"/>
      <c r="K43" s="913"/>
      <c r="L43" s="913"/>
      <c r="M43" s="913">
        <f>O43</f>
        <v>50157566</v>
      </c>
      <c r="N43" s="913">
        <f t="shared" si="7"/>
        <v>50157566</v>
      </c>
      <c r="O43" s="908">
        <f>'1.sz.tábla   (2)'!D30</f>
        <v>50157566</v>
      </c>
      <c r="P43" s="908"/>
    </row>
    <row r="44" spans="1:16" ht="15.6" x14ac:dyDescent="0.3">
      <c r="A44" s="915" t="s">
        <v>924</v>
      </c>
      <c r="B44" s="919">
        <f t="shared" ref="B44:O44" si="8">SUM(B33:B43)</f>
        <v>230053396</v>
      </c>
      <c r="C44" s="919">
        <f t="shared" si="8"/>
        <v>276960155</v>
      </c>
      <c r="D44" s="919">
        <f t="shared" si="8"/>
        <v>274583118</v>
      </c>
      <c r="E44" s="919">
        <f t="shared" si="8"/>
        <v>374812088</v>
      </c>
      <c r="F44" s="919">
        <f t="shared" si="8"/>
        <v>246695358</v>
      </c>
      <c r="G44" s="919">
        <f t="shared" si="8"/>
        <v>284959084</v>
      </c>
      <c r="H44" s="919">
        <f t="shared" si="8"/>
        <v>275818159</v>
      </c>
      <c r="I44" s="919">
        <f t="shared" si="8"/>
        <v>221137875</v>
      </c>
      <c r="J44" s="919">
        <f t="shared" si="8"/>
        <v>323309979</v>
      </c>
      <c r="K44" s="919">
        <f t="shared" si="8"/>
        <v>346052085</v>
      </c>
      <c r="L44" s="919">
        <f t="shared" si="8"/>
        <v>217466058</v>
      </c>
      <c r="M44" s="919">
        <f t="shared" si="8"/>
        <v>686196465</v>
      </c>
      <c r="N44" s="919">
        <f t="shared" si="8"/>
        <v>3758043820</v>
      </c>
      <c r="O44" s="908">
        <f t="shared" si="8"/>
        <v>3758043820</v>
      </c>
      <c r="P44" s="908"/>
    </row>
    <row r="45" spans="1:16" ht="15" x14ac:dyDescent="0.25">
      <c r="A45" s="914" t="s">
        <v>925</v>
      </c>
      <c r="B45" s="913">
        <v>259123973</v>
      </c>
      <c r="C45" s="913">
        <v>247220362</v>
      </c>
      <c r="D45" s="913">
        <v>417435978</v>
      </c>
      <c r="E45" s="913">
        <v>352241982</v>
      </c>
      <c r="F45" s="913">
        <v>159802802</v>
      </c>
      <c r="G45" s="913">
        <v>315317344</v>
      </c>
      <c r="H45" s="913">
        <v>170588231</v>
      </c>
      <c r="I45" s="913">
        <v>207314842</v>
      </c>
      <c r="J45" s="913">
        <v>297791047</v>
      </c>
      <c r="K45" s="913">
        <v>333652330</v>
      </c>
      <c r="L45" s="913">
        <v>115628601</v>
      </c>
      <c r="M45" s="913">
        <v>5879241280</v>
      </c>
      <c r="N45" s="913">
        <f>SUM(B45:M45)</f>
        <v>8755358772</v>
      </c>
      <c r="O45" s="929">
        <f>'7. sz. tábla 1'!D142</f>
        <v>8755358772</v>
      </c>
      <c r="P45" s="908"/>
    </row>
    <row r="46" spans="1:16" ht="15" x14ac:dyDescent="0.25">
      <c r="A46" s="914" t="s">
        <v>926</v>
      </c>
      <c r="B46" s="913">
        <v>27213732</v>
      </c>
      <c r="C46" s="913">
        <v>500000</v>
      </c>
      <c r="D46" s="913">
        <v>500000</v>
      </c>
      <c r="E46" s="913">
        <v>0</v>
      </c>
      <c r="F46" s="913">
        <v>0</v>
      </c>
      <c r="G46" s="913">
        <v>0</v>
      </c>
      <c r="H46" s="913">
        <v>0</v>
      </c>
      <c r="I46" s="913">
        <v>0</v>
      </c>
      <c r="J46" s="913">
        <v>0</v>
      </c>
      <c r="K46" s="913">
        <v>0</v>
      </c>
      <c r="L46" s="913">
        <v>10499998</v>
      </c>
      <c r="M46" s="913">
        <v>51880225</v>
      </c>
      <c r="N46" s="913">
        <f>SUM(B46:M46)</f>
        <v>90593955</v>
      </c>
      <c r="O46" s="908">
        <f>'7. sz. tábla 1'!D223</f>
        <v>90593955</v>
      </c>
      <c r="P46" s="908"/>
    </row>
    <row r="47" spans="1:16" s="1155" customFormat="1" ht="15" x14ac:dyDescent="0.25">
      <c r="A47" s="1146" t="s">
        <v>927</v>
      </c>
      <c r="B47" s="1153">
        <v>0</v>
      </c>
      <c r="C47" s="1153">
        <f>220000</f>
        <v>220000</v>
      </c>
      <c r="D47" s="1153">
        <f>300000+8970675</f>
        <v>9270675</v>
      </c>
      <c r="E47" s="1153">
        <f>397000+0</f>
        <v>397000</v>
      </c>
      <c r="F47" s="1153">
        <f>597000+200000</f>
        <v>797000</v>
      </c>
      <c r="G47" s="1153">
        <f>1258750+0</f>
        <v>1258750</v>
      </c>
      <c r="H47" s="1153">
        <f>748167+83396</f>
        <v>831563</v>
      </c>
      <c r="I47" s="1153">
        <f>1334096+0</f>
        <v>1334096</v>
      </c>
      <c r="J47" s="1153">
        <f>548167+150000</f>
        <v>698167</v>
      </c>
      <c r="K47" s="1153">
        <f>647167+280000</f>
        <v>927167</v>
      </c>
      <c r="L47" s="1153">
        <f>935045+250000</f>
        <v>1185045</v>
      </c>
      <c r="M47" s="1153">
        <f>447165+8020000+900000</f>
        <v>9367165</v>
      </c>
      <c r="N47" s="1145">
        <f>SUM(B47:M47)</f>
        <v>26286628</v>
      </c>
      <c r="O47" s="1154">
        <f>'4a. sz. tábla  (3)'!E28</f>
        <v>26286628</v>
      </c>
      <c r="P47" s="908"/>
    </row>
    <row r="48" spans="1:16" ht="15" x14ac:dyDescent="0.25">
      <c r="A48" s="914" t="s">
        <v>928</v>
      </c>
      <c r="B48" s="913">
        <v>3894720</v>
      </c>
      <c r="C48" s="913">
        <v>0</v>
      </c>
      <c r="D48" s="913">
        <v>6500000</v>
      </c>
      <c r="E48" s="913">
        <v>19900000</v>
      </c>
      <c r="F48" s="913">
        <v>21808816</v>
      </c>
      <c r="G48" s="913">
        <v>167750000</v>
      </c>
      <c r="H48" s="913">
        <v>56001410</v>
      </c>
      <c r="I48" s="913">
        <v>3550000</v>
      </c>
      <c r="J48" s="913">
        <v>33350000</v>
      </c>
      <c r="K48" s="913">
        <v>27600000</v>
      </c>
      <c r="L48" s="913">
        <v>595700000</v>
      </c>
      <c r="M48" s="913">
        <v>62927082</v>
      </c>
      <c r="N48" s="913">
        <f>SUM(B48:M48)</f>
        <v>998982028</v>
      </c>
      <c r="O48" s="908">
        <f>'7. sz. tábla 1'!D211</f>
        <v>998982028</v>
      </c>
      <c r="P48" s="908"/>
    </row>
    <row r="49" spans="1:16" ht="15.6" x14ac:dyDescent="0.3">
      <c r="A49" s="915" t="s">
        <v>929</v>
      </c>
      <c r="B49" s="919">
        <f t="shared" ref="B49:N49" si="9">SUM(B45:B48)</f>
        <v>290232425</v>
      </c>
      <c r="C49" s="919">
        <f t="shared" si="9"/>
        <v>247940362</v>
      </c>
      <c r="D49" s="919">
        <f t="shared" si="9"/>
        <v>433706653</v>
      </c>
      <c r="E49" s="919">
        <f t="shared" si="9"/>
        <v>372538982</v>
      </c>
      <c r="F49" s="919">
        <f t="shared" si="9"/>
        <v>182408618</v>
      </c>
      <c r="G49" s="919">
        <f t="shared" si="9"/>
        <v>484326094</v>
      </c>
      <c r="H49" s="919">
        <f t="shared" si="9"/>
        <v>227421204</v>
      </c>
      <c r="I49" s="919">
        <f t="shared" si="9"/>
        <v>212198938</v>
      </c>
      <c r="J49" s="919">
        <f t="shared" si="9"/>
        <v>331839214</v>
      </c>
      <c r="K49" s="919">
        <f t="shared" si="9"/>
        <v>362179497</v>
      </c>
      <c r="L49" s="919">
        <f t="shared" si="9"/>
        <v>723013644</v>
      </c>
      <c r="M49" s="919">
        <f t="shared" si="9"/>
        <v>6003415752</v>
      </c>
      <c r="N49" s="1288">
        <f t="shared" si="9"/>
        <v>9871221383</v>
      </c>
      <c r="O49" s="908">
        <f>SUM(O45:O48)</f>
        <v>9871221383</v>
      </c>
      <c r="P49" s="908"/>
    </row>
    <row r="50" spans="1:16" ht="15.6" x14ac:dyDescent="0.3">
      <c r="A50" s="922" t="s">
        <v>433</v>
      </c>
      <c r="B50" s="923">
        <f>B44+B49</f>
        <v>520285821</v>
      </c>
      <c r="C50" s="923">
        <f t="shared" ref="C50:O50" si="10">C44+C49</f>
        <v>524900517</v>
      </c>
      <c r="D50" s="923">
        <f t="shared" si="10"/>
        <v>708289771</v>
      </c>
      <c r="E50" s="923">
        <f t="shared" si="10"/>
        <v>747351070</v>
      </c>
      <c r="F50" s="923">
        <f t="shared" si="10"/>
        <v>429103976</v>
      </c>
      <c r="G50" s="923">
        <f t="shared" si="10"/>
        <v>769285178</v>
      </c>
      <c r="H50" s="923">
        <f t="shared" si="10"/>
        <v>503239363</v>
      </c>
      <c r="I50" s="923">
        <f t="shared" si="10"/>
        <v>433336813</v>
      </c>
      <c r="J50" s="923">
        <f t="shared" si="10"/>
        <v>655149193</v>
      </c>
      <c r="K50" s="923">
        <f t="shared" si="10"/>
        <v>708231582</v>
      </c>
      <c r="L50" s="923">
        <f t="shared" si="10"/>
        <v>940479702</v>
      </c>
      <c r="M50" s="1287">
        <f t="shared" si="10"/>
        <v>6689612217</v>
      </c>
      <c r="N50" s="1290">
        <f>N44+N49</f>
        <v>13629265203</v>
      </c>
      <c r="O50" s="1291">
        <f t="shared" si="10"/>
        <v>13629265203</v>
      </c>
    </row>
    <row r="51" spans="1:16" ht="31.2" x14ac:dyDescent="0.3">
      <c r="A51" s="922" t="s">
        <v>930</v>
      </c>
      <c r="B51" s="923">
        <f>'[6]7. sz. tábla 1'!D248-12800000+1100000</f>
        <v>37894849</v>
      </c>
      <c r="C51" s="923">
        <v>1100000</v>
      </c>
      <c r="D51" s="923">
        <f>'[6]7. sz. tábla 1'!D246/2+1100000</f>
        <v>38221212</v>
      </c>
      <c r="E51" s="923">
        <v>1100000</v>
      </c>
      <c r="F51" s="923">
        <v>1100000</v>
      </c>
      <c r="G51" s="923">
        <v>1100000</v>
      </c>
      <c r="H51" s="923">
        <v>1100000</v>
      </c>
      <c r="I51" s="923">
        <v>1100000</v>
      </c>
      <c r="J51" s="923">
        <f>'[6]7. sz. tábla 1'!D246/2+1000000</f>
        <v>38121212</v>
      </c>
      <c r="K51" s="923">
        <v>1000000</v>
      </c>
      <c r="L51" s="923">
        <v>1000000</v>
      </c>
      <c r="M51" s="923">
        <v>1000000</v>
      </c>
      <c r="N51" s="1289">
        <f>SUM(B51:M51)</f>
        <v>123837273</v>
      </c>
      <c r="O51" s="908">
        <f>'7. sz. tábla 1'!D218</f>
        <v>123837273</v>
      </c>
    </row>
    <row r="52" spans="1:16" ht="15.6" x14ac:dyDescent="0.3">
      <c r="A52" s="930" t="s">
        <v>436</v>
      </c>
      <c r="B52" s="931">
        <f t="shared" ref="B52:M52" si="11">SUM(B50:B51)</f>
        <v>558180670</v>
      </c>
      <c r="C52" s="931">
        <f t="shared" si="11"/>
        <v>526000517</v>
      </c>
      <c r="D52" s="931">
        <f t="shared" si="11"/>
        <v>746510983</v>
      </c>
      <c r="E52" s="931">
        <f t="shared" si="11"/>
        <v>748451070</v>
      </c>
      <c r="F52" s="931">
        <f t="shared" si="11"/>
        <v>430203976</v>
      </c>
      <c r="G52" s="931">
        <f t="shared" si="11"/>
        <v>770385178</v>
      </c>
      <c r="H52" s="931">
        <f t="shared" si="11"/>
        <v>504339363</v>
      </c>
      <c r="I52" s="931">
        <f t="shared" si="11"/>
        <v>434436813</v>
      </c>
      <c r="J52" s="931">
        <f t="shared" si="11"/>
        <v>693270405</v>
      </c>
      <c r="K52" s="931">
        <f t="shared" si="11"/>
        <v>709231582</v>
      </c>
      <c r="L52" s="931">
        <f t="shared" si="11"/>
        <v>941479702</v>
      </c>
      <c r="M52" s="931">
        <f t="shared" si="11"/>
        <v>6690612217</v>
      </c>
      <c r="N52" s="923">
        <f>SUM(B52:M52)</f>
        <v>13753102476</v>
      </c>
      <c r="O52" s="908">
        <f>O51+O49+O44</f>
        <v>13753102476</v>
      </c>
      <c r="P52" s="908">
        <f>'1.sz.tábla   (2)'!D38</f>
        <v>13753102476</v>
      </c>
    </row>
    <row r="53" spans="1:16" ht="15.6" x14ac:dyDescent="0.3">
      <c r="A53" s="930" t="s">
        <v>931</v>
      </c>
      <c r="B53" s="931"/>
      <c r="C53" s="931"/>
      <c r="D53" s="931"/>
      <c r="E53" s="931"/>
      <c r="F53" s="931"/>
      <c r="G53" s="931"/>
      <c r="H53" s="931"/>
      <c r="I53" s="931"/>
      <c r="J53" s="931"/>
      <c r="K53" s="931"/>
      <c r="L53" s="931"/>
      <c r="M53" s="931"/>
      <c r="N53" s="923">
        <f>SUM(B53:M53)</f>
        <v>0</v>
      </c>
      <c r="O53" s="908"/>
    </row>
    <row r="54" spans="1:16" ht="15.6" x14ac:dyDescent="0.3">
      <c r="A54" s="922" t="s">
        <v>932</v>
      </c>
      <c r="B54" s="923">
        <f t="shared" ref="B54:N54" si="12">B6+B27+B28+B53-B50-B51</f>
        <v>4140506196</v>
      </c>
      <c r="C54" s="923">
        <f t="shared" si="12"/>
        <v>3764996669</v>
      </c>
      <c r="D54" s="923">
        <f t="shared" si="12"/>
        <v>3842550496</v>
      </c>
      <c r="E54" s="923">
        <f t="shared" si="12"/>
        <v>3282029215</v>
      </c>
      <c r="F54" s="923">
        <f t="shared" si="12"/>
        <v>3209254280</v>
      </c>
      <c r="G54" s="923">
        <f t="shared" si="12"/>
        <v>2965804436</v>
      </c>
      <c r="H54" s="923">
        <f t="shared" si="12"/>
        <v>2846337405</v>
      </c>
      <c r="I54" s="923">
        <f t="shared" si="12"/>
        <v>2833857030</v>
      </c>
      <c r="J54" s="923">
        <f t="shared" si="12"/>
        <v>3000610285</v>
      </c>
      <c r="K54" s="923">
        <f t="shared" si="12"/>
        <v>2830207435</v>
      </c>
      <c r="L54" s="923">
        <f t="shared" si="12"/>
        <v>2141705697</v>
      </c>
      <c r="M54" s="923">
        <f t="shared" si="12"/>
        <v>166024944</v>
      </c>
      <c r="N54" s="923">
        <f t="shared" si="12"/>
        <v>166024944</v>
      </c>
      <c r="O54" s="908"/>
    </row>
    <row r="55" spans="1:16" x14ac:dyDescent="0.25">
      <c r="J55" s="933"/>
    </row>
  </sheetData>
  <sheetProtection selectLockedCells="1" selectUnlockedCells="1"/>
  <mergeCells count="2">
    <mergeCell ref="M2:N2"/>
    <mergeCell ref="A3:O3"/>
  </mergeCells>
  <pageMargins left="0.25" right="0.25" top="0.75" bottom="0.75" header="0.3" footer="0.3"/>
  <pageSetup paperSize="9" scale="53" firstPageNumber="0" orientation="landscape" r:id="rId1"/>
  <headerFooter alignWithMargins="0">
    <oddHeader xml:space="preserve">&amp;C11. melléklet a 31/2019. (XII.13.) önkormányzati rendelethez
 az önkormányzat 2019. évi költségvetéséről szóló 6/2019. (II.28.) önkormányzati rendelet 
17. mellékletének helyébe a következő 11. melléklet lép:  
&amp;R
&amp;P. oldal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V58" sqref="V58"/>
    </sheetView>
  </sheetViews>
  <sheetFormatPr defaultRowHeight="13.2" x14ac:dyDescent="0.2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18</vt:i4>
      </vt:variant>
      <vt:variant>
        <vt:lpstr>Névvel ellátott tartományok</vt:lpstr>
      </vt:variant>
      <vt:variant>
        <vt:i4>16</vt:i4>
      </vt:variant>
    </vt:vector>
  </HeadingPairs>
  <TitlesOfParts>
    <vt:vector size="34" baseType="lpstr">
      <vt:lpstr>1.sz.tábla   (2)</vt:lpstr>
      <vt:lpstr>2.sz.tábla   (2)</vt:lpstr>
      <vt:lpstr>2.a tábla ÚJ </vt:lpstr>
      <vt:lpstr>2b. tábla 2019 (2)</vt:lpstr>
      <vt:lpstr>2c. tábla 2019. (2)</vt:lpstr>
      <vt:lpstr>3.sz. tábla  (2)</vt:lpstr>
      <vt:lpstr>4.sz.tábla </vt:lpstr>
      <vt:lpstr>4a. sz. tábla  (3)</vt:lpstr>
      <vt:lpstr>5.tábla (2)</vt:lpstr>
      <vt:lpstr>5b. sz. tábla  (2)</vt:lpstr>
      <vt:lpstr>6.sz.tábla  (2)</vt:lpstr>
      <vt:lpstr>7. sz. tábla 1</vt:lpstr>
      <vt:lpstr>8. sz. tábla  (3)</vt:lpstr>
      <vt:lpstr>8a. sz. tábla  (4)</vt:lpstr>
      <vt:lpstr>9. sz. tábla (2)</vt:lpstr>
      <vt:lpstr>10.sz. tábla</vt:lpstr>
      <vt:lpstr>11. sz. tábla </vt:lpstr>
      <vt:lpstr>Munka1</vt:lpstr>
      <vt:lpstr>'1.sz.tábla   (2)'!Nyomtatási_terület</vt:lpstr>
      <vt:lpstr>'11. sz. tábla '!Nyomtatási_terület</vt:lpstr>
      <vt:lpstr>'2.a tábla ÚJ '!Nyomtatási_terület</vt:lpstr>
      <vt:lpstr>'2.sz.tábla   (2)'!Nyomtatási_terület</vt:lpstr>
      <vt:lpstr>'2b. tábla 2019 (2)'!Nyomtatási_terület</vt:lpstr>
      <vt:lpstr>'2c. tábla 2019. (2)'!Nyomtatási_terület</vt:lpstr>
      <vt:lpstr>'3.sz. tábla  (2)'!Nyomtatási_terület</vt:lpstr>
      <vt:lpstr>'4.sz.tábla '!Nyomtatási_terület</vt:lpstr>
      <vt:lpstr>'4a. sz. tábla  (3)'!Nyomtatási_terület</vt:lpstr>
      <vt:lpstr>'5.tábla (2)'!Nyomtatási_terület</vt:lpstr>
      <vt:lpstr>'5b. sz. tábla  (2)'!Nyomtatási_terület</vt:lpstr>
      <vt:lpstr>'6.sz.tábla  (2)'!Nyomtatási_terület</vt:lpstr>
      <vt:lpstr>'7. sz. tábla 1'!Nyomtatási_terület</vt:lpstr>
      <vt:lpstr>'8. sz. tábla  (3)'!Nyomtatási_terület</vt:lpstr>
      <vt:lpstr>'8a. sz. tábla  (4)'!Nyomtatási_terület</vt:lpstr>
      <vt:lpstr>'9. sz. tábla (2)'!Nyomtatási_terület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2019-12-12T07:00:05Z</cp:lastPrinted>
  <dcterms:created xsi:type="dcterms:W3CDTF">2014-05-27T12:51:39Z</dcterms:created>
  <dcterms:modified xsi:type="dcterms:W3CDTF">2019-12-13T11:12:33Z</dcterms:modified>
</cp:coreProperties>
</file>