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5600" firstSheet="15" activeTab="22"/>
  </bookViews>
  <sheets>
    <sheet name="1.sz.mell." sheetId="19" r:id="rId1"/>
    <sheet name="2.sz.mell." sheetId="2" r:id="rId2"/>
    <sheet name="3.sz.mell." sheetId="3" r:id="rId3"/>
    <sheet name="4.a sz.mell." sheetId="23" r:id="rId4"/>
    <sheet name="4 b.sz.mell." sheetId="24" r:id="rId5"/>
    <sheet name="5.sz.mell." sheetId="18" r:id="rId6"/>
    <sheet name="6.sz.mell." sheetId="5" r:id="rId7"/>
    <sheet name="7.sz.mell." sheetId="6" r:id="rId8"/>
    <sheet name="8.sz.mell." sheetId="7" r:id="rId9"/>
    <sheet name="9.sz.mell." sheetId="8" r:id="rId10"/>
    <sheet name="10.sz.mell." sheetId="10" r:id="rId11"/>
    <sheet name="11.sz.mell." sheetId="12" r:id="rId12"/>
    <sheet name="12.sz.mell." sheetId="13" r:id="rId13"/>
    <sheet name="13.sz.mell." sheetId="15" r:id="rId14"/>
    <sheet name="14.sz.m" sheetId="16" r:id="rId15"/>
    <sheet name="15.sz.m." sheetId="17" r:id="rId16"/>
    <sheet name="16.sz.m." sheetId="21" r:id="rId17"/>
    <sheet name="17.sz.mell" sheetId="25" r:id="rId18"/>
    <sheet name="18.sz.mell" sheetId="26" r:id="rId19"/>
    <sheet name="19. sz.mell" sheetId="27" r:id="rId20"/>
    <sheet name="20.sz. mell." sheetId="28" r:id="rId21"/>
    <sheet name="21.sz. mell" sheetId="29" r:id="rId22"/>
    <sheet name="22.sz. mell" sheetId="30" r:id="rId23"/>
  </sheets>
  <externalReferences>
    <externalReference r:id="rId24"/>
  </externalReferences>
  <definedNames>
    <definedName name="_xlnm.Print_Titles" localSheetId="0">'1.sz.mell.'!$1:$1</definedName>
    <definedName name="_xlnm.Print_Titles" localSheetId="1">'2.sz.mell.'!$1:$1</definedName>
    <definedName name="_xlnm.Print_Titles" localSheetId="21">'21.sz. mell'!$3:$5</definedName>
    <definedName name="_xlnm.Print_Titles" localSheetId="4">'4 b.sz.mell.'!$A:$C</definedName>
    <definedName name="_xlnm.Print_Titles" localSheetId="3">'4.a sz.mell.'!$A:$C</definedName>
    <definedName name="_xlnm.Print_Area" localSheetId="0">'1.sz.mell.'!$A$1:$E$184</definedName>
    <definedName name="_xlnm.Print_Area" localSheetId="10">'10.sz.mell.'!$A$1:$Q$10</definedName>
    <definedName name="_xlnm.Print_Area" localSheetId="11">'11.sz.mell.'!$A$1:$E$14</definedName>
    <definedName name="_xlnm.Print_Area" localSheetId="12">'12.sz.mell.'!$A$1:$F$56</definedName>
    <definedName name="_xlnm.Print_Area" localSheetId="13">'13.sz.mell.'!$A$1:$F$33</definedName>
    <definedName name="_xlnm.Print_Area" localSheetId="14">'14.sz.m'!$A$1:$E$41</definedName>
    <definedName name="_xlnm.Print_Area" localSheetId="15">'15.sz.m.'!$A$1:$H$23</definedName>
    <definedName name="_xlnm.Print_Area" localSheetId="16">'16.sz.m.'!$A$1:$G$32</definedName>
    <definedName name="_xlnm.Print_Area" localSheetId="17">'17.sz.mell'!$A$1:$I$27</definedName>
    <definedName name="_xlnm.Print_Area" localSheetId="1">'2.sz.mell.'!$A$1:$G$47</definedName>
    <definedName name="_xlnm.Print_Area" localSheetId="2">'3.sz.mell.'!$A$1:$AF$26</definedName>
    <definedName name="_xlnm.Print_Area" localSheetId="4">'4 b.sz.mell.'!$A$1:$AG$62</definedName>
    <definedName name="_xlnm.Print_Area" localSheetId="3">'4.a sz.mell.'!$A$1:$AM$66</definedName>
    <definedName name="_xlnm.Print_Area" localSheetId="5">'5.sz.mell.'!$A$1:$F$60</definedName>
    <definedName name="_xlnm.Print_Area" localSheetId="6">'6.sz.mell.'!$A$1:$E$25</definedName>
    <definedName name="_xlnm.Print_Area" localSheetId="7">'7.sz.mell.'!$A$1:$F$54</definedName>
    <definedName name="_xlnm.Print_Area" localSheetId="8">'8.sz.mell.'!$A$1:$H$27</definedName>
    <definedName name="_xlnm.Print_Area" localSheetId="9">'9.sz.mell.'!$A$1:$M$17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25"/>
  <c r="D26"/>
  <c r="E12"/>
  <c r="D12"/>
  <c r="C12"/>
  <c r="D8" i="26"/>
  <c r="C8"/>
  <c r="B8"/>
  <c r="D7"/>
  <c r="C7"/>
  <c r="C9" s="1"/>
  <c r="B7"/>
  <c r="D6"/>
  <c r="D9" s="1"/>
  <c r="C6"/>
  <c r="B6"/>
  <c r="I16" s="1"/>
  <c r="I20"/>
  <c r="H19"/>
  <c r="G19"/>
  <c r="F19"/>
  <c r="E19"/>
  <c r="D19"/>
  <c r="C19"/>
  <c r="B19"/>
  <c r="P9"/>
  <c r="O9"/>
  <c r="N9"/>
  <c r="M9"/>
  <c r="L9"/>
  <c r="K9"/>
  <c r="J9"/>
  <c r="I9"/>
  <c r="H9"/>
  <c r="G9"/>
  <c r="F9"/>
  <c r="E9"/>
  <c r="E14" i="25"/>
  <c r="D14"/>
  <c r="C14"/>
  <c r="E11"/>
  <c r="D11"/>
  <c r="C11"/>
  <c r="E10"/>
  <c r="D10"/>
  <c r="C10"/>
  <c r="I26"/>
  <c r="I27" s="1"/>
  <c r="H26"/>
  <c r="G26"/>
  <c r="F26"/>
  <c r="C26"/>
  <c r="H23"/>
  <c r="H27" s="1"/>
  <c r="G23"/>
  <c r="G27" s="1"/>
  <c r="F23"/>
  <c r="F27" s="1"/>
  <c r="I14"/>
  <c r="I16" s="1"/>
  <c r="H14"/>
  <c r="H16" s="1"/>
  <c r="G14"/>
  <c r="G16" s="1"/>
  <c r="F14"/>
  <c r="F16" s="1"/>
  <c r="I18" i="26" l="1"/>
  <c r="B9"/>
  <c r="I17"/>
  <c r="D16" i="25"/>
  <c r="E16"/>
  <c r="C16"/>
  <c r="E11" i="16"/>
  <c r="I19" i="26" l="1"/>
  <c r="F20" i="15"/>
  <c r="I28"/>
  <c r="H28"/>
  <c r="E13" i="12"/>
  <c r="E12"/>
  <c r="E11"/>
  <c r="E10"/>
  <c r="Q9" i="10"/>
  <c r="Q8"/>
  <c r="P8"/>
  <c r="P9"/>
  <c r="K10" i="8"/>
  <c r="K7"/>
  <c r="H25" i="7"/>
  <c r="H24"/>
  <c r="H23"/>
  <c r="H22"/>
  <c r="H21"/>
  <c r="H19"/>
  <c r="H17"/>
  <c r="H18" s="1"/>
  <c r="H15"/>
  <c r="H16" s="1"/>
  <c r="H13"/>
  <c r="H12"/>
  <c r="H11"/>
  <c r="H10"/>
  <c r="H9"/>
  <c r="H8"/>
  <c r="F19" i="6"/>
  <c r="F20"/>
  <c r="F7"/>
  <c r="F35"/>
  <c r="F55"/>
  <c r="H21" i="5"/>
  <c r="E10"/>
  <c r="D10"/>
  <c r="C10"/>
  <c r="B10"/>
  <c r="Q11" i="3"/>
  <c r="Q10"/>
  <c r="Q9"/>
  <c r="Q8"/>
  <c r="Q7"/>
  <c r="T8"/>
  <c r="AC27"/>
  <c r="E27"/>
  <c r="E24"/>
  <c r="E23"/>
  <c r="E22"/>
  <c r="E21"/>
  <c r="E20"/>
  <c r="E88" i="19"/>
  <c r="G24" i="2"/>
  <c r="H114" i="19"/>
  <c r="G113"/>
  <c r="G109"/>
  <c r="H113"/>
  <c r="G106"/>
  <c r="E25" i="3" l="1"/>
  <c r="K14" i="8"/>
  <c r="H14" i="7"/>
  <c r="H26"/>
  <c r="Q12" i="3"/>
  <c r="F12" i="6"/>
  <c r="E111" i="19"/>
  <c r="E110"/>
  <c r="E108"/>
  <c r="E105"/>
  <c r="E102"/>
  <c r="E23" i="25" s="1"/>
  <c r="E27" s="1"/>
  <c r="E101" i="19"/>
  <c r="E99"/>
  <c r="E98"/>
  <c r="E97"/>
  <c r="E96"/>
  <c r="E85"/>
  <c r="H85"/>
  <c r="H81"/>
  <c r="H68"/>
  <c r="C86"/>
  <c r="E53"/>
  <c r="H57"/>
  <c r="H50"/>
  <c r="E48"/>
  <c r="E45"/>
  <c r="E46"/>
  <c r="E47"/>
  <c r="E44"/>
  <c r="E43"/>
  <c r="E42"/>
  <c r="E41"/>
  <c r="E40"/>
  <c r="E39"/>
  <c r="H38"/>
  <c r="D38"/>
  <c r="H42"/>
  <c r="E38"/>
  <c r="G62" i="24"/>
  <c r="H62"/>
  <c r="I62"/>
  <c r="J62"/>
  <c r="K62"/>
  <c r="L62"/>
  <c r="M62"/>
  <c r="N62"/>
  <c r="O62"/>
  <c r="P62"/>
  <c r="Q62"/>
  <c r="R62"/>
  <c r="S62"/>
  <c r="T62"/>
  <c r="V62"/>
  <c r="W62"/>
  <c r="X62"/>
  <c r="Y62"/>
  <c r="Z62"/>
  <c r="AB62"/>
  <c r="AC62"/>
  <c r="AD62"/>
  <c r="F61"/>
  <c r="F62" s="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AG47" s="1"/>
  <c r="Y47"/>
  <c r="Z47"/>
  <c r="AA47"/>
  <c r="AB47"/>
  <c r="AC47"/>
  <c r="AD47"/>
  <c r="E44"/>
  <c r="F44"/>
  <c r="G44"/>
  <c r="H44"/>
  <c r="I44"/>
  <c r="J44"/>
  <c r="K44"/>
  <c r="L44"/>
  <c r="M44"/>
  <c r="N44"/>
  <c r="O44"/>
  <c r="P44"/>
  <c r="Q44"/>
  <c r="R44"/>
  <c r="S44"/>
  <c r="T44"/>
  <c r="AF44" s="1"/>
  <c r="U44"/>
  <c r="V44"/>
  <c r="W44"/>
  <c r="X44"/>
  <c r="Y44"/>
  <c r="Z44"/>
  <c r="AA44"/>
  <c r="AB44"/>
  <c r="AC44"/>
  <c r="AD44"/>
  <c r="D44"/>
  <c r="AG44"/>
  <c r="AG41"/>
  <c r="F38"/>
  <c r="G38"/>
  <c r="H38"/>
  <c r="I38"/>
  <c r="J38"/>
  <c r="K38"/>
  <c r="L38"/>
  <c r="M38"/>
  <c r="N38"/>
  <c r="O38"/>
  <c r="P38"/>
  <c r="Q38"/>
  <c r="R38"/>
  <c r="S38"/>
  <c r="T38"/>
  <c r="U38"/>
  <c r="E86" i="19" s="1"/>
  <c r="V38" i="24"/>
  <c r="W38"/>
  <c r="X38"/>
  <c r="Y38"/>
  <c r="Z38"/>
  <c r="AA38"/>
  <c r="AA62" s="1"/>
  <c r="AB38"/>
  <c r="AC38"/>
  <c r="AD38"/>
  <c r="AG7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9"/>
  <c r="AG40"/>
  <c r="AG42"/>
  <c r="AG43"/>
  <c r="AG45"/>
  <c r="AG46"/>
  <c r="AG48"/>
  <c r="AG49"/>
  <c r="AG50"/>
  <c r="AG52"/>
  <c r="AG53"/>
  <c r="AG54"/>
  <c r="AG55"/>
  <c r="AG56"/>
  <c r="AG57"/>
  <c r="AG58"/>
  <c r="AG59"/>
  <c r="AG60"/>
  <c r="AG6"/>
  <c r="E66" i="23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AJ66" s="1"/>
  <c r="Y66"/>
  <c r="Z66"/>
  <c r="AA66"/>
  <c r="AB66"/>
  <c r="AC66"/>
  <c r="AD66"/>
  <c r="AE66"/>
  <c r="AF66"/>
  <c r="AG66"/>
  <c r="AG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J56" s="1"/>
  <c r="AB56"/>
  <c r="AC56"/>
  <c r="AD56"/>
  <c r="AE56"/>
  <c r="AF56"/>
  <c r="AG56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AJ53" s="1"/>
  <c r="Y53"/>
  <c r="Z53"/>
  <c r="AA53"/>
  <c r="AB53"/>
  <c r="AC53"/>
  <c r="AD53"/>
  <c r="AE53"/>
  <c r="AF53"/>
  <c r="AG53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AJ48" s="1"/>
  <c r="Y48"/>
  <c r="Z48"/>
  <c r="AA48"/>
  <c r="AB48"/>
  <c r="AC48"/>
  <c r="AD48"/>
  <c r="AE48"/>
  <c r="AF48"/>
  <c r="AG48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J43" s="1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J42" s="1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E34"/>
  <c r="AJ34"/>
  <c r="R30"/>
  <c r="AJ30" s="1"/>
  <c r="O25"/>
  <c r="AJ25" s="1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6"/>
  <c r="AJ27"/>
  <c r="AJ28"/>
  <c r="AJ29"/>
  <c r="AJ31"/>
  <c r="AJ32"/>
  <c r="AJ33"/>
  <c r="AJ35"/>
  <c r="AJ36"/>
  <c r="AJ37"/>
  <c r="AJ38"/>
  <c r="AJ39"/>
  <c r="AJ40"/>
  <c r="AJ41"/>
  <c r="AJ44"/>
  <c r="AJ45"/>
  <c r="AJ46"/>
  <c r="AJ47"/>
  <c r="AJ49"/>
  <c r="AJ50"/>
  <c r="AJ51"/>
  <c r="AJ52"/>
  <c r="AJ54"/>
  <c r="AJ55"/>
  <c r="AJ57"/>
  <c r="AJ58"/>
  <c r="AJ59"/>
  <c r="AJ60"/>
  <c r="AJ61"/>
  <c r="AJ62"/>
  <c r="AJ63"/>
  <c r="AJ64"/>
  <c r="AJ6"/>
  <c r="H27" i="7" l="1"/>
  <c r="E8" i="12"/>
  <c r="E14"/>
  <c r="U62" i="24"/>
  <c r="AG62" s="1"/>
  <c r="AG61"/>
  <c r="AG51"/>
  <c r="AG38"/>
  <c r="AJ65" i="23"/>
  <c r="AI34"/>
  <c r="D25" i="21"/>
  <c r="D23"/>
  <c r="D14"/>
  <c r="D13"/>
  <c r="H13" i="17"/>
  <c r="H22" s="1"/>
  <c r="E25" i="16"/>
  <c r="E18"/>
  <c r="E20" s="1"/>
  <c r="E12"/>
  <c r="E39" s="1"/>
  <c r="E8"/>
  <c r="E9" s="1"/>
  <c r="F28" i="15"/>
  <c r="E16" i="12"/>
  <c r="AM65" i="23"/>
  <c r="AM34"/>
  <c r="AM43" s="1"/>
  <c r="AM66" s="1"/>
  <c r="AM11"/>
  <c r="E22" i="5"/>
  <c r="E23" s="1"/>
  <c r="E19"/>
  <c r="E18"/>
  <c r="E17"/>
  <c r="E16"/>
  <c r="E15"/>
  <c r="E14"/>
  <c r="E9"/>
  <c r="F59" i="18"/>
  <c r="F58"/>
  <c r="F57"/>
  <c r="F56"/>
  <c r="F55"/>
  <c r="F37"/>
  <c r="F50" s="1"/>
  <c r="F36"/>
  <c r="F25"/>
  <c r="F24"/>
  <c r="F23"/>
  <c r="F22"/>
  <c r="F21"/>
  <c r="F20"/>
  <c r="F19"/>
  <c r="F18"/>
  <c r="F13"/>
  <c r="AF27" i="3"/>
  <c r="Z31"/>
  <c r="Z27"/>
  <c r="Z20"/>
  <c r="Z25" s="1"/>
  <c r="W27"/>
  <c r="W24"/>
  <c r="W23"/>
  <c r="W22"/>
  <c r="W21"/>
  <c r="W20"/>
  <c r="T27"/>
  <c r="T20"/>
  <c r="T25" s="1"/>
  <c r="Q27"/>
  <c r="Q20"/>
  <c r="N27"/>
  <c r="N22"/>
  <c r="N21"/>
  <c r="N20"/>
  <c r="K27"/>
  <c r="K24"/>
  <c r="K23"/>
  <c r="AC23" s="1"/>
  <c r="AF23" s="1"/>
  <c r="K22"/>
  <c r="K21"/>
  <c r="K20"/>
  <c r="H27"/>
  <c r="H24"/>
  <c r="H23"/>
  <c r="H22"/>
  <c r="H21"/>
  <c r="H20"/>
  <c r="Z11"/>
  <c r="Z10"/>
  <c r="Z9"/>
  <c r="Z8"/>
  <c r="Z7"/>
  <c r="W12"/>
  <c r="T12"/>
  <c r="K11"/>
  <c r="K10"/>
  <c r="K9"/>
  <c r="K8"/>
  <c r="K7"/>
  <c r="H8"/>
  <c r="H7"/>
  <c r="E11"/>
  <c r="E10"/>
  <c r="E9"/>
  <c r="E8"/>
  <c r="E7"/>
  <c r="G16" i="2"/>
  <c r="G12"/>
  <c r="G44"/>
  <c r="G43"/>
  <c r="G40"/>
  <c r="G38"/>
  <c r="G37"/>
  <c r="G36"/>
  <c r="G34"/>
  <c r="G33"/>
  <c r="G32"/>
  <c r="G35"/>
  <c r="E11" i="5"/>
  <c r="E20"/>
  <c r="E70" i="19"/>
  <c r="D12" i="21" s="1"/>
  <c r="E68" i="19"/>
  <c r="E57"/>
  <c r="D10" i="21" s="1"/>
  <c r="E18" i="19"/>
  <c r="D8" i="21" s="1"/>
  <c r="AC11" i="3" l="1"/>
  <c r="AF11" s="1"/>
  <c r="AC24"/>
  <c r="AF24" s="1"/>
  <c r="AC21"/>
  <c r="AF21" s="1"/>
  <c r="AC22"/>
  <c r="AF22" s="1"/>
  <c r="Q25"/>
  <c r="AC20"/>
  <c r="AF20" s="1"/>
  <c r="E21" i="5"/>
  <c r="F33" i="15"/>
  <c r="I29"/>
  <c r="F53" i="6"/>
  <c r="F57" s="1"/>
  <c r="H89" i="19"/>
  <c r="I89"/>
  <c r="F17" i="18"/>
  <c r="F26" s="1"/>
  <c r="F60" s="1"/>
  <c r="G8" i="2"/>
  <c r="D11" i="21"/>
  <c r="G9" i="2"/>
  <c r="G10"/>
  <c r="E24" i="5"/>
  <c r="F62" i="18"/>
  <c r="G46" i="2"/>
  <c r="W25" i="3"/>
  <c r="H16" i="17"/>
  <c r="H18" s="1"/>
  <c r="N25" i="3"/>
  <c r="H25"/>
  <c r="K25"/>
  <c r="AC8"/>
  <c r="AF8" s="1"/>
  <c r="AC9"/>
  <c r="AF9" s="1"/>
  <c r="AC10"/>
  <c r="AF10" s="1"/>
  <c r="Z12"/>
  <c r="AC7"/>
  <c r="H12"/>
  <c r="E12"/>
  <c r="K12"/>
  <c r="E81" i="19"/>
  <c r="E50"/>
  <c r="E16" i="15"/>
  <c r="E20"/>
  <c r="N9" i="10"/>
  <c r="N8"/>
  <c r="E21" i="6"/>
  <c r="E19"/>
  <c r="D17" i="5"/>
  <c r="C17"/>
  <c r="C16"/>
  <c r="D16"/>
  <c r="D18"/>
  <c r="E13" i="18"/>
  <c r="E36"/>
  <c r="D36"/>
  <c r="E55"/>
  <c r="AF7" i="3" l="1"/>
  <c r="AF12" s="1"/>
  <c r="AC12"/>
  <c r="AC25"/>
  <c r="AF25" s="1"/>
  <c r="F63" i="18"/>
  <c r="D9" i="21"/>
  <c r="G11" i="2"/>
  <c r="D16" i="21"/>
  <c r="G21" i="2"/>
  <c r="G25" s="1"/>
  <c r="E26" i="5" s="1"/>
  <c r="E59" i="18"/>
  <c r="E58"/>
  <c r="E56"/>
  <c r="AH27" i="3" l="1"/>
  <c r="R12"/>
  <c r="S12"/>
  <c r="U12"/>
  <c r="V12"/>
  <c r="AE7" i="24" l="1"/>
  <c r="AF7"/>
  <c r="AE9"/>
  <c r="AF9"/>
  <c r="AE10"/>
  <c r="AF10"/>
  <c r="AE12"/>
  <c r="AF12"/>
  <c r="AE13"/>
  <c r="AF13"/>
  <c r="AE15"/>
  <c r="AF15"/>
  <c r="AE16"/>
  <c r="AF16"/>
  <c r="AE17"/>
  <c r="AF17"/>
  <c r="AE18"/>
  <c r="AF18"/>
  <c r="AE19"/>
  <c r="AF19"/>
  <c r="AE20"/>
  <c r="AF20"/>
  <c r="AE22"/>
  <c r="AF22"/>
  <c r="AE23"/>
  <c r="AF23"/>
  <c r="AE24"/>
  <c r="AF24"/>
  <c r="AE25"/>
  <c r="AF25"/>
  <c r="AE26"/>
  <c r="AF26"/>
  <c r="AE28"/>
  <c r="AF28"/>
  <c r="AE29"/>
  <c r="AF29"/>
  <c r="AE30"/>
  <c r="AF30"/>
  <c r="AE31"/>
  <c r="AF31"/>
  <c r="AE32"/>
  <c r="AF32"/>
  <c r="AE33"/>
  <c r="AF33"/>
  <c r="AE34"/>
  <c r="AF34"/>
  <c r="AE35"/>
  <c r="AF35"/>
  <c r="AE37"/>
  <c r="AF37"/>
  <c r="AE39"/>
  <c r="AF39"/>
  <c r="AE40"/>
  <c r="AF40"/>
  <c r="AE41"/>
  <c r="AF41"/>
  <c r="AE42"/>
  <c r="AF42"/>
  <c r="AE43"/>
  <c r="AF43"/>
  <c r="AE45"/>
  <c r="AF45"/>
  <c r="AE46"/>
  <c r="AF46"/>
  <c r="AE48"/>
  <c r="AF48"/>
  <c r="AE49"/>
  <c r="AF49"/>
  <c r="AE50"/>
  <c r="AF50"/>
  <c r="AE52"/>
  <c r="AF52"/>
  <c r="AE53"/>
  <c r="AF53"/>
  <c r="AE54"/>
  <c r="AF54"/>
  <c r="AE55"/>
  <c r="AF55"/>
  <c r="AE56"/>
  <c r="AF56"/>
  <c r="AE57"/>
  <c r="AF57"/>
  <c r="AE58"/>
  <c r="AF58"/>
  <c r="AE59"/>
  <c r="AF59"/>
  <c r="AE60"/>
  <c r="AF60"/>
  <c r="T36"/>
  <c r="AF36" s="1"/>
  <c r="D85" i="19"/>
  <c r="C85"/>
  <c r="E38" i="24"/>
  <c r="D61" i="19"/>
  <c r="F38"/>
  <c r="N15" i="3" l="1"/>
  <c r="F88" i="19"/>
  <c r="C13" i="21"/>
  <c r="F16" i="2"/>
  <c r="G85" i="19"/>
  <c r="D18"/>
  <c r="G5"/>
  <c r="M15" i="3" l="1"/>
  <c r="B13" i="21"/>
  <c r="F85" i="19"/>
  <c r="E16" i="2"/>
  <c r="O15" i="3"/>
  <c r="B14" i="21"/>
  <c r="C14"/>
  <c r="P15" i="3"/>
  <c r="G88" i="19"/>
  <c r="E62" i="18"/>
  <c r="G17" i="19"/>
  <c r="E47" i="24"/>
  <c r="D47"/>
  <c r="N20" i="23"/>
  <c r="N25"/>
  <c r="J55"/>
  <c r="AE44" i="24" l="1"/>
  <c r="AF47"/>
  <c r="AE47"/>
  <c r="G38" i="19"/>
  <c r="O9" i="10"/>
  <c r="O8"/>
  <c r="M9"/>
  <c r="M8"/>
  <c r="I9"/>
  <c r="I8"/>
  <c r="F9"/>
  <c r="G9" s="1"/>
  <c r="F8"/>
  <c r="G8" s="1"/>
  <c r="E9"/>
  <c r="E8"/>
  <c r="E28" i="15" l="1"/>
  <c r="D28"/>
  <c r="H29" l="1"/>
  <c r="C25" i="21"/>
  <c r="C23"/>
  <c r="I7" i="8"/>
  <c r="AL11" i="23"/>
  <c r="I10" i="8" s="1"/>
  <c r="G13" i="7"/>
  <c r="E12" i="6"/>
  <c r="E7"/>
  <c r="D19" i="5"/>
  <c r="D15"/>
  <c r="D14"/>
  <c r="D9"/>
  <c r="D57" i="18"/>
  <c r="E57"/>
  <c r="L12" i="3"/>
  <c r="G7"/>
  <c r="F7"/>
  <c r="F40" i="2"/>
  <c r="F37"/>
  <c r="D105" i="19"/>
  <c r="F35" i="2" s="1"/>
  <c r="D71" i="19"/>
  <c r="D20" i="5" l="1"/>
  <c r="C59" i="19" l="1"/>
  <c r="D48"/>
  <c r="D47"/>
  <c r="D46"/>
  <c r="D42"/>
  <c r="J11" i="3"/>
  <c r="D45" i="19"/>
  <c r="D44"/>
  <c r="D43"/>
  <c r="D41"/>
  <c r="D40"/>
  <c r="D39"/>
  <c r="E37" i="18"/>
  <c r="E50" s="1"/>
  <c r="I11" i="3" l="1"/>
  <c r="F12" i="2"/>
  <c r="D50" i="19"/>
  <c r="D68"/>
  <c r="Y8" i="3"/>
  <c r="O8"/>
  <c r="F8"/>
  <c r="F12" s="1"/>
  <c r="G8"/>
  <c r="G12" s="1"/>
  <c r="D8"/>
  <c r="I8"/>
  <c r="J8"/>
  <c r="H44" i="19" l="1"/>
  <c r="P8" i="3"/>
  <c r="C9" i="21"/>
  <c r="F11" i="2"/>
  <c r="C8" i="21"/>
  <c r="F10" i="2"/>
  <c r="C11" i="21"/>
  <c r="D21" i="3"/>
  <c r="G21"/>
  <c r="J21"/>
  <c r="M21"/>
  <c r="V21"/>
  <c r="AI45" i="23"/>
  <c r="AH45"/>
  <c r="E42"/>
  <c r="AI29"/>
  <c r="AH29"/>
  <c r="AB8" i="3" l="1"/>
  <c r="AE8" s="1"/>
  <c r="AB21"/>
  <c r="AH7" i="23"/>
  <c r="AH9"/>
  <c r="AH10"/>
  <c r="AH11"/>
  <c r="AH12"/>
  <c r="AH14"/>
  <c r="AH16"/>
  <c r="AH18"/>
  <c r="AH19"/>
  <c r="AH22"/>
  <c r="AH23"/>
  <c r="AH24"/>
  <c r="AH26"/>
  <c r="AH28"/>
  <c r="AH32"/>
  <c r="AH35"/>
  <c r="AH36"/>
  <c r="AH37"/>
  <c r="AH38"/>
  <c r="AH39"/>
  <c r="AH46"/>
  <c r="AH47"/>
  <c r="AH50"/>
  <c r="AH52"/>
  <c r="AH54"/>
  <c r="AH57"/>
  <c r="AH59"/>
  <c r="AH60"/>
  <c r="AH61"/>
  <c r="AH62"/>
  <c r="AH63"/>
  <c r="AH6"/>
  <c r="AI16"/>
  <c r="AI26" l="1"/>
  <c r="AI57"/>
  <c r="AI7"/>
  <c r="AI9"/>
  <c r="AI10"/>
  <c r="AI11"/>
  <c r="AI12"/>
  <c r="AI14"/>
  <c r="AI17"/>
  <c r="AI18"/>
  <c r="AI19"/>
  <c r="AI20"/>
  <c r="AI21"/>
  <c r="AI22"/>
  <c r="AI23"/>
  <c r="AI28"/>
  <c r="AI31"/>
  <c r="AI32"/>
  <c r="AI35"/>
  <c r="AI36"/>
  <c r="AI37"/>
  <c r="AI38"/>
  <c r="AI39"/>
  <c r="AI40"/>
  <c r="AI41"/>
  <c r="AI46"/>
  <c r="AI47"/>
  <c r="AI50"/>
  <c r="AI52"/>
  <c r="AI54"/>
  <c r="AI59"/>
  <c r="AI60"/>
  <c r="AI61"/>
  <c r="AI62"/>
  <c r="AI63"/>
  <c r="AI6"/>
  <c r="G13" i="17" l="1"/>
  <c r="G12"/>
  <c r="C8" i="16"/>
  <c r="D25"/>
  <c r="D18"/>
  <c r="D20" s="1"/>
  <c r="D11"/>
  <c r="D12" s="1"/>
  <c r="D39" s="1"/>
  <c r="D8"/>
  <c r="E33" i="15"/>
  <c r="D13" i="12"/>
  <c r="D12"/>
  <c r="D11"/>
  <c r="D10"/>
  <c r="K9" i="10"/>
  <c r="K8"/>
  <c r="I14" i="8"/>
  <c r="E53" i="6"/>
  <c r="D22" i="5"/>
  <c r="D23" s="1"/>
  <c r="E25" i="18"/>
  <c r="E24"/>
  <c r="E23"/>
  <c r="E22"/>
  <c r="E21"/>
  <c r="E20"/>
  <c r="E19"/>
  <c r="E18"/>
  <c r="P11" i="3"/>
  <c r="P10"/>
  <c r="P9"/>
  <c r="P7"/>
  <c r="Y11"/>
  <c r="Y10"/>
  <c r="Y9"/>
  <c r="T21" i="24"/>
  <c r="AF21" s="1"/>
  <c r="T14"/>
  <c r="AF14" s="1"/>
  <c r="T11"/>
  <c r="AF11" s="1"/>
  <c r="T8"/>
  <c r="AF8" s="1"/>
  <c r="T6"/>
  <c r="K27"/>
  <c r="J10" i="3"/>
  <c r="J9"/>
  <c r="J7"/>
  <c r="E61" i="24"/>
  <c r="D10" i="3"/>
  <c r="D9"/>
  <c r="D7"/>
  <c r="AF13" i="23"/>
  <c r="AC27"/>
  <c r="AI27" s="1"/>
  <c r="V24" i="3"/>
  <c r="V23"/>
  <c r="V22"/>
  <c r="T15" i="23"/>
  <c r="P12" i="3" l="1"/>
  <c r="AF51" i="24"/>
  <c r="AF27"/>
  <c r="AB9" i="3"/>
  <c r="AE9" s="1"/>
  <c r="AF61" i="24"/>
  <c r="AB10" i="3"/>
  <c r="AE10" s="1"/>
  <c r="AF6" i="24"/>
  <c r="G22" i="17"/>
  <c r="AI15" i="23"/>
  <c r="D9" i="12"/>
  <c r="E17" i="18"/>
  <c r="E26" s="1"/>
  <c r="E60" s="1"/>
  <c r="D11" i="3"/>
  <c r="D74" i="19"/>
  <c r="D81" s="1"/>
  <c r="T14" i="3"/>
  <c r="E62" i="24"/>
  <c r="AI13" i="23"/>
  <c r="AI33"/>
  <c r="AI8"/>
  <c r="G16" i="17"/>
  <c r="G18" s="1"/>
  <c r="H45" i="19"/>
  <c r="Q30" i="23"/>
  <c r="AI30" s="1"/>
  <c r="M22" i="3"/>
  <c r="J24"/>
  <c r="AI51" i="23"/>
  <c r="G24" i="3"/>
  <c r="G23"/>
  <c r="G22"/>
  <c r="AI64" i="23"/>
  <c r="D23" i="3"/>
  <c r="D22"/>
  <c r="D70" i="19"/>
  <c r="D57"/>
  <c r="AF38" i="24" l="1"/>
  <c r="Y7" i="3"/>
  <c r="Y12" s="1"/>
  <c r="AB11"/>
  <c r="AE11" s="1"/>
  <c r="G57" i="19"/>
  <c r="G81"/>
  <c r="AI12" i="3"/>
  <c r="E63" i="18"/>
  <c r="D86" i="19"/>
  <c r="C10" i="21"/>
  <c r="F9" i="2"/>
  <c r="C12" i="21"/>
  <c r="F8" i="2"/>
  <c r="G70" i="19"/>
  <c r="D15" i="3"/>
  <c r="G68" i="19"/>
  <c r="D16" i="12"/>
  <c r="D108" i="19"/>
  <c r="F44" i="2"/>
  <c r="E55" i="6"/>
  <c r="E57" s="1"/>
  <c r="D110" i="19"/>
  <c r="F15" i="3"/>
  <c r="D11" i="5"/>
  <c r="D21" s="1"/>
  <c r="H15" i="3"/>
  <c r="F50" i="19"/>
  <c r="G50" s="1"/>
  <c r="Y27" i="3"/>
  <c r="F38" i="2"/>
  <c r="D101" i="19"/>
  <c r="C26" i="21" s="1"/>
  <c r="Y20" i="3"/>
  <c r="D111" i="19"/>
  <c r="F43" i="2"/>
  <c r="P27" i="3"/>
  <c r="L15"/>
  <c r="P20"/>
  <c r="AI48" i="23"/>
  <c r="E65"/>
  <c r="AI44"/>
  <c r="AI58"/>
  <c r="AI49"/>
  <c r="AI25"/>
  <c r="AI55"/>
  <c r="E43"/>
  <c r="D20" i="3" s="1"/>
  <c r="AI42" i="23"/>
  <c r="J20" i="3"/>
  <c r="F13" i="7"/>
  <c r="AB7" i="3" l="1"/>
  <c r="AF62" i="24"/>
  <c r="F90" i="19" s="1"/>
  <c r="R15" i="3"/>
  <c r="F46" i="2"/>
  <c r="G87" i="19"/>
  <c r="D87"/>
  <c r="D89" s="1"/>
  <c r="G20" i="3"/>
  <c r="V20"/>
  <c r="F41" i="2"/>
  <c r="C28" i="21"/>
  <c r="AI56" i="23"/>
  <c r="J23" i="3"/>
  <c r="AB23" s="1"/>
  <c r="AI65" i="23"/>
  <c r="D24" i="3"/>
  <c r="AB24" s="1"/>
  <c r="S27"/>
  <c r="F36" i="2"/>
  <c r="S20" i="3"/>
  <c r="D99" i="19"/>
  <c r="C24" i="21" s="1"/>
  <c r="AI53" i="23"/>
  <c r="J22" i="3"/>
  <c r="AB22" s="1"/>
  <c r="F21" i="2"/>
  <c r="C16" i="21"/>
  <c r="G21" i="5"/>
  <c r="G73" i="19"/>
  <c r="AI24" i="23"/>
  <c r="AL65"/>
  <c r="AL34"/>
  <c r="AL43" s="1"/>
  <c r="G25" i="7"/>
  <c r="G24"/>
  <c r="G23"/>
  <c r="G22"/>
  <c r="G21"/>
  <c r="G19"/>
  <c r="G17"/>
  <c r="G18" s="1"/>
  <c r="G15"/>
  <c r="G16" s="1"/>
  <c r="G12"/>
  <c r="G11"/>
  <c r="G10"/>
  <c r="G9"/>
  <c r="G8"/>
  <c r="AE7" i="3" l="1"/>
  <c r="AE12" s="1"/>
  <c r="H90" i="19"/>
  <c r="T15" i="3"/>
  <c r="V15"/>
  <c r="G89" i="19"/>
  <c r="O64" i="24"/>
  <c r="F13" i="2"/>
  <c r="F17" s="1"/>
  <c r="D102" i="19"/>
  <c r="D23" i="25" s="1"/>
  <c r="D27" s="1"/>
  <c r="V27" i="3"/>
  <c r="D27"/>
  <c r="D96" i="19"/>
  <c r="F32" i="2"/>
  <c r="D98" i="19"/>
  <c r="C22" i="21" s="1"/>
  <c r="F34" i="2"/>
  <c r="J27" i="3"/>
  <c r="G27"/>
  <c r="D97" i="19"/>
  <c r="C21" i="21" s="1"/>
  <c r="F33" i="2"/>
  <c r="M20" i="3"/>
  <c r="AB20" s="1"/>
  <c r="AL66" i="23"/>
  <c r="G14" i="7"/>
  <c r="G26"/>
  <c r="C11" i="16"/>
  <c r="F13" i="17"/>
  <c r="F12"/>
  <c r="C25" i="16"/>
  <c r="C18"/>
  <c r="B10" i="13"/>
  <c r="E10"/>
  <c r="D10"/>
  <c r="D11" s="1"/>
  <c r="C10"/>
  <c r="C11" s="1"/>
  <c r="B11"/>
  <c r="E12"/>
  <c r="D12"/>
  <c r="C12"/>
  <c r="B12"/>
  <c r="C12" i="12"/>
  <c r="C11"/>
  <c r="C13"/>
  <c r="G7" i="8"/>
  <c r="F17" i="7"/>
  <c r="F15"/>
  <c r="F16" s="1"/>
  <c r="F12"/>
  <c r="F11"/>
  <c r="F10"/>
  <c r="F9"/>
  <c r="F8"/>
  <c r="D55" i="6"/>
  <c r="D32"/>
  <c r="D20"/>
  <c r="D12" l="1"/>
  <c r="D13" i="13"/>
  <c r="F10"/>
  <c r="D106" i="19"/>
  <c r="C20" i="21"/>
  <c r="C27"/>
  <c r="F39" i="2"/>
  <c r="F42" s="1"/>
  <c r="F47" s="1"/>
  <c r="B13" i="13"/>
  <c r="AI43" i="23"/>
  <c r="AI66" s="1"/>
  <c r="F14" i="7"/>
  <c r="G27"/>
  <c r="F12" i="13"/>
  <c r="E11"/>
  <c r="F11" s="1"/>
  <c r="AE27" i="3" l="1"/>
  <c r="Y31"/>
  <c r="AB27"/>
  <c r="G114" i="19"/>
  <c r="F106"/>
  <c r="O66" i="24"/>
  <c r="E13" i="13"/>
  <c r="G103" i="19"/>
  <c r="M27" i="3"/>
  <c r="AO43" i="23"/>
  <c r="C22" i="5"/>
  <c r="C15"/>
  <c r="C14"/>
  <c r="C9"/>
  <c r="B15"/>
  <c r="B14"/>
  <c r="B11"/>
  <c r="B9"/>
  <c r="D37" i="18"/>
  <c r="D50" s="1"/>
  <c r="D25"/>
  <c r="D24"/>
  <c r="D23"/>
  <c r="D22"/>
  <c r="D21"/>
  <c r="D20"/>
  <c r="D19"/>
  <c r="D18"/>
  <c r="D14"/>
  <c r="D13" s="1"/>
  <c r="G6" i="24"/>
  <c r="AB8" i="23"/>
  <c r="D17" i="18" l="1"/>
  <c r="C104" i="19"/>
  <c r="M20" i="23"/>
  <c r="C37" i="19"/>
  <c r="C63" l="1"/>
  <c r="C66"/>
  <c r="C36"/>
  <c r="D56" i="18" l="1"/>
  <c r="D59"/>
  <c r="S27" i="24"/>
  <c r="S6"/>
  <c r="S11"/>
  <c r="AE11" s="1"/>
  <c r="S14"/>
  <c r="AE14" s="1"/>
  <c r="S8"/>
  <c r="AE8" s="1"/>
  <c r="S21"/>
  <c r="AE21" s="1"/>
  <c r="J27"/>
  <c r="J36"/>
  <c r="AE13" i="23"/>
  <c r="AH13" s="1"/>
  <c r="C18" i="19"/>
  <c r="F17" s="1"/>
  <c r="S17" i="23"/>
  <c r="S15"/>
  <c r="AE6" i="24" l="1"/>
  <c r="AE27"/>
  <c r="AE36"/>
  <c r="C38" i="19"/>
  <c r="D62" i="18" s="1"/>
  <c r="F25" i="2"/>
  <c r="D26" i="5" s="1"/>
  <c r="D24"/>
  <c r="C10" i="12"/>
  <c r="AH17" i="23"/>
  <c r="C9" i="12"/>
  <c r="AH15" i="23"/>
  <c r="C74" i="19"/>
  <c r="C81" s="1"/>
  <c r="J8" i="23"/>
  <c r="D42"/>
  <c r="D34"/>
  <c r="D43" l="1"/>
  <c r="C11" i="5"/>
  <c r="C21" s="1"/>
  <c r="G44" i="23"/>
  <c r="D44"/>
  <c r="D48" s="1"/>
  <c r="AK65"/>
  <c r="D64"/>
  <c r="AH64" s="1"/>
  <c r="G58"/>
  <c r="D58"/>
  <c r="D65" s="1"/>
  <c r="D56"/>
  <c r="AH55"/>
  <c r="D53"/>
  <c r="J51"/>
  <c r="AH51" s="1"/>
  <c r="J41"/>
  <c r="AH41" s="1"/>
  <c r="J40"/>
  <c r="AH40" s="1"/>
  <c r="Y33"/>
  <c r="AH33" s="1"/>
  <c r="AB31"/>
  <c r="AH31" s="1"/>
  <c r="P30"/>
  <c r="AH30" s="1"/>
  <c r="AB27"/>
  <c r="J27"/>
  <c r="M25"/>
  <c r="AH25" s="1"/>
  <c r="AB21"/>
  <c r="AH21" s="1"/>
  <c r="J20"/>
  <c r="AH20" s="1"/>
  <c r="AK12"/>
  <c r="AE8"/>
  <c r="AH8" s="1"/>
  <c r="AH44" l="1"/>
  <c r="AH27"/>
  <c r="AH65"/>
  <c r="AH58"/>
  <c r="F23" i="3"/>
  <c r="AH42" i="23"/>
  <c r="AE24" i="3"/>
  <c r="I24"/>
  <c r="AE21"/>
  <c r="I21"/>
  <c r="AK34" i="23"/>
  <c r="AK43" s="1"/>
  <c r="AK66" s="1"/>
  <c r="G10" i="8"/>
  <c r="G14" s="1"/>
  <c r="AH56" i="23"/>
  <c r="J49"/>
  <c r="AH49" s="1"/>
  <c r="AH48" l="1"/>
  <c r="I23" i="3"/>
  <c r="AE23"/>
  <c r="AH53" i="23"/>
  <c r="I22" i="3" l="1"/>
  <c r="AE22"/>
  <c r="D10" i="2"/>
  <c r="D11"/>
  <c r="D17" s="1"/>
  <c r="C17"/>
  <c r="D21"/>
  <c r="D25" s="1"/>
  <c r="C25"/>
  <c r="C26"/>
  <c r="D26" l="1"/>
  <c r="G22" i="21"/>
  <c r="G31" s="1"/>
  <c r="F22"/>
  <c r="F31" s="1"/>
  <c r="E22"/>
  <c r="E31" s="1"/>
  <c r="B23" l="1"/>
  <c r="E18"/>
  <c r="F18"/>
  <c r="G18"/>
  <c r="D56" i="13"/>
  <c r="C56"/>
  <c r="E19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20"/>
  <c r="C13"/>
  <c r="E37" i="2"/>
  <c r="F13" i="13" l="1"/>
  <c r="E56"/>
  <c r="C68" i="19"/>
  <c r="C57"/>
  <c r="F14" i="13" l="1"/>
  <c r="U24" i="3"/>
  <c r="U23"/>
  <c r="U22"/>
  <c r="U21"/>
  <c r="F25" i="7" l="1"/>
  <c r="F24"/>
  <c r="F23"/>
  <c r="F22"/>
  <c r="F21"/>
  <c r="F19"/>
  <c r="F18"/>
  <c r="C23" i="5"/>
  <c r="D55" i="18"/>
  <c r="D26"/>
  <c r="C70" i="19"/>
  <c r="B10" i="21"/>
  <c r="D61" i="24"/>
  <c r="C11" i="3" s="1"/>
  <c r="D51" i="24"/>
  <c r="C10" i="3" s="1"/>
  <c r="C9"/>
  <c r="I9"/>
  <c r="C8"/>
  <c r="X8"/>
  <c r="D38" i="24"/>
  <c r="AE38" s="1"/>
  <c r="O7" i="3"/>
  <c r="C23"/>
  <c r="O10"/>
  <c r="O11"/>
  <c r="O9"/>
  <c r="AA8" l="1"/>
  <c r="AD8" s="1"/>
  <c r="I10"/>
  <c r="AE51" i="24"/>
  <c r="AE61"/>
  <c r="D60" i="18"/>
  <c r="B12" i="21"/>
  <c r="F70" i="19"/>
  <c r="X7" i="3"/>
  <c r="X10"/>
  <c r="X9"/>
  <c r="X11"/>
  <c r="E13" i="2"/>
  <c r="B8" i="21"/>
  <c r="F87" i="19"/>
  <c r="AA23" i="3"/>
  <c r="E10" i="2"/>
  <c r="E9"/>
  <c r="D62" i="24"/>
  <c r="F68" i="19" s="1"/>
  <c r="C7" i="3"/>
  <c r="C24" i="5"/>
  <c r="D7" i="6"/>
  <c r="D53" s="1"/>
  <c r="F26" i="7"/>
  <c r="F27" s="1"/>
  <c r="C45" i="19"/>
  <c r="C44"/>
  <c r="C43"/>
  <c r="C42"/>
  <c r="C41"/>
  <c r="C40"/>
  <c r="C39"/>
  <c r="AA9" i="3" l="1"/>
  <c r="AD9" s="1"/>
  <c r="K15"/>
  <c r="AA10"/>
  <c r="AD10" s="1"/>
  <c r="F81" i="19"/>
  <c r="AH12" i="3"/>
  <c r="AA11"/>
  <c r="AD11" s="1"/>
  <c r="C50" i="19"/>
  <c r="E15" i="3"/>
  <c r="F57" i="19"/>
  <c r="P25" i="3"/>
  <c r="F26" i="2"/>
  <c r="Q15" i="3"/>
  <c r="J12"/>
  <c r="C15"/>
  <c r="O27"/>
  <c r="O20"/>
  <c r="E12" i="2"/>
  <c r="F21" i="5"/>
  <c r="S14" i="3"/>
  <c r="U14"/>
  <c r="B11" i="21"/>
  <c r="E8" i="2"/>
  <c r="E21"/>
  <c r="B16" i="21"/>
  <c r="E87" i="19" l="1"/>
  <c r="G13" i="2"/>
  <c r="G17" s="1"/>
  <c r="G26" s="1"/>
  <c r="G90" i="19"/>
  <c r="C17" i="21"/>
  <c r="C18" s="1"/>
  <c r="B9"/>
  <c r="E11" i="2"/>
  <c r="E89" i="19" l="1"/>
  <c r="D17" i="21"/>
  <c r="D18" s="1"/>
  <c r="D33" i="15" l="1"/>
  <c r="X12" i="3" l="1"/>
  <c r="E17" i="2"/>
  <c r="E40"/>
  <c r="AD23" i="3"/>
  <c r="O25"/>
  <c r="C12" l="1"/>
  <c r="E25" i="2"/>
  <c r="C26" i="5" s="1"/>
  <c r="C87" i="19"/>
  <c r="C89" s="1"/>
  <c r="F21" i="3"/>
  <c r="C21"/>
  <c r="L21"/>
  <c r="C24"/>
  <c r="F24"/>
  <c r="C22"/>
  <c r="F22"/>
  <c r="L22"/>
  <c r="AA24" l="1"/>
  <c r="AD24" s="1"/>
  <c r="AA22"/>
  <c r="AD22" s="1"/>
  <c r="AA21"/>
  <c r="AD21" s="1"/>
  <c r="B17" i="21"/>
  <c r="B18" s="1"/>
  <c r="E26" i="2"/>
  <c r="C20" i="16" l="1"/>
  <c r="D35" i="2"/>
  <c r="D42" s="1"/>
  <c r="F22" i="17"/>
  <c r="C42" i="2"/>
  <c r="D46"/>
  <c r="F16" i="17"/>
  <c r="F18" s="1"/>
  <c r="C12" i="16"/>
  <c r="C39" s="1"/>
  <c r="C47" i="2" l="1"/>
  <c r="D47"/>
  <c r="C20" i="3" l="1"/>
  <c r="C25" s="1"/>
  <c r="D66" i="23" l="1"/>
  <c r="C27" i="3" s="1"/>
  <c r="E32" i="2" l="1"/>
  <c r="C96" i="19"/>
  <c r="B20" i="21" s="1"/>
  <c r="D25" i="3" l="1"/>
  <c r="F20" l="1"/>
  <c r="F25" s="1"/>
  <c r="C97" i="19"/>
  <c r="B21" i="21" s="1"/>
  <c r="D20"/>
  <c r="F27" i="3"/>
  <c r="E33" i="2"/>
  <c r="G25" i="3" l="1"/>
  <c r="I20" l="1"/>
  <c r="I25" s="1"/>
  <c r="C98" i="19" l="1"/>
  <c r="B22" i="21" s="1"/>
  <c r="D21"/>
  <c r="I27" i="3"/>
  <c r="E34" i="2"/>
  <c r="D22" i="21" l="1"/>
  <c r="L20" i="3" l="1"/>
  <c r="L25" s="1"/>
  <c r="J25"/>
  <c r="F103" i="19"/>
  <c r="L27" i="3"/>
  <c r="C103" i="19" l="1"/>
  <c r="B25" i="21" s="1"/>
  <c r="M25" i="3"/>
  <c r="E35" i="2" l="1"/>
  <c r="G28" i="15"/>
  <c r="E36" i="2"/>
  <c r="R20" i="3"/>
  <c r="R25" s="1"/>
  <c r="R27"/>
  <c r="C99" i="19"/>
  <c r="B24" i="21" s="1"/>
  <c r="D24" l="1"/>
  <c r="C108" i="19" l="1"/>
  <c r="C16" i="12"/>
  <c r="S25" i="3"/>
  <c r="C8" i="12" l="1"/>
  <c r="C14" s="1"/>
  <c r="E41" i="2"/>
  <c r="C109" i="19"/>
  <c r="B28" i="21"/>
  <c r="D28" l="1"/>
  <c r="E109" i="19"/>
  <c r="E9" i="12" s="1"/>
  <c r="E15" s="1"/>
  <c r="G41" i="2"/>
  <c r="E38"/>
  <c r="X27" i="3"/>
  <c r="C101" i="19"/>
  <c r="B26" i="21" s="1"/>
  <c r="X20" i="3"/>
  <c r="X25" s="1"/>
  <c r="U20" l="1"/>
  <c r="U25" s="1"/>
  <c r="AA25" s="1"/>
  <c r="AD25" s="1"/>
  <c r="D8" i="12"/>
  <c r="D14" s="1"/>
  <c r="D109" i="19"/>
  <c r="D26" i="21"/>
  <c r="AA20" i="3" l="1"/>
  <c r="AD20" s="1"/>
  <c r="U27"/>
  <c r="C102" i="19"/>
  <c r="E39" i="2" l="1"/>
  <c r="E42" s="1"/>
  <c r="C23" i="25"/>
  <c r="C27" s="1"/>
  <c r="D27" i="21"/>
  <c r="C106" i="19"/>
  <c r="B27" i="21"/>
  <c r="V25" i="3"/>
  <c r="Y25"/>
  <c r="D57" i="6"/>
  <c r="E106" i="19" l="1"/>
  <c r="G39" i="2"/>
  <c r="G42" s="1"/>
  <c r="G47" s="1"/>
  <c r="AH34" i="23"/>
  <c r="AH43"/>
  <c r="AH66" s="1"/>
  <c r="AB25" i="3"/>
  <c r="AE20"/>
  <c r="E44" i="2"/>
  <c r="C110" i="19"/>
  <c r="E43" i="2"/>
  <c r="C111" i="19"/>
  <c r="AA27" i="3" l="1"/>
  <c r="E113" i="19"/>
  <c r="AE25" i="3"/>
  <c r="V31"/>
  <c r="AD27"/>
  <c r="D113" i="19"/>
  <c r="C29" i="21" s="1"/>
  <c r="C31" s="1"/>
  <c r="C32" s="1"/>
  <c r="F114" i="19"/>
  <c r="C113"/>
  <c r="B29" i="21" s="1"/>
  <c r="B31" s="1"/>
  <c r="E47" i="2"/>
  <c r="I7" i="3"/>
  <c r="AA7" s="1"/>
  <c r="AD7" s="1"/>
  <c r="E114" i="19" l="1"/>
  <c r="D29" i="21"/>
  <c r="D31" s="1"/>
  <c r="AA12" i="3"/>
  <c r="I12"/>
  <c r="C114" i="19"/>
  <c r="C116" s="1"/>
  <c r="D114"/>
  <c r="D12" i="3"/>
  <c r="G15" l="1"/>
  <c r="AE62" i="24"/>
  <c r="F89" i="19" s="1"/>
  <c r="C90" s="1"/>
  <c r="D116"/>
  <c r="AB12" i="3"/>
  <c r="O12"/>
  <c r="N64" i="24" l="1"/>
  <c r="N66" s="1"/>
  <c r="S15" i="3"/>
  <c r="W14"/>
  <c r="Y14"/>
  <c r="AD12"/>
  <c r="U15" l="1"/>
</calcChain>
</file>

<file path=xl/comments1.xml><?xml version="1.0" encoding="utf-8"?>
<comments xmlns="http://schemas.openxmlformats.org/spreadsheetml/2006/main">
  <authors>
    <author>Pénzügy01</author>
    <author>Kadarkút PM. Hivatal</author>
  </authors>
  <commentList>
    <comment ref="J8" authorId="0">
      <text>
        <r>
          <rPr>
            <b/>
            <sz val="9"/>
            <color indexed="81"/>
            <rFont val="Tahoma"/>
            <charset val="1"/>
          </rPr>
          <t>Pénzügy01:</t>
        </r>
        <r>
          <rPr>
            <sz val="9"/>
            <color indexed="81"/>
            <rFont val="Tahoma"/>
            <charset val="1"/>
          </rPr>
          <t xml:space="preserve">
500.000 érintésvédelem
10.665.000 Tankerület</t>
        </r>
      </text>
    </comment>
    <comment ref="K8" authorId="0">
      <text>
        <r>
          <rPr>
            <b/>
            <sz val="9"/>
            <color indexed="81"/>
            <rFont val="Tahoma"/>
            <charset val="1"/>
          </rPr>
          <t>Pénzügy01:</t>
        </r>
        <r>
          <rPr>
            <sz val="9"/>
            <color indexed="81"/>
            <rFont val="Tahoma"/>
            <charset val="1"/>
          </rPr>
          <t xml:space="preserve">
500.000 érintésvédelem
10.665.000 Tankerület</t>
        </r>
      </text>
    </comment>
    <comment ref="AB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11.390.757 szaszk iskola konyha eszközök
2.400.000 Ft visszavásálás körmendi ingatlan</t>
        </r>
      </text>
    </comment>
    <comment ref="AC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11.390.757 szaszk iskola konyha eszközök
2.400.000 Ft visszavásálás körmendi ingatlan</t>
        </r>
      </text>
    </comment>
    <comment ref="AE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3.994.771 szaszk tető
162.947 petőfi u 7. felúj
4.500.000 önk bérlak felújítás
</t>
        </r>
      </text>
    </comment>
    <comment ref="AF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3.994.771 szaszk tető
162.947 petőfi u 7. felúj
4.500.000 önk bérlak felújítás
</t>
        </r>
      </text>
    </comment>
    <comment ref="AB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23.346.577 traktor beszerzés
</t>
        </r>
      </text>
    </comment>
    <comment ref="AC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23.346.577 traktor beszerzés
</t>
        </r>
      </text>
    </comment>
    <comment ref="AE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33.052.208 pipacs utca (19.200.000 támog + többlet munka)</t>
        </r>
      </text>
    </comment>
    <comment ref="AF1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33.052.208 pipacs utca (19.200.000 támog + többlet munka)</t>
        </r>
      </text>
    </comment>
    <comment ref="S1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koncesszisó díj számla
céltartalék
</t>
        </r>
      </text>
    </comment>
    <comment ref="T1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koncesszisó díj számla
céltartalék
</t>
        </r>
      </text>
    </comment>
    <comment ref="S1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pénz
céltartalék</t>
        </r>
      </text>
    </comment>
    <comment ref="T1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pénz
céltartalék</t>
        </r>
      </text>
    </comment>
    <comment ref="J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12.000 rezsi fa
500.000 környezetvédelmi tanulmány
</t>
        </r>
      </text>
    </comment>
    <comment ref="K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12.000 rezsi fa
500.000 környezetvédelmi tanulmány
</t>
        </r>
      </text>
    </comment>
    <comment ref="M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61.250 TÖOSZ
500.000 polgárőr
20.000 Kisvárosok szöv
200.000 zselici lámpások
200.000 vizitársulás
2.400.000 tüzoltóság
</t>
        </r>
      </text>
    </comment>
    <comment ref="N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61.250 TÖOSZ
500.000 polgárőr
20.000 Kisvárosok szöv
200.000 zselici lámpások
200.000 vizitársulás
2.400.000 tüzoltóság
</t>
        </r>
      </text>
    </comment>
    <comment ref="S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környezetvédelmi alap
céltartalék
</t>
        </r>
      </text>
    </comment>
    <comment ref="T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környezetvédelmi alap
céltartalék
</t>
        </r>
      </text>
    </comment>
    <comment ref="AB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8.445.094 támogatás + 982.789 önerő
kamera rendszer</t>
        </r>
      </text>
    </comment>
    <comment ref="AC2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8.445.094 támogatás + 982.789 önerő
kamera rendszer</t>
        </r>
      </text>
    </comment>
    <comment ref="AB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maradvány 
1.750.000 újratervezés nem elszámolható
</t>
        </r>
      </text>
    </comment>
    <comment ref="AC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maradvány 
1.750.000 újratervezés nem elszámolható
</t>
        </r>
      </text>
    </comment>
    <comment ref="M2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sportkör
</t>
        </r>
      </text>
    </comment>
    <comment ref="M24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óvoda társulás támogatása</t>
        </r>
      </text>
    </comment>
    <comment ref="AB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laptop
kávéfőző</t>
        </r>
      </text>
    </comment>
    <comment ref="AC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laptop
kávéfőző</t>
        </r>
      </text>
    </comment>
    <comment ref="AE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150.000 bejárati ajtó</t>
        </r>
      </text>
    </comment>
    <comment ref="AF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150.000 bejárati ajtó</t>
        </r>
      </text>
    </comment>
    <comment ref="S2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céltartalék szoc bérlakás számla
</t>
        </r>
      </text>
    </comment>
    <comment ref="T2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céltartalék szoc bérlakás számla
</t>
        </r>
      </text>
    </comment>
    <comment ref="AE2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160.819 Petőfi u 7 felúj
315.428 kályha beszerzés
</t>
        </r>
      </text>
    </comment>
    <comment ref="AF2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160.819 Petőfi u 7 felúj
315.428 kályha beszerzés
</t>
        </r>
      </text>
    </comment>
    <comment ref="A44" authorId="1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Pénzügy01</author>
    <author>Kadarkút PM. Hivatal</author>
  </authors>
  <commentList>
    <comment ref="H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REKI tankerület 10.655.00
17.986.559 REKI EGYENSÚLY
</t>
        </r>
      </text>
    </comment>
    <comment ref="S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45.452.932 költségvetési egyenleg
460.780 pénztár egyenleg
</t>
        </r>
      </text>
    </comment>
    <comment ref="T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45.452.932 költségvetési egyenleg
460.780 pénztár egyenleg
</t>
        </r>
      </text>
    </comment>
    <comment ref="G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REKI tankerület
</t>
        </r>
      </text>
    </comment>
    <comment ref="H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REKI tankerület
</t>
        </r>
      </text>
    </comment>
    <comment ref="S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bérlakás számla maradvány
4.656.766
letéti számla-óvadék
93.750</t>
        </r>
      </text>
    </comment>
    <comment ref="T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bérlakás számla maradvány
4.656.766
letéti számla-óvadék
93.750</t>
        </r>
      </text>
    </comment>
    <comment ref="S1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közfogi számla maradvány
</t>
        </r>
      </text>
    </comment>
    <comment ref="T1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közfogi számla maradvány
</t>
        </r>
      </text>
    </comment>
    <comment ref="S1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állami számlán levő "közfogi"
</t>
        </r>
      </text>
    </comment>
    <comment ref="T1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állami számlán levő "közfogi"
</t>
        </r>
      </text>
    </comment>
    <comment ref="S14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8.945.075 traktor pályázat 
19.200.000 támog-ból 17.098.150 Ft maradt pipacs utca
GEOKÖR lett kifizetve
</t>
        </r>
      </text>
    </comment>
    <comment ref="T14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8.945.075 traktor pályázat 
19.200.000 támog-ból 17.098.150 Ft maradt pipacs utca
GEOKÖR lett kifizetve
</t>
        </r>
      </text>
    </comment>
    <comment ref="S1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koncessziós díj számla</t>
        </r>
      </text>
    </comment>
    <comment ref="T1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koncessziós díj számla</t>
        </r>
      </text>
    </comment>
    <comment ref="S1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maradvány
68.457.822
</t>
        </r>
      </text>
    </comment>
    <comment ref="T18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vkt maradvány
68.457.822
</t>
        </r>
      </text>
    </comment>
    <comment ref="S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Ft 12.000 ft-os tüzifa támogatás
2.267.425környvéd alap maradvány
</t>
        </r>
      </text>
    </comment>
    <comment ref="T21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4.584.000 Ft 12.000 ft-os tüzifa támogatás
2.267.425környvéd alap maradvány
</t>
        </r>
      </text>
    </comment>
    <comment ref="S2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
orvosi rendelő páláyzat maradvány</t>
        </r>
      </text>
    </comment>
    <comment ref="T2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148.074.197 
orvosi rendelő páláyzat maradvány</t>
        </r>
      </text>
    </comment>
    <comment ref="S2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sportpálya támogatása
20.000.000
</t>
        </r>
      </text>
    </comment>
    <comment ref="T2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sportpálya támogatása
20.000.000
</t>
        </r>
      </text>
    </comment>
    <comment ref="J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39.091.566 
3-9-2 efop
38.712.761
1-5-3 efop
</t>
        </r>
      </text>
    </comment>
    <comment ref="K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39.091.566 
3-9-2 efop
38.712.761
1-5-3 efop
</t>
        </r>
      </text>
    </comment>
    <comment ref="S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996.900 ft államin levő "fellelt maradvány"
22.741 közbiztonság maradvány
</t>
        </r>
      </text>
    </comment>
    <comment ref="T2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996.900 ft államin levő "fellelt maradvány"
22.741 közbiztonság maradvány
</t>
        </r>
      </text>
    </comment>
    <comment ref="S3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szoc bérlal szla maradvány
7.156.084
</t>
        </r>
      </text>
    </comment>
    <comment ref="T30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szoc bérlal szla maradvány
7.156.084
</t>
        </r>
      </text>
    </comment>
    <comment ref="S3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közművelődési érdekeltség növeő 2018 évi
</t>
        </r>
      </text>
    </comment>
    <comment ref="T35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közművelődési érdekeltség növeő 2018 évi
</t>
        </r>
      </text>
    </comment>
    <comment ref="J3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8.845.094 kamera pályázat támogatás
8.945.081 traktor támogatás 2. rész
13.223.939  iskola konya eszköz + tető támogatás
</t>
        </r>
      </text>
    </comment>
    <comment ref="K3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8.845.094 kamera pályázat támogatás
8.945.081 traktor támogatás 2. rész
13.223.939  iskola konya eszköz + tető támogatás
</t>
        </r>
      </text>
    </comment>
    <comment ref="S3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T36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S3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  <comment ref="T37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  <comment ref="A39" authorId="1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S4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T42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3-9-2 maradvány
</t>
        </r>
      </text>
    </comment>
    <comment ref="S4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  <comment ref="T43" authorId="0">
      <text>
        <r>
          <rPr>
            <b/>
            <sz val="9"/>
            <color indexed="81"/>
            <rFont val="Tahoma"/>
            <family val="2"/>
            <charset val="238"/>
          </rPr>
          <t>Pénzügy01:</t>
        </r>
        <r>
          <rPr>
            <sz val="9"/>
            <color indexed="81"/>
            <rFont val="Tahoma"/>
            <family val="2"/>
            <charset val="238"/>
          </rPr>
          <t xml:space="preserve">
efop 1-5-3 maradvány
</t>
        </r>
      </text>
    </comment>
  </commentList>
</comments>
</file>

<file path=xl/sharedStrings.xml><?xml version="1.0" encoding="utf-8"?>
<sst xmlns="http://schemas.openxmlformats.org/spreadsheetml/2006/main" count="1392" uniqueCount="968">
  <si>
    <t xml:space="preserve">Bevételi előirányzatok </t>
  </si>
  <si>
    <t>Kiemelt előirányzatok</t>
  </si>
  <si>
    <t>Működési célú saját bevétel</t>
  </si>
  <si>
    <t xml:space="preserve">               -ebből OEP-től átvett</t>
  </si>
  <si>
    <t>Működési célú pénzmaradvány</t>
  </si>
  <si>
    <t>Működési célú hitelfelvétel</t>
  </si>
  <si>
    <t>Működési célú bevételek összesen:</t>
  </si>
  <si>
    <t>Felhalmozási és tőkejellegű bevétel</t>
  </si>
  <si>
    <t>Sajátos felhalmozási és tőkejellegű bevétel</t>
  </si>
  <si>
    <t>Felhalmozási célú átvett pénzeszköz</t>
  </si>
  <si>
    <t>Felhalmozási célú költségvetési támogatás</t>
  </si>
  <si>
    <t>Felhalmozási célú kölcsöntörlesztés</t>
  </si>
  <si>
    <t>Fejlesztési hitel</t>
  </si>
  <si>
    <t>Felhalmozási pénzmaradvány</t>
  </si>
  <si>
    <t>Felhalmozási célú bevételek összesen:</t>
  </si>
  <si>
    <t>BEVÉTELI ELŐIRÁNYZAT MINDÖSSZESEN:</t>
  </si>
  <si>
    <t>Kiadási előirányzatok</t>
  </si>
  <si>
    <t>Személyi juttatások</t>
  </si>
  <si>
    <t>Munkaadókat terhelő járulékok</t>
  </si>
  <si>
    <t>Dologi kiadások</t>
  </si>
  <si>
    <t>Működési célú pénzeszközátadás, támogatás</t>
  </si>
  <si>
    <t>Általános tartalék</t>
  </si>
  <si>
    <t>Céltartalék</t>
  </si>
  <si>
    <t>Működési célú kiadások összesen:</t>
  </si>
  <si>
    <t>Felújítás - áfával</t>
  </si>
  <si>
    <t>Felhalmozási célú kiadások összesen:</t>
  </si>
  <si>
    <t>KIADÁSI ELŐIRÁNYZAT MINDÖSSZESEN:</t>
  </si>
  <si>
    <t>BEVÉTEL</t>
  </si>
  <si>
    <t>KIADÁS</t>
  </si>
  <si>
    <t>Intézmény</t>
  </si>
  <si>
    <t>MŰKÖDÉSI BEVÉTEL</t>
  </si>
  <si>
    <t>KÖZHATALMI BEVÉTEL</t>
  </si>
  <si>
    <t>MŰKÖDÉSI  TÁMOGATÁSOK</t>
  </si>
  <si>
    <t>EGYÉB MŰKÖDÉSI KIADÁSOK</t>
  </si>
  <si>
    <t>ELLÁTOTTAK PÉNZBENI JUTTATÁSAI</t>
  </si>
  <si>
    <t>ÖSSZES KIADÁS</t>
  </si>
  <si>
    <t>Cím</t>
  </si>
  <si>
    <t xml:space="preserve">Eredeti ei. </t>
  </si>
  <si>
    <t>I.</t>
  </si>
  <si>
    <t>II.</t>
  </si>
  <si>
    <t>Kadarkúti Közös Önkormányzati  Hivatal</t>
  </si>
  <si>
    <t>III.</t>
  </si>
  <si>
    <t>id.Kapoli Antal Művelődési Ház</t>
  </si>
  <si>
    <t>IV.</t>
  </si>
  <si>
    <t>ÖSSZESEN</t>
  </si>
  <si>
    <t>CÍM</t>
  </si>
  <si>
    <t>MEGNEVEZÉS</t>
  </si>
  <si>
    <t>Közvilágítás</t>
  </si>
  <si>
    <t>Védőnői szolgálat</t>
  </si>
  <si>
    <t>Temetési segély</t>
  </si>
  <si>
    <t>Köztemetés</t>
  </si>
  <si>
    <t>KÖTELEZŐ FELADATOK ÖSSZESEN</t>
  </si>
  <si>
    <t>NEM KÖTELEZŐ FELADATOK ÖSSZESEN</t>
  </si>
  <si>
    <t>ÖNKORMÁNYZAT</t>
  </si>
  <si>
    <t>KÖZÖS ÖNKORMÁNYZATI HIVATAL</t>
  </si>
  <si>
    <t>MINDÖSSZESEN</t>
  </si>
  <si>
    <t>Összesen:</t>
  </si>
  <si>
    <t>MINDÖSSZESEN:</t>
  </si>
  <si>
    <t>Felhalmozási kiadások</t>
  </si>
  <si>
    <t>Európai Uniós forrásból</t>
  </si>
  <si>
    <t>Nem Európai Uniós forrásból</t>
  </si>
  <si>
    <t>KIMUTATÁS</t>
  </si>
  <si>
    <t>Szakfeladat</t>
  </si>
  <si>
    <t>Megnevezés</t>
  </si>
  <si>
    <t>Igazgatás (polgármester)</t>
  </si>
  <si>
    <t>Étkeztetés</t>
  </si>
  <si>
    <t>LÉTSZÁMKERET ÖSSZESEN</t>
  </si>
  <si>
    <t>Kadarkút Város Önkormányzat Európai Uniós támogatással megvalósuló programok, projektek bevételeiről és kiadásairól</t>
  </si>
  <si>
    <t>Mindösszesen</t>
  </si>
  <si>
    <t>Összesen</t>
  </si>
  <si>
    <t>Céltartalék összesen</t>
  </si>
  <si>
    <t>Kadarkút Város Önkormányzatának 
többéves kihatással járó kiadásairól</t>
  </si>
  <si>
    <t>Közhatalmi bevételek</t>
  </si>
  <si>
    <t>Működési bevételek</t>
  </si>
  <si>
    <t>Egyéb működési kiadások</t>
  </si>
  <si>
    <t>Tartalékok</t>
  </si>
  <si>
    <t>MŰKÖDÉSI ÁTADÁS</t>
  </si>
  <si>
    <t>Kötelező feladatokhoz támogatás</t>
  </si>
  <si>
    <t>Fogászati  és hétvégi ügyelet</t>
  </si>
  <si>
    <t>Hulladékkezelési rekultivációs program</t>
  </si>
  <si>
    <t>Vizitársulatoknak átadás</t>
  </si>
  <si>
    <t>Nem kötelező feladatokhoz támogatás</t>
  </si>
  <si>
    <t>MINDÖSSZESEN :</t>
  </si>
  <si>
    <t>Ellátottak térítési díjának, ill. kártérítésének méltányossági alapon történő elengedése:</t>
  </si>
  <si>
    <t xml:space="preserve">Intézményi ellátási díjak </t>
  </si>
  <si>
    <t>Tervezett bevétel összesen:</t>
  </si>
  <si>
    <t>Térítési díj támogatás</t>
  </si>
  <si>
    <t>Közvetett támogatás összesen:</t>
  </si>
  <si>
    <t>Lakosság részére lakásépítéshez, lakásfelújításhoz nyújtott kölcsönök elengedése:</t>
  </si>
  <si>
    <t>Helyi adónál, gépjárműadónál biztosított kedvezmény, mentesség összege adónemenként:</t>
  </si>
  <si>
    <t>Kedvezmények miatti csökkentés:</t>
  </si>
  <si>
    <t>Gépjárműadó</t>
  </si>
  <si>
    <t>Kedvezmények miatti csökkentés</t>
  </si>
  <si>
    <t>Mentességek miatti csökkentés:</t>
  </si>
  <si>
    <t>Helyiségek, eszközök hasznosításából származó bevételből nyújtott kedvezmény, mentesség:</t>
  </si>
  <si>
    <t>Helyiségek bérbeadása, hasznosítása (………... ingatlanok):</t>
  </si>
  <si>
    <t>Ingyenes használatba adott ingatlanok éves bérleti díja:</t>
  </si>
  <si>
    <t>Egyéb nyújtott kedvezmény vagy kölcsön elengedés:</t>
  </si>
  <si>
    <t>Ingatlan értékesítés (lakások) vételára:</t>
  </si>
  <si>
    <t>KÖZVETETT TÁMOGATÁSOK MINDÖSSZESEN:</t>
  </si>
  <si>
    <t>Jogszabály alapján alanyi jogon járó, illetve normatív támogatások:</t>
  </si>
  <si>
    <t>Jogszabály alapján folyósított támogatás összesen:</t>
  </si>
  <si>
    <t>Helyi önkormányzati rendelet alapján folyósított támogatások:</t>
  </si>
  <si>
    <t>Helyi önkormányzati rendelet alapján folyósított tám. összesen:</t>
  </si>
  <si>
    <t>I.+II.MINDÖSSZESEN:</t>
  </si>
  <si>
    <t>A fentiekből:</t>
  </si>
  <si>
    <t xml:space="preserve"> - állami (államigazgatási) feladatok kiadása:                              </t>
  </si>
  <si>
    <t xml:space="preserve"> - önként vállalt feladatok kiadása:                                                     </t>
  </si>
  <si>
    <t>"ÖSSZESÍTŐ"</t>
  </si>
  <si>
    <t>KSH kód:</t>
  </si>
  <si>
    <t>Helyi önkormányzat: Kadarkút</t>
  </si>
  <si>
    <t>Többcélú kistérségi társulás:</t>
  </si>
  <si>
    <t>Jogcím</t>
  </si>
  <si>
    <t>száma</t>
  </si>
  <si>
    <t>Támogatás (Ft)</t>
  </si>
  <si>
    <t>I.1.a)</t>
  </si>
  <si>
    <t>I.1.b)</t>
  </si>
  <si>
    <t>I.1.b) Település-üzemeltetéshez kapcsolódó feladatellátás támogatása összesen</t>
  </si>
  <si>
    <t>I.1.ba)</t>
  </si>
  <si>
    <t>I.1.ba) A zöldterület-gazdálkodással kapcsolatos feladatok ellátásának támogatása</t>
  </si>
  <si>
    <t>I.1.bb)</t>
  </si>
  <si>
    <t>I.1.bb) Közvilágítás fenntartásának támogatása</t>
  </si>
  <si>
    <t>I.1.bc)</t>
  </si>
  <si>
    <t>I.1.bc) Köztemető fentartással kapcsolatos feladatok támogatása</t>
  </si>
  <si>
    <t>I.1.bd)</t>
  </si>
  <si>
    <t>I.1.bd) Közutak fenntartásának támogatása</t>
  </si>
  <si>
    <t>I.1.c)</t>
  </si>
  <si>
    <t>Egyéb önkormányzati feladtok támogatása</t>
  </si>
  <si>
    <t>I.1.d)</t>
  </si>
  <si>
    <t>Lakott külterület támogatás</t>
  </si>
  <si>
    <t>kiegészítés I.1. jogcímekhez kapcsolódó kiegészítés</t>
  </si>
  <si>
    <t>I. ÁLTALÁNOS FELADATOK TÁMOGATÁSA ÖSSZESEN</t>
  </si>
  <si>
    <t>Gyerekétkeztetés üzemeltetési támogatása</t>
  </si>
  <si>
    <t>III.3.</t>
  </si>
  <si>
    <t>III.3. Egyes szociális és gyermekjóléti feladatok támogatása</t>
  </si>
  <si>
    <t>IV. A TELEPÜLÉSI ÖNKORMÁNYZATOK KULTURÁLIS FELADATAINAK TÁMOGATÁSA ÖSSZESEN</t>
  </si>
  <si>
    <t>BEVÉTELEK</t>
  </si>
  <si>
    <t>Önkormányzatok működési támogatása:</t>
  </si>
  <si>
    <t>Közhatalmi bevételek összesen:</t>
  </si>
  <si>
    <t>Működési bevételek összesen:</t>
  </si>
  <si>
    <t>Költségvetési maradvány összesen:</t>
  </si>
  <si>
    <t>BEVÉTELEK ÖSSZESEN:</t>
  </si>
  <si>
    <t>KIADÁSOK</t>
  </si>
  <si>
    <t>Munkáltatót terhelő járulékok</t>
  </si>
  <si>
    <t>Ellátottak pénzbeni juttatásai</t>
  </si>
  <si>
    <t>Működési kiadások összesen:</t>
  </si>
  <si>
    <t>Tartalékok összesen:</t>
  </si>
  <si>
    <t>Felhalmozási kiadások:</t>
  </si>
  <si>
    <t>KIADÁSOK ÖSSZESEN:</t>
  </si>
  <si>
    <t>Kadarkút Város Önkormányzata</t>
  </si>
  <si>
    <t>Önkormányzatok működési támogatása</t>
  </si>
  <si>
    <t>Működési célú támogatások 
ÁHT belülről</t>
  </si>
  <si>
    <t>Működési célú átvett pénzeszközök</t>
  </si>
  <si>
    <t>Felhalmozási célú átvett pénzeszközök</t>
  </si>
  <si>
    <t>Maradvány igénybevétel</t>
  </si>
  <si>
    <t>Munkáltatót terhelő járulék</t>
  </si>
  <si>
    <t>V.</t>
  </si>
  <si>
    <t xml:space="preserve">Kadarkút Város Önkormányzatának költségvetési évet követő 3 évre vonatkozó előirányzatai </t>
  </si>
  <si>
    <t>Cím száma</t>
  </si>
  <si>
    <t>Id.Kapoli Antal Művelődési Ház</t>
  </si>
  <si>
    <t>Bokor József Városi Könyvtár</t>
  </si>
  <si>
    <t>MUNKAADÓKAT TERHELŐ JÁRULÉK</t>
  </si>
  <si>
    <t>DOLOGI KIADÁSOK</t>
  </si>
  <si>
    <t>KÖLTSÉGVETÉSI MARADVÁNY IGÉNYBEVÉTELE</t>
  </si>
  <si>
    <t>Kadarkúti Szociális Alapszolgáltatási Központ</t>
  </si>
  <si>
    <t>011130</t>
  </si>
  <si>
    <t>Zöldterület-kezelés</t>
  </si>
  <si>
    <t>066010</t>
  </si>
  <si>
    <t>066020</t>
  </si>
  <si>
    <t>Városgazd.egyéb szolg.(brigád)</t>
  </si>
  <si>
    <t>074031</t>
  </si>
  <si>
    <t>096015</t>
  </si>
  <si>
    <t>Biztos Kezdet Gyerekház</t>
  </si>
  <si>
    <t>Id. Kapoli Antal Művelődési Ház összesen:</t>
  </si>
  <si>
    <t>Bokor József Városi Könyvtár összesen:</t>
  </si>
  <si>
    <t>Kadarkúti Közös Önkormányzati Hivatal összesen:</t>
  </si>
  <si>
    <t>Önkormányzat (inzézmények nélkül) összesen:</t>
  </si>
  <si>
    <t>TARTALÉK ÖSSZESEN</t>
  </si>
  <si>
    <t>Ápolási díj</t>
  </si>
  <si>
    <t>BURSA támogatás</t>
  </si>
  <si>
    <t>Kadarkúti Közös Önkormányzati Hivatal</t>
  </si>
  <si>
    <t>IRÁNYÍTÓ SZERVI TÁMOGATÁS</t>
  </si>
  <si>
    <t>IRÁNYÍTÓ SZERVI TÁMOGATÁS FOLYÓSÍTÁSA</t>
  </si>
  <si>
    <t>Eredeti ei.</t>
  </si>
  <si>
    <t>ÖSSZES KIADÁS (IRÁNYÍTÓ SZERVI TÁMOGATÁS NÉLKÜL)</t>
  </si>
  <si>
    <t>Egyéb felhalmozási célú kiadások</t>
  </si>
  <si>
    <t>Rendkívüli önkormányzati támogatás</t>
  </si>
  <si>
    <t>Magánszemélyek kommunális adója</t>
  </si>
  <si>
    <t>Műk. célú átvett pénzeszközök összesen:</t>
  </si>
  <si>
    <t>013320</t>
  </si>
  <si>
    <t>013350</t>
  </si>
  <si>
    <t>016080</t>
  </si>
  <si>
    <t>041233</t>
  </si>
  <si>
    <t>041237</t>
  </si>
  <si>
    <t>045160</t>
  </si>
  <si>
    <t>051030</t>
  </si>
  <si>
    <t>052080</t>
  </si>
  <si>
    <t>063020</t>
  </si>
  <si>
    <t>064010</t>
  </si>
  <si>
    <t>072111</t>
  </si>
  <si>
    <t>072311</t>
  </si>
  <si>
    <t>072450</t>
  </si>
  <si>
    <t>081045</t>
  </si>
  <si>
    <t>096025</t>
  </si>
  <si>
    <t>104037</t>
  </si>
  <si>
    <t>104044</t>
  </si>
  <si>
    <t>106010</t>
  </si>
  <si>
    <t>107060</t>
  </si>
  <si>
    <t>Önk.jogalkotó és ált.igazgat.tev.</t>
  </si>
  <si>
    <t>Vagyongazdálkodás</t>
  </si>
  <si>
    <t>Kiemelt önkormányzati rendezvények</t>
  </si>
  <si>
    <t>Hosszabb időtartamú közfoglalkoztatás</t>
  </si>
  <si>
    <t>Közfoglalkoztatási mintaprogram</t>
  </si>
  <si>
    <t>Szennyvízcsatorna fenntartása, üzemeltetése</t>
  </si>
  <si>
    <t>Víztermelés,- kezelés,- ellátás</t>
  </si>
  <si>
    <t>Városgazd. egyéb szolg.</t>
  </si>
  <si>
    <t>Háziorvosi alapellátás</t>
  </si>
  <si>
    <t>Fogorvosi alapellátás</t>
  </si>
  <si>
    <t>Fizikoterápiás szolg. (labor)</t>
  </si>
  <si>
    <t>Szabadidő- sporttevékenység támogatás</t>
  </si>
  <si>
    <t>Óvodatársulás támogatása</t>
  </si>
  <si>
    <t>Gyermekétkeztetés köznevelési intézményben</t>
  </si>
  <si>
    <t>Lakóing. szoc. célú bérbead., üzemelt.</t>
  </si>
  <si>
    <t>Egyéb szoc. pénzbeli és term. ellátások</t>
  </si>
  <si>
    <t>SZEMÉLYI JUTTATÁS</t>
  </si>
  <si>
    <t>Házi segítségnyújtás</t>
  </si>
  <si>
    <t>Család és gyermekjóléti szolgáltatások</t>
  </si>
  <si>
    <t>Idősek nappali ellátása</t>
  </si>
  <si>
    <t>Szociális étkeztetés</t>
  </si>
  <si>
    <t>082091</t>
  </si>
  <si>
    <t>Id. KAPOLI ANTAL MŰVELŐDÉSI HÁZ</t>
  </si>
  <si>
    <t>Közművelődés-közösségi és társ.tev.részv.fejl.</t>
  </si>
  <si>
    <t>Könyvtári szolgáltatások</t>
  </si>
  <si>
    <t>BOKOR JÓZSEF VÁROSI KÖNYVTÁR</t>
  </si>
  <si>
    <t>082044</t>
  </si>
  <si>
    <t>107052</t>
  </si>
  <si>
    <t>104042</t>
  </si>
  <si>
    <t>102031</t>
  </si>
  <si>
    <t>107051</t>
  </si>
  <si>
    <t>KADARKÚTI SZOCIÁLIS ALAPSZOLGÁLTATÁSI KÖZPONT</t>
  </si>
  <si>
    <t>KIEMELT ELŐIRÁNYZATOK</t>
  </si>
  <si>
    <t>Egyéb szoc. pénzbeli és term. ellátások (BURSA)</t>
  </si>
  <si>
    <t>Felhalmozási célúpénzeszközátadás</t>
  </si>
  <si>
    <t>Beruházás - áfával</t>
  </si>
  <si>
    <t>II. TELEPÜLÉSI ÖNKORMÁNYZATOK EGYES KÖZNEVELÉSI FELADATAINAK TÁMOGATÁSA ÖSSZESEN</t>
  </si>
  <si>
    <t>A települési önkormányzatok szociális feladatainak egyéb támogatása</t>
  </si>
  <si>
    <t>Család- és gyermekjóléti szolgálat</t>
  </si>
  <si>
    <t>Működési célú költségvetési támogatások és kiegészítő támogatások</t>
  </si>
  <si>
    <t>Kiemelt előir. megnevezése</t>
  </si>
  <si>
    <t>beruházás</t>
  </si>
  <si>
    <t>felújítás</t>
  </si>
  <si>
    <t>Tűzoltóegyesület támogatása</t>
  </si>
  <si>
    <t>Óvoda társulás támogatása</t>
  </si>
  <si>
    <t>Id. Kapoli Antal Művelődési Ház</t>
  </si>
  <si>
    <t>Kadarkúti Szociális Alapszolgáltatási Központ összesen:</t>
  </si>
  <si>
    <t>Fejlesztési cél megnevezése</t>
  </si>
  <si>
    <t>Kormányzati funkció</t>
  </si>
  <si>
    <t>Működési célú költségvetési támogatás</t>
  </si>
  <si>
    <t xml:space="preserve"> Ft-ban</t>
  </si>
  <si>
    <t>2017. évi
 eredeti előirányzat</t>
  </si>
  <si>
    <t>Ellátottak pénzbeli juttatásai</t>
  </si>
  <si>
    <t>Államháztartáson belüli megelőlegezés visszafizetése</t>
  </si>
  <si>
    <t>Közhatalmi bevétel</t>
  </si>
  <si>
    <t>Működési célú átvett pénzeszköz, kölcsöntörl.</t>
  </si>
  <si>
    <t xml:space="preserve"> Forintban</t>
  </si>
  <si>
    <t>Felhalmozási költségvetési maradvány igénybevétele</t>
  </si>
  <si>
    <t>Köztemető fenntartás</t>
  </si>
  <si>
    <t>Közutak üzemeltetése</t>
  </si>
  <si>
    <t>Települési hulladékkezelés</t>
  </si>
  <si>
    <t>018030</t>
  </si>
  <si>
    <t>018010</t>
  </si>
  <si>
    <t>Áht-n belüli megelőlegezés visszafiz.</t>
  </si>
  <si>
    <t>Munkahelyi vendéglátás</t>
  </si>
  <si>
    <t>Köznevelési intézményen kívüli gyermekétk.</t>
  </si>
  <si>
    <t>A hozzájárulások és támogatások összesítése:</t>
  </si>
  <si>
    <t>Segítők 8 havi támogatása5 fő</t>
  </si>
  <si>
    <t>Segítők 4 havi támogatása 5 fő</t>
  </si>
  <si>
    <t>A rászoruló gyermekek  szünidei étkeztetésének támogatása</t>
  </si>
  <si>
    <t>Helyi önkormányzatok és többcélú kistérségi társulások egyes költségvetési kapcsolatokból számított bevételei összesen</t>
  </si>
  <si>
    <t>Zselici Lámpások támogatása</t>
  </si>
  <si>
    <t>TÖOSZ támogatása</t>
  </si>
  <si>
    <t>Kisvárosok Szövetségének támogatása</t>
  </si>
  <si>
    <t>Polgárőrség támogatása</t>
  </si>
  <si>
    <t>Települési támogatás</t>
  </si>
  <si>
    <t xml:space="preserve">Államháztartáson belüli megelőlegezés </t>
  </si>
  <si>
    <t xml:space="preserve">Járási startmunka mintaprogram </t>
  </si>
  <si>
    <t>2018. évi
 eredeti előirányzat</t>
  </si>
  <si>
    <t>Polgármesteri illetmény támogatása</t>
  </si>
  <si>
    <t xml:space="preserve">Alapfokozatú végzettségű pedagógus II. kategóriába sorolt óvodapedagógus kiegészítő támogatása 2 fő </t>
  </si>
  <si>
    <t>I.1.a) Önkormányzati hivatal működésének támogatása 15,44 fő</t>
  </si>
  <si>
    <t>Pipacs utca vízrendezés</t>
  </si>
  <si>
    <t>2019. évi tervezett kiadás összege</t>
  </si>
  <si>
    <t>2018. évi támogatási előleg</t>
  </si>
  <si>
    <t>"Térségi összefogás a Zselicben a humán kapacitások fejlesztéséért" EFOP-3.9.2.</t>
  </si>
  <si>
    <t>Kiemelt előir. Megnev.</t>
  </si>
  <si>
    <t xml:space="preserve">"Együtt a Zselicben a humán szolgáltatások fejlesztéséért"
EFOP-1.5.3 </t>
  </si>
  <si>
    <t>013370</t>
  </si>
  <si>
    <t>Informatikai fejlesztések, szolgáltatások</t>
  </si>
  <si>
    <t>084010</t>
  </si>
  <si>
    <t>084070</t>
  </si>
  <si>
    <t>Társadalmi esélyegy-el összefüggő feladatok</t>
  </si>
  <si>
    <t>Fiatalok társad. Integr. Segítő struktúra fejlesztés</t>
  </si>
  <si>
    <t>104051</t>
  </si>
  <si>
    <t>Gyemekvédelmi, pénzbeli és természetbeli ellátások</t>
  </si>
  <si>
    <t>Koncessziós díj bevétel számla</t>
  </si>
  <si>
    <r>
      <rPr>
        <b/>
        <sz val="14"/>
        <rFont val="Times New Roman"/>
        <family val="1"/>
        <charset val="238"/>
      </rPr>
      <t>Általános tartalék összesen</t>
    </r>
    <r>
      <rPr>
        <sz val="14"/>
        <rFont val="Times New Roman"/>
        <family val="1"/>
        <charset val="238"/>
      </rPr>
      <t xml:space="preserve"> </t>
    </r>
  </si>
  <si>
    <t>041236</t>
  </si>
  <si>
    <t>Országos közfoglakoztatási program</t>
  </si>
  <si>
    <t>ÖSSZESEN
EREDETI EI</t>
  </si>
  <si>
    <t>EREDETI EI</t>
  </si>
  <si>
    <t>LÉTSZÁM (FŐ)
MÓDOSÍTOTT</t>
  </si>
  <si>
    <t>084070 / 084020</t>
  </si>
  <si>
    <t>ÖSSZES BEVÉTEL</t>
  </si>
  <si>
    <t>fő</t>
  </si>
  <si>
    <t xml:space="preserve"> összege
Eredeti Ei.</t>
  </si>
  <si>
    <t>mértéke
Eredeti Ei.</t>
  </si>
  <si>
    <t>Önkormányzati hivatal működési támogatása (B111)</t>
  </si>
  <si>
    <t>A települési önkormányzatok egyes köznevelési feladatainak támogatása (B112)</t>
  </si>
  <si>
    <t>Zöldterület-gazdálkodással kapcsoaltos feladatok (B111)</t>
  </si>
  <si>
    <t>Közvilágítás fenntartásának támogatása (B111)</t>
  </si>
  <si>
    <t>Köztemető fenntartással kapcsoaltos feladatok támogatása (B111)</t>
  </si>
  <si>
    <t>Közutak fenntartásának támogatása (B111)</t>
  </si>
  <si>
    <t>Egyéb önkormányzati feladatok támogatása (B111)</t>
  </si>
  <si>
    <t>Kiegészítés I. jogcímekhez (B111)</t>
  </si>
  <si>
    <t>Polgármesteri illetmény támogatása (B111)</t>
  </si>
  <si>
    <t>Lakott külterület támogatás (B111)</t>
  </si>
  <si>
    <t>A települési önkormányzatok szociális feladatainak egyéb támogatása (B113)</t>
  </si>
  <si>
    <t>Szociális és gyerekjóléti feladatok  (B113)</t>
  </si>
  <si>
    <t>Gyermekétkeztetési feladatok támogatása  (B113)</t>
  </si>
  <si>
    <t>Gyermekétkeztetés üzemeltetési támogatása  (B113)</t>
  </si>
  <si>
    <t>A rászoruló gyermekek intézményen kívüli szünidei étkeztetésének támogatása  (B113)</t>
  </si>
  <si>
    <t>Közművelődési feladatok támogatása (B114)</t>
  </si>
  <si>
    <t>Működési célú támogatás Áht.-n belülről: (B16)</t>
  </si>
  <si>
    <t>Magánszemélyek kommunális adója (B34)</t>
  </si>
  <si>
    <t>Állandó jelleggel végzett tevékenység után fizetendő iparűzési adó (B351)</t>
  </si>
  <si>
    <t>Gépjárműadó 40% (B354)</t>
  </si>
  <si>
    <t>Pótlékok és bírságok (B36)</t>
  </si>
  <si>
    <t>Talajterhelési díj (B36)</t>
  </si>
  <si>
    <t>Egyéb közhatalmi bevételek (ig.szolg.-i díj) (B36)</t>
  </si>
  <si>
    <t>Készletértékesítés (B401)</t>
  </si>
  <si>
    <t>Közvetített szolgáltatások bevétele (B403)</t>
  </si>
  <si>
    <t>Tulajdonosi bevételek (B404)</t>
  </si>
  <si>
    <t>Intézményi ellátási díjak (B405)</t>
  </si>
  <si>
    <t>Kiszámlázott áfa bevétel (B406)</t>
  </si>
  <si>
    <t>Áfa visszatérítése (B407)</t>
  </si>
  <si>
    <t>Kamatbevételek (B4082)</t>
  </si>
  <si>
    <t>Egyéb működési bevétel (B411)</t>
  </si>
  <si>
    <t>Költségvetési maradvány (B8131)</t>
  </si>
  <si>
    <t>Műk. célú kölcsön törlesztése háztartástól (B411)</t>
  </si>
  <si>
    <t>Személyi juttatások (K1101, K1103, K1109, K1110, K1113, K121, K122, K123)</t>
  </si>
  <si>
    <t>Ellátottak pénzbeni juttatásai (K42,K47, K48)</t>
  </si>
  <si>
    <t>Általános tartalék (K513)</t>
  </si>
  <si>
    <t>Céltartalék (K513)</t>
  </si>
  <si>
    <t>Felújítás (K71, K73, K74)</t>
  </si>
  <si>
    <t>ÁHT-n belüli megelőlegezés visszafizetése (K914)</t>
  </si>
  <si>
    <t>MÓDOSÍTOTT EI</t>
  </si>
  <si>
    <t>041232</t>
  </si>
  <si>
    <t>Start munkaprogram</t>
  </si>
  <si>
    <t>106020</t>
  </si>
  <si>
    <t>Lakásfenntartással, lakhatással összefüggő ellátások (szoc.tüzifa)</t>
  </si>
  <si>
    <t>082042</t>
  </si>
  <si>
    <t>Könyvtári állomány gyarapítása</t>
  </si>
  <si>
    <t>Önkormányzatok elszámolásai a központi költségvetéssel</t>
  </si>
  <si>
    <t>Támogatási célú finansz. Műveletek</t>
  </si>
  <si>
    <t>Költségvetési maradvány
 (098)
EREDETI EI</t>
  </si>
  <si>
    <t>Bevételek</t>
  </si>
  <si>
    <t>KADARKÚT VÁROS ÖNKORMÁNYZATA</t>
  </si>
  <si>
    <t>900020</t>
  </si>
  <si>
    <t>Önkormányzati funkcióra nem sorolt bevét</t>
  </si>
  <si>
    <t>Központi irányítószervi támogatás
 (098)
EREDETI EI</t>
  </si>
  <si>
    <t>Gyermekvédelmi és pénzbeli term.beli ellátások</t>
  </si>
  <si>
    <t>Elszámolásból származó bevételek (B116)</t>
  </si>
  <si>
    <t>Beruházás (K61,K62, K63, K64, K67)</t>
  </si>
  <si>
    <t>EREDETI EI
Összeg</t>
  </si>
  <si>
    <t>Módosított Ei.</t>
  </si>
  <si>
    <t>059.
ÁLLAMHÁZTAR- TÁSON BELÜLI MEGELŐLEGEZÉS VISSZAFIZETÉSE
EREDETI EI</t>
  </si>
  <si>
    <t>055121.
ELLÁTOTTAK PÉNZBENI PÉNZBENI  JUTTATÁSAI
EREDETI EI</t>
  </si>
  <si>
    <t>059.
PÉNZÜGYI LÍZING KIADÁS
EREDETI EI</t>
  </si>
  <si>
    <t>055.
MŰKÖDÉSI C. ÁTADOTT PÉNZESZK.
EREDETI EI</t>
  </si>
  <si>
    <t>Pénzügyi lízing kiadásai (K917)</t>
  </si>
  <si>
    <t>Működési bevétel TB alapoktól (B16)</t>
  </si>
  <si>
    <t>Működési bevétel Munkaügyi Központtól (B16)</t>
  </si>
  <si>
    <t>Biztos Kezdet Gyerekház támogatása (B16)</t>
  </si>
  <si>
    <t>Központi kezelésű működési támogatás bevétele (B16)</t>
  </si>
  <si>
    <t>EFOP program támogatása (B25)</t>
  </si>
  <si>
    <t>Biztosítók által fizetett kártérítés (B410)</t>
  </si>
  <si>
    <t>Működési bevétel helyi önkormányzatoktól   (B16)</t>
  </si>
  <si>
    <t>Működési bevétel Megyei Könyvtártól  (B16)</t>
  </si>
  <si>
    <t xml:space="preserve">Dologi kiadások (K311,K312,K312,K321,K322, K331, K332, K333, K334, K335, K336, K337,  K341, K351,K352, K353, K354, K355, </t>
  </si>
  <si>
    <t>Helyi önkormányzatok előző évi elszámolásból származó kiadások (K5021)</t>
  </si>
  <si>
    <t>Helyi önkormányzatok előző évi elsz. Kiad</t>
  </si>
  <si>
    <t>Pénzügyi lízing kiadásai</t>
  </si>
  <si>
    <t>HITELFELVÉTEL /  PÉNZÜGYI LÍZING</t>
  </si>
  <si>
    <t>HITEL / LÍZING</t>
  </si>
  <si>
    <t>ÖSSZES BEVÉTEL (IRÁNYÍTÓSZERVI TÁMOGATÁS NÉLKÜL)</t>
  </si>
  <si>
    <t xml:space="preserve">Gépjármű lízing </t>
  </si>
  <si>
    <t>Tőke</t>
  </si>
  <si>
    <t>Kamat</t>
  </si>
  <si>
    <t xml:space="preserve">Áfa </t>
  </si>
  <si>
    <t xml:space="preserve">Zártvégű pénzügyi lízing
DACIA DOKKER 1.6 </t>
  </si>
  <si>
    <t>Törlesztési terv forintban</t>
  </si>
  <si>
    <t>Esedékesség dátuma</t>
  </si>
  <si>
    <t xml:space="preserve">Tőkerészlet </t>
  </si>
  <si>
    <t xml:space="preserve">Törlesztő részlet </t>
  </si>
  <si>
    <t>Kamatrészlet</t>
  </si>
  <si>
    <t>összesen</t>
  </si>
  <si>
    <t>Összes előre fizetendő díj</t>
  </si>
  <si>
    <t>Pénzügyi Lízing kiadásai</t>
  </si>
  <si>
    <t>Helyi önk. Előző évi elszám. Szárm kiad</t>
  </si>
  <si>
    <t>052. 
MUNK. TERH. JÁRULÉK
EREDETI EI</t>
  </si>
  <si>
    <t>053.  
DOLOGI KIADÁS
EREDETI EI</t>
  </si>
  <si>
    <t xml:space="preserve">
055.
TARTALÉK
EREDETI EI</t>
  </si>
  <si>
    <t>051.
SZEMÉLYI JUTTATÁS
EREDETI EI</t>
  </si>
  <si>
    <t xml:space="preserve">
056.
BERUHÁZÁS
EREDETI EI
</t>
  </si>
  <si>
    <t xml:space="preserve">
057.
FELÚJÍTÁS
EREDETI EI</t>
  </si>
  <si>
    <t>Kadarkút Város Önkormányzat 2019. évi kiadásai kormányzati funkciók szerinti bontásban</t>
  </si>
  <si>
    <t>Kadarkút Város Önkormányzat 2019. évi bevételei kormányzati funkciók szerinti bontásban</t>
  </si>
  <si>
    <t>Kadarkút Város Önkormányzat 2019. évi tartaléka</t>
  </si>
  <si>
    <t>Kadarkút Város Önkormányzat által biztosított közvetlen támogatások 2019. évben</t>
  </si>
  <si>
    <t>Kadarkút Város Önkormányzata által nyújtott közvetett támogatásokról 2019. évben</t>
  </si>
  <si>
    <r>
      <t>Kadarkút Város</t>
    </r>
    <r>
      <rPr>
        <b/>
        <i/>
        <u/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Önkormányzata által a lakosságnak 2019. évben folyósítandó támogatások, szociális, rászorultság jellegű ellátások</t>
    </r>
    <r>
      <rPr>
        <b/>
        <u/>
        <sz val="14"/>
        <rFont val="Times New Roman"/>
        <family val="1"/>
        <charset val="238"/>
      </rPr>
      <t xml:space="preserve"> </t>
    </r>
  </si>
  <si>
    <t>Kadarkút Város Önkormányzat 2019. évi bevételei és kiadásai alakulásáról</t>
  </si>
  <si>
    <t>Kadarkút Város Önkormányzat 2019 . évi bevételei és kiadásai alakulásáról</t>
  </si>
  <si>
    <t>2019. évi eredeti ei</t>
  </si>
  <si>
    <t>Kadarkút Város Önkormányzatának 
összevont mérlege  2017., 2018., 2019 években</t>
  </si>
  <si>
    <t xml:space="preserve">2019. évi
 eredeti </t>
  </si>
  <si>
    <t>2019. évi
eredeti előirányzat</t>
  </si>
  <si>
    <t>Kadarkút Város Önkormányzatának működési bevételei és kiadásai 2019. évben</t>
  </si>
  <si>
    <t>900060</t>
  </si>
  <si>
    <t>Pénzügyi műveletek kiadásai (Szaszk autó)</t>
  </si>
  <si>
    <t>082092</t>
  </si>
  <si>
    <t>Közművelődés-hagyományos közösségi kulturális érték gondozás</t>
  </si>
  <si>
    <t>082093</t>
  </si>
  <si>
    <t>Közművelődés egész életre iterjedő tanulás</t>
  </si>
  <si>
    <t>082094</t>
  </si>
  <si>
    <t>Közművelődés kulturális alapú gazdfaság fejlesztés</t>
  </si>
  <si>
    <t>104031</t>
  </si>
  <si>
    <t>gyermekek bölcsődében és minibölcsödében történő ellátása</t>
  </si>
  <si>
    <t>ÖSSZESEN
EREDETI  EI</t>
  </si>
  <si>
    <t>általános támogatás</t>
  </si>
  <si>
    <t>Működési bevételek
(094)
EREDETI EI</t>
  </si>
  <si>
    <t xml:space="preserve"> Működési támogatások 
(091)
EREDETI EI</t>
  </si>
  <si>
    <t>Felhalmozási célú támogatások 
(092)
EREDETI EI</t>
  </si>
  <si>
    <t>Közhatalmi bevételek
 (093)
EREDETI EI</t>
  </si>
  <si>
    <t>+ int finansz</t>
  </si>
  <si>
    <t>A helyi önkormányzatok központilag szabályzott bevételei 2019. évben</t>
  </si>
  <si>
    <t>Lakos 2018. jan.1.</t>
  </si>
  <si>
    <t xml:space="preserve">Alapfokozatú végzettségű pedagógus II. kategóriába sorolt óvodapedagógus, akik a minősítést  2018.01.01-i átsorolással szerezték meg  5 fő </t>
  </si>
  <si>
    <t>Időskorúak nappali intézményi ellátása 17 fő</t>
  </si>
  <si>
    <t>Bölcsődei elismert szakmai létszáma 2,5 fő</t>
  </si>
  <si>
    <t>Bölcsőde üzemeltetési támogatása</t>
  </si>
  <si>
    <t xml:space="preserve">          Kadarkút Város Önkormányzatának 2019. évi felhalmozási bevételei</t>
  </si>
  <si>
    <t>-melyből EFOP 3-9-2 program támogatása</t>
  </si>
  <si>
    <t>-melyből EFOP 1-5-3 program támogatása</t>
  </si>
  <si>
    <t>ÖSSZEG
EREDETI Ei.</t>
  </si>
  <si>
    <t>Kadarkút Város Önkormányzatának 
2019. évi felhalmozási kiadásai</t>
  </si>
  <si>
    <t>Sportpálya felújítása</t>
  </si>
  <si>
    <t>Kamerarendszer kiépítése</t>
  </si>
  <si>
    <t>Iskolakonyha eszköz beszerzés, tető felújítása (útófinanszírozás)</t>
  </si>
  <si>
    <t>orvosi rendelő építése</t>
  </si>
  <si>
    <t>Biztos Kezdet Gyerekház - laptop beszerzés</t>
  </si>
  <si>
    <t>Biztos Kezdet Gyerekház - bejárati ajtó csere</t>
  </si>
  <si>
    <t>Védőnői szolgálat részére nyomtató beszerzés</t>
  </si>
  <si>
    <t>Orvosi rendelő építés új építési terv készítés</t>
  </si>
  <si>
    <t>Körmendi utcai ingatlan visszavásárlása</t>
  </si>
  <si>
    <t>Önkormányzati bérlakások felújítása</t>
  </si>
  <si>
    <t xml:space="preserve">Közös Hivatal légkondizíonáló berendezés </t>
  </si>
  <si>
    <t>Könyvtár részére bútor beszerzés (fotel, asztal)</t>
  </si>
  <si>
    <t>Kadarkút Város Önkormányzat 2019. évi létszámkerete kormányzati funkció szerinti bontásban</t>
  </si>
  <si>
    <t>2019. évi engedélyezett létszám ( fő)
EREDETI EI</t>
  </si>
  <si>
    <t>Kadarkút Város Önkormányzat 2019. évi közfoglalkoztatási létszámkerete</t>
  </si>
  <si>
    <t>EREDETI</t>
  </si>
  <si>
    <t>Beruházás teljes  költsége
 (2018-2020)</t>
  </si>
  <si>
    <t>2018. évi tény kiadás összege
Eredeti Ei</t>
  </si>
  <si>
    <t>2019. évi támogatási előleg</t>
  </si>
  <si>
    <t>Környezetvédelmi alap számla 2018.12.31. napi egyelege</t>
  </si>
  <si>
    <t>Megszűnt viziközmű társulattól átvett pénzeszköz számla (2018.12.31. napi egyenleg csökkentve a 2019. évi beruházások összegével)</t>
  </si>
  <si>
    <t>Szociális bérlakás számla (2018.12.31. napi egyenleg csökkentve a 2019. évi beruházások összegével)</t>
  </si>
  <si>
    <t>SM Katasztrófavédelmi Igazgatóság Támogatása</t>
  </si>
  <si>
    <t>Vakok és gyengénlátómk támogatása</t>
  </si>
  <si>
    <t>Sportegyesület támogatása (labdarúgó)</t>
  </si>
  <si>
    <t xml:space="preserve">Szkanderszövetség éves támogatása </t>
  </si>
  <si>
    <t>Ilyen kedvezmény nyújtását a 2019. évi költségvetésben nem terveztük.</t>
  </si>
  <si>
    <t>2019. évi engedélyezett létszám ( fő) MÓDOSÍTOTT EI</t>
  </si>
  <si>
    <t>ganczné</t>
  </si>
  <si>
    <t>Barna. Ferenciné, Horváth Gy., Szalai N</t>
  </si>
  <si>
    <t>"- ihárosi"</t>
  </si>
  <si>
    <t>062020</t>
  </si>
  <si>
    <t>Településfejlesztési projektek és támogatások</t>
  </si>
  <si>
    <t>2019. évi eredeti Módosított</t>
  </si>
  <si>
    <t xml:space="preserve">2019. évi
módosított </t>
  </si>
  <si>
    <t>Módosított ei.</t>
  </si>
  <si>
    <t>051.
SZEMÉLYI JUTTATÁS
MÓDOSÍTOTT EI</t>
  </si>
  <si>
    <t>052. 
MUNK. TERH. JÁRULÉK
MÓDOSÍTOTT EI</t>
  </si>
  <si>
    <t>053.  
DOLOGI KIADÁS
MÓDOSÍTOTT EI</t>
  </si>
  <si>
    <t>055.
MŰKÖDÉSI C. ÁTADOTT PÉNZESZK.
MÓDOSÍTOTT EI</t>
  </si>
  <si>
    <t>055121.
ELLÁTOTTAK PÉNZBENI PÉNZBENI  JUTTATÁSAI
MÓDOSÍTOTT EI</t>
  </si>
  <si>
    <t xml:space="preserve">
055.
TARTALÉK
MÓDOSÍTOTT EI</t>
  </si>
  <si>
    <t>059.
ÁLLAMHÁZTAR- TÁSON BELÜLI MEGELŐLEGEZÉS VISSZAFIZETÉSE
MÓDOSÍTOTT EI</t>
  </si>
  <si>
    <t>059.
PÉNZÜGYI LÍZING KIADÁS
MÓDOSÍTOTT EI</t>
  </si>
  <si>
    <t xml:space="preserve">
056.
BERUHÁZÁS
MÓDOSÍTOTT EI
</t>
  </si>
  <si>
    <t xml:space="preserve">
057.
FELÚJÍTÁS
MÓDOSÍTOTT EI</t>
  </si>
  <si>
    <t>ÖSSZESEN MÓDOSÍTOTT EI</t>
  </si>
  <si>
    <t>LÉTSZÁM (FŐ)
EREDETI</t>
  </si>
  <si>
    <t>Működési bevételek
(094) MÓDOSÍTOTT EI</t>
  </si>
  <si>
    <t xml:space="preserve"> Működési támogatások 
(091)
MÓDOSÍTOTT EI</t>
  </si>
  <si>
    <t>Felhalmozási célú támogatások 
(092)
MÓDOSÍTOTT EI</t>
  </si>
  <si>
    <t>Költségvetési maradvány
 (098)
MÓDOSÍTOTT EI</t>
  </si>
  <si>
    <t>Központi irányítószervi támogatás
 (098)
MÓDOSÍTOTT EI</t>
  </si>
  <si>
    <t>Közhatalmi bevételek
 (093)
MÓDOSÍTOTT EI</t>
  </si>
  <si>
    <t>ÖSSZESEN
MÓDOSÍTOTT EI</t>
  </si>
  <si>
    <t>MÓDOSÍTOTT EI
Összeg</t>
  </si>
  <si>
    <t>EREDETI Ei.</t>
  </si>
  <si>
    <t>ÖSSZEG
MÓDOSÍTOTT Ei.</t>
  </si>
  <si>
    <t>MÓDOSÍTOTT</t>
  </si>
  <si>
    <t xml:space="preserve"> összege
MÓDOSÍTOTT  Ei.</t>
  </si>
  <si>
    <t>mértéke
MÓDOSÍTOTT Ei.</t>
  </si>
  <si>
    <t>EREDETI  Ft-ban</t>
  </si>
  <si>
    <t>MÓDOSÍTOTT  Ft-ban</t>
  </si>
  <si>
    <t>Orvosi rendelő támogatás visszafizetés</t>
  </si>
  <si>
    <t xml:space="preserve">központi </t>
  </si>
  <si>
    <t>Településfejlesztési projektek- Magyar Falu</t>
  </si>
  <si>
    <t>Lakásfenntartással, lakhatással összefüggő ellátások (szoc tüzifa)</t>
  </si>
  <si>
    <t>016010</t>
  </si>
  <si>
    <t>Teleülésfejlesztési projektek- Magyar Falu</t>
  </si>
  <si>
    <t>Felhalmozási célú támogatások visszafizezése háztartásoktól 
(097)
EREDETI EI</t>
  </si>
  <si>
    <t>Felhalmozási célú támogatások visszafizezése háztartásoktól 
(097)
MÓDOSÍTOTT EI</t>
  </si>
  <si>
    <t>061010</t>
  </si>
  <si>
    <t>Bölcsődei dajkák, középfokú végzettségű kisgyermek nevelők (B113)</t>
  </si>
  <si>
    <t>Bölcsődei üzemeltetés támogatása (B113)</t>
  </si>
  <si>
    <t>Magyar Falu program támogatása (B16)</t>
  </si>
  <si>
    <t>TOP pályázat keretében foglalkoztatott bértámogatása- SZASZK (B16)</t>
  </si>
  <si>
    <t>TOP pályázat keretében foglalkoztatott bértámogatása- Város (B16)</t>
  </si>
  <si>
    <t>Működési célú önkormányzati támogatás (REKI) (B115)</t>
  </si>
  <si>
    <t>Közös Hivatal részére bértámogatás pályázat (B115)</t>
  </si>
  <si>
    <t>Szociális tüzifa támogatás 2019 (B115)</t>
  </si>
  <si>
    <t>Tűzoltóságok támogatása (REKI) B115</t>
  </si>
  <si>
    <t>Szolgáltatások bevétele, tárgyi eszkö bérbeadása (B402)</t>
  </si>
  <si>
    <t>Felhalmozási célú bevételek összesen: (B21,B23, B25, B74)</t>
  </si>
  <si>
    <t>Felhalmozási célú kölcsön visszatérülése (B74)</t>
  </si>
  <si>
    <t>Traktor beszerzés támogatás (ÁHT-n belül) (B21)</t>
  </si>
  <si>
    <t>Kamerarendszer kiépítésének támogatása (B21)</t>
  </si>
  <si>
    <t>2019. évi  módosított ei</t>
  </si>
  <si>
    <t>Előző évi elszámolásból adódó bevétel</t>
  </si>
  <si>
    <t>szociális tüzifa támogatás és KÖH bértámogatás bevétel</t>
  </si>
  <si>
    <t>Felhalmozási kölcsön visszatérülése</t>
  </si>
  <si>
    <t>Felhalmozási célú önkormányzati támogatás- Magyar Falu</t>
  </si>
  <si>
    <t>Orvosi eszköz beszerzés támogatása- Magyar Falu</t>
  </si>
  <si>
    <t>SZASZK konyha bojler beszerzés</t>
  </si>
  <si>
    <t>Pipacs u. 4db 12 fm-nél hosszabb vízmérő bekötések cseréje</t>
  </si>
  <si>
    <t>Magyar Falu program művelődési ház eszköz beszerzés</t>
  </si>
  <si>
    <t>Fűnyíró kistraktor motor csere - közfogi program</t>
  </si>
  <si>
    <t>Fő u. 24. kamera rendszer- közfogl. Gépek védelme, géptároló építés, fólia búvárszivattyú beszerzés</t>
  </si>
  <si>
    <t>Kaposi Máté</t>
  </si>
  <si>
    <t>Műk. Célú pe. Átadás- orvosi rendelő támogatás visszafizetés</t>
  </si>
  <si>
    <t>Orvosi rendelő támogatás visszafizetés (K)</t>
  </si>
  <si>
    <t>Óvoda társulás - Bölcsőde takarító bértámogatás</t>
  </si>
  <si>
    <t>EFOP projektből tanulók részére ösztöndíj támogatás</t>
  </si>
  <si>
    <t>EP választás, Polgármester és képviselő választás</t>
  </si>
  <si>
    <t>Támogatási célú fin. Műv (Katasztrófavédelem, fogászat, vakok és gyengénlátók, Tűzoltóság REKI, sportkör,stb)</t>
  </si>
  <si>
    <t>Minimálbér és garantált bérminimum támogatása (B111) KÖH</t>
  </si>
  <si>
    <t xml:space="preserve">Költségvetési szervek bérkompenzációja (B111) </t>
  </si>
  <si>
    <t xml:space="preserve">Szociális ágazati pótlék (B113) </t>
  </si>
  <si>
    <t>Könyvtári célú érdekeltségnövelő támogatás (B114)</t>
  </si>
  <si>
    <t>Minimálbér és garantált bérminimum támogatása (B114) Közművelődés</t>
  </si>
  <si>
    <t>Kulturális illetménypótlék (B114)</t>
  </si>
  <si>
    <t>Tankerületi Központ költségének térítése (REKI) (B115)</t>
  </si>
  <si>
    <t>Minimálbér és garantált bérminimum támogatása (B112) Óvoda</t>
  </si>
  <si>
    <t>Tankerületi Központ költségének térítése - SZASZK konyha (REKI) (B115)</t>
  </si>
  <si>
    <t>EP választás , polgármester és képviselő választás (B16)</t>
  </si>
  <si>
    <t>Felhamozási célú önkormányzati támogatások Magyar falu Műv.ház (B21)</t>
  </si>
  <si>
    <t>Magyar Falu orvosi eszköz beszerzés pályázat (B25)</t>
  </si>
  <si>
    <t>Magyar Falu temető felújítás pályázati támogatás (B25)</t>
  </si>
  <si>
    <t>Magyar Falu járda felújítás pályázati támogatás (B25)</t>
  </si>
  <si>
    <t>Ingatlan értékesítés (B52) - Szabadság u. földterület</t>
  </si>
  <si>
    <t>Egyéb tárgyi eszköz értékesítés (B53) - Óvodai bicikli tároló értékesítés</t>
  </si>
  <si>
    <t>Tárgyi eszköz értékesítés összesen</t>
  </si>
  <si>
    <t>Államháztartáson belüli megelőlegezés (B814)</t>
  </si>
  <si>
    <t>Minimálbér és garantált bérminimum támogatása (B113) Szaszk</t>
  </si>
  <si>
    <t>Kisasszond 2019. évi jutalom hozzájárulása (B16)</t>
  </si>
  <si>
    <t>Államháztartáson belüli megelőlegezés
(098)
EREDETI EI</t>
  </si>
  <si>
    <t>Államháztartáson belüli megelőlegezés</t>
  </si>
  <si>
    <t>Államháztartáson belüli megelőlegezés
(098)
MÓDOSÍTOTT  EI</t>
  </si>
  <si>
    <t xml:space="preserve">Műk.célú pénzeszk átadás Áht belülre  (K506) - óvodafenntartó pénzátadás, tűzoltóság reki, választás átlagbér, egyesületek támogatása, </t>
  </si>
  <si>
    <t>Műk.célú pénzeszk átadás Áht kivűlre (K512) választás szszb tag díja, egyesületek, stb.</t>
  </si>
  <si>
    <t>2019. évi
Módosított előirányzat</t>
  </si>
  <si>
    <t>Tárgyi eszköz + ingatlan értékesítés</t>
  </si>
  <si>
    <t>Tárgyi eszköz / ingatlan értékesítés</t>
  </si>
  <si>
    <t>felhalmozási támogatás</t>
  </si>
  <si>
    <t>felhalm. Kiad</t>
  </si>
  <si>
    <t>tartalék</t>
  </si>
  <si>
    <t>Óvodapedagógusok 8 havi támogatása 10,5 fő</t>
  </si>
  <si>
    <t>Óvodapedagógusok 4 havi támogatása 10,9 fő</t>
  </si>
  <si>
    <t>Óvodaműködtetési támogatás - 8 hónap 107 fő</t>
  </si>
  <si>
    <t>Óvodaműködtetési támogatás - 4 hónap 108 fő</t>
  </si>
  <si>
    <t>Szociális étkeztetés 83 fő</t>
  </si>
  <si>
    <t>Házi segytségnyújtás-szociális segítés 8 fő</t>
  </si>
  <si>
    <t>Házi segítségnyújtás-személyi gondozás 21 fő</t>
  </si>
  <si>
    <t>A finanszirozás szemp.elismert dolgozók bértámogatása 9,17 fő</t>
  </si>
  <si>
    <t>közművelődési feladatok támogatása</t>
  </si>
  <si>
    <t>kulturális illetménypótlék</t>
  </si>
  <si>
    <t xml:space="preserve">minimálbér és garantált bérminimum támogatása </t>
  </si>
  <si>
    <t>könyvtári célú érdekeltségnövelő támogatás</t>
  </si>
  <si>
    <t>szociális ágatati pótlék</t>
  </si>
  <si>
    <t>minimálbér ás garntált bérminimum támogatása</t>
  </si>
  <si>
    <t>költségvetési szervek bérkompenzációja</t>
  </si>
  <si>
    <t>I.1.a) Önkormányzati hivatal működésének támogatása összesen</t>
  </si>
  <si>
    <t>Közös Hivatal eszköz beszerzés (szünetmentes, monitor, szék, bankjegyszámláló, vezetékes telefon)</t>
  </si>
  <si>
    <t>SZASZK részére Dacia Doccer beszerzés lízingdíja</t>
  </si>
  <si>
    <t>Művelődési ház színpad függöny beszerzés közmművelődési támogatás terhére</t>
  </si>
  <si>
    <t xml:space="preserve">Átemelő szivattyú, vegyszeradagoló szivattyúk beszerzés </t>
  </si>
  <si>
    <t>csigásprés vezérlés felújítása szennyvíztelep</t>
  </si>
  <si>
    <t>vízmű gépház fűtőtest beszerzés</t>
  </si>
  <si>
    <t>1 db számítógép beszerzés városi TV működtetéshez</t>
  </si>
  <si>
    <t>Sportpálya tároló építés</t>
  </si>
  <si>
    <t>Sportpálya műtrágya szóró kocsi</t>
  </si>
  <si>
    <t xml:space="preserve">SZASZK iskola konyha laptop + szoftverek beszerzése </t>
  </si>
  <si>
    <t>Tűzoltóság REKI támogatás átadás</t>
  </si>
  <si>
    <t>EP választás és polgármester és képviselő választás SZSZB tagok szavazást követő nap átlagbér megtérítése</t>
  </si>
  <si>
    <t xml:space="preserve">Siketek támogatása </t>
  </si>
  <si>
    <t>Légimentők támogatása</t>
  </si>
  <si>
    <t>Berzsenyi Irodali Társaság támogatása</t>
  </si>
  <si>
    <t>Ingatlan értékesítés</t>
  </si>
  <si>
    <t>2019. évi teljesítés</t>
  </si>
  <si>
    <t>051.
TELJESÍTÉS</t>
  </si>
  <si>
    <t>052. 
MUNK. TERH. JÁRULÉK
TELJESÍTÉS</t>
  </si>
  <si>
    <t>053.  
DOLOGI KIADÁS
TELJESÍTÉS</t>
  </si>
  <si>
    <t>055.
MŰKÖDÉSI C. ÁTADOTT PÉNZESZK.
TELJESÍTÉS</t>
  </si>
  <si>
    <t>055121.
TELJESÍTÉS</t>
  </si>
  <si>
    <t xml:space="preserve">
055.
TARTALÉK
TELJESÍTÉS</t>
  </si>
  <si>
    <t>059.
ÁLLAMHÁZTAR- TÁSON BELÜLI MEGELŐLEGEZÉS VISSZAFIZETÉSE
TELJESÍTÉS</t>
  </si>
  <si>
    <t>059.
PÉNZÜGYI LÍZING KIADÁS
TELJESÍTÉS</t>
  </si>
  <si>
    <t>056.
BERUHÁZÁS
TELJESÍTÉS</t>
  </si>
  <si>
    <t xml:space="preserve">
057.
FELÚJÍTÁS
TELJESÍTÉS</t>
  </si>
  <si>
    <t>ÖSSZESEN
TELJESÍTÉS</t>
  </si>
  <si>
    <t>Működési bevételek
(094) 
TELJESÍTÉS</t>
  </si>
  <si>
    <t xml:space="preserve"> Működési támogatások 
(091)
TELJESÍTÉS</t>
  </si>
  <si>
    <t>Felhalmozási célú támogatások 
(092)
TELJESÍTÉS</t>
  </si>
  <si>
    <t>Felhalmozási célú támogatások visszafizezése háztartásoktól 
(097)
TELJESÍTÉS</t>
  </si>
  <si>
    <t>Költségvetési maradvány
 (098)
TELJESÍTÉS</t>
  </si>
  <si>
    <t>Központi irányítószervi támogatás
 (098)
TELJESÍTÉS</t>
  </si>
  <si>
    <t>Államháztartáson belüli megelőlegezés
(098)
TELJESÍTÉS</t>
  </si>
  <si>
    <t>Közhatalmi bevételek
 (093)
TELJESÍTÉS</t>
  </si>
  <si>
    <t>ÖSSZESEN
TELJESÍTÉS</t>
  </si>
  <si>
    <t>2019. évi
teljesítés</t>
  </si>
  <si>
    <t>Teljesítés</t>
  </si>
  <si>
    <t>TELJESÍTÉS</t>
  </si>
  <si>
    <t>TELJESÍTÉS
Összeg</t>
  </si>
  <si>
    <t>2019. évi engedélyezett létszám ( fő) TELJESÍTÉS</t>
  </si>
  <si>
    <t>LÉTSZÁM (FŐ)
TELJESÍTÉS</t>
  </si>
  <si>
    <t>2019. évi közművelődési érdekeltség növelő támogatás (B21)</t>
  </si>
  <si>
    <t>Szociális Alaszolg. Kp. konyha tető felújítás, eszköz beszerzés támogatása (B25)</t>
  </si>
  <si>
    <t xml:space="preserve">Gépjármű értékesítés (szaszk régi autó) </t>
  </si>
  <si>
    <t>Ingatlanok,tárgyi eszközök, gépjárművek  értékesítése 
(095)
EREDETI EI</t>
  </si>
  <si>
    <t>Ingatlanok,tárgyi eszközök, gépjárművek  k értékesítése 
(095)
MÓDOSÍTOTT EI</t>
  </si>
  <si>
    <t>Ingatlanok,tárgyi eszközök, gépjárművek   értékesítése 
(095)
TELJESÍTÉS</t>
  </si>
  <si>
    <t>mód</t>
  </si>
  <si>
    <t>SZASZK mérleg beszerzés</t>
  </si>
  <si>
    <t>Akác vendéglő felújítása (kazán, nyílászáró)</t>
  </si>
  <si>
    <t>Szaszk eszköz beszerzés (bútor, étkészlet, vérnyomásmérő, vércukormárő, vezetékes telefon, kártyaolvasó)</t>
  </si>
  <si>
    <t>Művelődési Ház eszköz beszerzés (kártya olvasó, kávéfőző)</t>
  </si>
  <si>
    <t>EFOP-3-9-2 óvoda vizesblok felújítás</t>
  </si>
  <si>
    <t>EFOP-3-9-2  rekortánpálya világítása</t>
  </si>
  <si>
    <t>Közmvelődési érdekeltségnövelő támogatásból kamera, keverőpult, 1 db számítógép beszerzés (2018 évi)</t>
  </si>
  <si>
    <t>Szociális bérlakás bojler beszerzés</t>
  </si>
  <si>
    <t>Szociális bérlakások felújítása (kályha beszerzés, felújítások)</t>
  </si>
  <si>
    <t>1 db vadkamera beszerzés</t>
  </si>
  <si>
    <t xml:space="preserve">vízhálózat tolózár csere </t>
  </si>
  <si>
    <t>Pipacs utca vízrendezés átemelő szivattyú villamos ellátás anyag + munkadíj</t>
  </si>
  <si>
    <t>Magyar Falu program  temető felújítás</t>
  </si>
  <si>
    <t>Traktor beszerzés, mélyásó - kotró beszerzés</t>
  </si>
  <si>
    <t>Árpád - Pipacs utca járda helyreállítása</t>
  </si>
  <si>
    <t xml:space="preserve"> összege
TELJESÍTÉS  </t>
  </si>
  <si>
    <t>mértéke
TELJESÍTÉS</t>
  </si>
  <si>
    <t>Kadarkút Város Önkormányzat 2019. évi tartalék felhasználása</t>
  </si>
  <si>
    <t>1/2</t>
  </si>
  <si>
    <t>2/2</t>
  </si>
  <si>
    <t>TELJESÍTÉS  Ft-ban</t>
  </si>
  <si>
    <t>Saját bevételek és az adósságot keletkeztető ügyletekből és kezességvállalásokból fennálló kötelezettségek aránya</t>
  </si>
  <si>
    <t>Saját bevételek</t>
  </si>
  <si>
    <t>Helyi adóból származó bevételek</t>
  </si>
  <si>
    <t>Önkormányzati vagyon és az önk.-ot megillető vagyoni jog értékesitéséből és hasznositásából származó bevétel</t>
  </si>
  <si>
    <t>Osztalék,koncessziós dij és hozambevétel</t>
  </si>
  <si>
    <t>Tárgyi eszközök,imm.javak,részvény,részesedés, vállalat értr.ből vagy privatizációból származó bevétel</t>
  </si>
  <si>
    <t>Bírság-, pótlék- és díjbevétel</t>
  </si>
  <si>
    <t>Kezességvállalással kapcsolatos megtérülés</t>
  </si>
  <si>
    <t xml:space="preserve">Összesen: </t>
  </si>
  <si>
    <t>Adósságot keletkeztető ügyletek</t>
  </si>
  <si>
    <t>Felvett, átvállalt hitel, kölcsön</t>
  </si>
  <si>
    <t>Hitelviszonyt megtestesítő értékpapír</t>
  </si>
  <si>
    <t>Váltó</t>
  </si>
  <si>
    <t>Pénzügyi lízing</t>
  </si>
  <si>
    <t>Adásvételi szerződés megkötése a visszavásárlási kötelezettség kikötésével</t>
  </si>
  <si>
    <t>Halasztott fizetés, részletfizetés, és a még ki nem fizetett ellenérték</t>
  </si>
  <si>
    <t>Kezességvállalásból eredő fizetési kötelezettség</t>
  </si>
  <si>
    <t>TELJESÍTés</t>
  </si>
  <si>
    <t>Kadarkút Város Önkormányzata által tervezett saját bevételek összegei és kezességvállalásokból származó kötelezettségei</t>
  </si>
  <si>
    <t>Bevétel megnevezése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</si>
  <si>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</si>
  <si>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</si>
  <si>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</si>
  <si>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</si>
  <si>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</si>
  <si>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</si>
  <si>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</si>
  <si>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</si>
  <si>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</si>
  <si>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</si>
  <si>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</si>
  <si>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Helyi adókból származó bevétel</t>
  </si>
  <si>
    <t>Osztalék, koncessziós díj, hozambevétel</t>
  </si>
  <si>
    <t>Bírság, pótlék- és díjbevétel</t>
  </si>
  <si>
    <r>
      <t>Kezességvállalásokból fennálló  kötelezettségek</t>
    </r>
    <r>
      <rPr>
        <b/>
        <u/>
        <sz val="11"/>
        <rFont val="Arial"/>
        <family val="2"/>
        <charset val="238"/>
      </rPr>
      <t>:</t>
    </r>
    <r>
      <rPr>
        <b/>
        <sz val="11"/>
        <rFont val="Arial"/>
        <family val="2"/>
        <charset val="238"/>
      </rPr>
      <t xml:space="preserve">
A Kaposmenti Hulladékgazdálkodási Önkormányzati Társulás által a "Sikeres Magyarországért" Önkormányzati Infrastruktúrafejlesztési Hitelprogram keretén belül felvett hitelhez való önkormányzati készfizető kezességvállalás</t>
    </r>
  </si>
  <si>
    <t>2032.</t>
  </si>
  <si>
    <t>2033.</t>
  </si>
  <si>
    <t>2034.</t>
  </si>
  <si>
    <t>2035.</t>
  </si>
  <si>
    <t>2036.</t>
  </si>
  <si>
    <t>2037.</t>
  </si>
  <si>
    <t>2038.</t>
  </si>
  <si>
    <t>2019. EREDETI EI</t>
  </si>
  <si>
    <t>2019. MÓDOSÍTOTT EI</t>
  </si>
  <si>
    <t>2019. TELJESÍTÉS</t>
  </si>
  <si>
    <t>Teljesen (0-ig) leírt eszközök bruttó értéke</t>
  </si>
  <si>
    <t>26</t>
  </si>
  <si>
    <t>Eszközök nettó értéke (=15-24)</t>
  </si>
  <si>
    <t>25</t>
  </si>
  <si>
    <t>Értékcsökkenés összesen (=19+23)</t>
  </si>
  <si>
    <t>24</t>
  </si>
  <si>
    <t>Terv szerinti értékcsökkenés záró állománya  (=16+17-18)</t>
  </si>
  <si>
    <t>19</t>
  </si>
  <si>
    <t>Terv szerinti értékcsökkenés csökkenése</t>
  </si>
  <si>
    <t>18</t>
  </si>
  <si>
    <t>Terv szerinti értékcsökkenés növekedése</t>
  </si>
  <si>
    <t>17</t>
  </si>
  <si>
    <t>Terv szerinti értékcsökkenés nyitó állománya</t>
  </si>
  <si>
    <t>16</t>
  </si>
  <si>
    <t>Bruttó érték összesen (=01+08-14)</t>
  </si>
  <si>
    <t>15</t>
  </si>
  <si>
    <t>Összes csökkenés (=09+…+13)</t>
  </si>
  <si>
    <t>14</t>
  </si>
  <si>
    <t>Egyéb csökkenés</t>
  </si>
  <si>
    <t>13</t>
  </si>
  <si>
    <t>Hiány, selejtezés, megsemmisülés</t>
  </si>
  <si>
    <t>10</t>
  </si>
  <si>
    <t>Értékesítés</t>
  </si>
  <si>
    <t>09</t>
  </si>
  <si>
    <t>Összes növekedés  (=02+…+07)</t>
  </si>
  <si>
    <t>08</t>
  </si>
  <si>
    <t>Egyéb növekedés</t>
  </si>
  <si>
    <t>07</t>
  </si>
  <si>
    <t>Térítésmentes átvétel</t>
  </si>
  <si>
    <t>05</t>
  </si>
  <si>
    <t>Nem aktivált felújítások</t>
  </si>
  <si>
    <t>03</t>
  </si>
  <si>
    <t>Immateriális javak beszerzése, nem aktivált beruházások</t>
  </si>
  <si>
    <t>02</t>
  </si>
  <si>
    <t>Tárgyévi nyitó állomány (előző évi záró állomány)</t>
  </si>
  <si>
    <t>01</t>
  </si>
  <si>
    <t>Összesen (=3+4+5+6+7+8)</t>
  </si>
  <si>
    <t>Koncesszióba, vagyonkezelésbe adott eszközök</t>
  </si>
  <si>
    <t>Beruházások és felújítások</t>
  </si>
  <si>
    <t>Tenyészállatok</t>
  </si>
  <si>
    <t>Gépek, berendezések, felszerelések, járművek</t>
  </si>
  <si>
    <t>Ingatlanok és kapcsolódó vagyoni értékű jogok</t>
  </si>
  <si>
    <t>Immateriális javak</t>
  </si>
  <si>
    <t>#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</si>
  <si>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</si>
  <si>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</si>
  <si>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</si>
  <si>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</si>
  <si>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04</t>
  </si>
  <si>
    <t>03        Alaptevékenység finanszírozási bevételei</t>
  </si>
  <si>
    <t>04        Alaptevékenység finanszírozási kiadásai</t>
  </si>
  <si>
    <t>06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</si>
  <si>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</si>
  <si>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</si>
  <si>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</si>
  <si>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</si>
  <si>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Előző időszak</t>
  </si>
  <si>
    <t>Módosítások (+/-)</t>
  </si>
  <si>
    <t>Tárgyi időszak</t>
  </si>
  <si>
    <t>A/I/1 Vagyoni értékű jogok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</si>
  <si>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</si>
  <si>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</si>
  <si>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</si>
  <si>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</si>
  <si>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</si>
  <si>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11</t>
  </si>
  <si>
    <t>A/III/1 Tartós részesedések (=A/III/1a+…+A/III/1e)</t>
  </si>
  <si>
    <t>A/III/1b - ebből: tartós részesedések nem pénzügyi vállalkozásban</t>
  </si>
  <si>
    <t>A/III/2 Tartós hitelviszonyt megtestesítő értékpapírok (&gt;=A/III/2a+A/III/2/b)</t>
  </si>
  <si>
    <t>21</t>
  </si>
  <si>
    <t>A/III Befektetett pénzügyi eszközök (=A/III/1+A/III/2+A/III/3)</t>
  </si>
  <si>
    <t>22</t>
  </si>
  <si>
    <t>A/IV/1 Koncesszióba, vagyonkezelésbe adott eszközök (=A/IV/1a+A/IV/1b+A/IV/1c)</t>
  </si>
  <si>
    <t>A/IV/1b - ebből: tárgyi eszközök</t>
  </si>
  <si>
    <t>27</t>
  </si>
  <si>
    <t>A/IV Koncesszióba, vagyonkezelésbe adott eszközök (=A/IV/1+A/IV/2)</t>
  </si>
  <si>
    <t>28</t>
  </si>
  <si>
    <t>A) NEMZETI VAGYONBA TARTOZÓ BEFEKTETETT ESZKÖZÖK (=A/I+A/II+A/III+A/IV)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</si>
  <si>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</si>
  <si>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</si>
  <si>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</si>
  <si>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</si>
  <si>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</si>
  <si>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</si>
  <si>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</si>
  <si>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</si>
  <si>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</si>
  <si>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</si>
  <si>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</si>
  <si>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</si>
  <si>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</si>
  <si>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</si>
  <si>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</si>
  <si>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</si>
  <si>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</si>
  <si>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</si>
  <si>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</si>
  <si>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</si>
  <si>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</si>
  <si>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</si>
  <si>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</si>
  <si>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</si>
  <si>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72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</si>
  <si>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</si>
  <si>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</si>
  <si>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</si>
  <si>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74</t>
  </si>
  <si>
    <t>D/I/4e - ebből: költségvetési évben esedékes követelések általános forgalmi adó visszatérítésére</t>
  </si>
  <si>
    <t>78</t>
  </si>
  <si>
    <t>D/I/4i - ebből: költségvetési évben esedékes követelések egyéb működési bevételekre</t>
  </si>
  <si>
    <t>89</t>
  </si>
  <si>
    <t>D/I/7 Költségvetési évben esedékes követelések felhalmozási célú átvett pénzeszközre (&gt;=D/I/7a+D/I/7b+D/I/7c)</t>
  </si>
  <si>
    <t>92</t>
  </si>
  <si>
    <t>D/I/7c - ebből: költségvetési évben esedékes követelések felhalmozási célú visszatérítendő támogatások, kölcsönök visszatérülésére államháztartáson kívülről</t>
  </si>
  <si>
    <t>101</t>
  </si>
  <si>
    <t>D/I Költségvetési évben esedékes követelések (=D/I/1+…+D/I/8)</t>
  </si>
  <si>
    <t>143</t>
  </si>
  <si>
    <t>D/III/1 Adott előlegek (=D/III/1a+…+D/III/1f)</t>
  </si>
  <si>
    <t>148</t>
  </si>
  <si>
    <t>D/III/1e - ebből: foglalkoztatottaknak adott előlegek</t>
  </si>
  <si>
    <t>152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</si>
  <si>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</si>
  <si>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</si>
  <si>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</si>
  <si>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</si>
  <si>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</si>
  <si>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163</t>
  </si>
  <si>
    <t>E/I/4 Más előzetesen felszámított nem levonható általános forgalmi adó</t>
  </si>
  <si>
    <t>164</t>
  </si>
  <si>
    <t>E/I Előzetesen felszámított általános forgalmi adó elszámolása (=E/I/1+…+E/I/4)</t>
  </si>
  <si>
    <t>166</t>
  </si>
  <si>
    <t>E/II/2 Más fizetendő általános forgalmi adó</t>
  </si>
  <si>
    <t>167</t>
  </si>
  <si>
    <t>E/II Fizetendő általános forgalmi adó elszámolása (=E/II/1+E/II/2)</t>
  </si>
  <si>
    <t>171</t>
  </si>
  <si>
    <t>E) EGYÉB SAJÁTOS ELSZÁMOLÁSOK (=E/I+E/II+E/III)</t>
  </si>
  <si>
    <t>176</t>
  </si>
  <si>
    <t>ESZKÖZÖK ÖSSZESEN (=A+B+C+D+E+F)</t>
  </si>
  <si>
    <t>177</t>
  </si>
  <si>
    <t>G/I  Nemzeti vagyon induláskori értéke</t>
  </si>
  <si>
    <t>178</t>
  </si>
  <si>
    <t>G/II Nemzeti vagyon változásai</t>
  </si>
  <si>
    <t>179</t>
  </si>
  <si>
    <t>G/III Egyéb eszközök induláskori értéke és változásai</t>
  </si>
  <si>
    <t>180</t>
  </si>
  <si>
    <t>G/IV Felhalmozott eredmény</t>
  </si>
  <si>
    <t>182</t>
  </si>
  <si>
    <t>G/VI Mérleg szerinti eredmény</t>
  </si>
  <si>
    <t>183</t>
  </si>
  <si>
    <t>G/ SAJÁT TŐKE  (= G/I+…+G/VI)</t>
  </si>
  <si>
    <t>184</t>
  </si>
  <si>
    <t>H/I/1 Költségvetési évben esedékes kötelezettségek személyi juttatásokra</t>
  </si>
  <si>
    <t>186</t>
  </si>
  <si>
    <t>H/I/3 Költségvetési évben esedékes kötelezettségek dologi kiadásokra</t>
  </si>
  <si>
    <t>209</t>
  </si>
  <si>
    <t>H/I Költségvetési évben esedékes kötelezettségek (=H/I/1+…+H/I/9)</t>
  </si>
  <si>
    <t>212</t>
  </si>
  <si>
    <t>H/II/3 Költségvetési évet követően esedékes kötelezettségek dologi kiadásokra</t>
  </si>
  <si>
    <t>222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</si>
  <si>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</si>
  <si>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</si>
  <si>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</si>
  <si>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</si>
  <si>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</si>
  <si>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</si>
  <si>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H/III/1 Kapott előlegek</t>
  </si>
  <si>
    <t>240</t>
  </si>
  <si>
    <t>H/III/8 Letétre, megőrzésre, fedezetkezelésre átvett pénzeszközök, biztosítékok</t>
  </si>
  <si>
    <t>243</t>
  </si>
  <si>
    <t>H/III Kötelezettség jellegű sajátos elszámolások (=H/III/1+…+H/III/10)</t>
  </si>
  <si>
    <t>244</t>
  </si>
  <si>
    <t>H) KÖTELEZETTSÉGEK (=H/I+H/II+H/III)</t>
  </si>
  <si>
    <t>246</t>
  </si>
  <si>
    <t>J/1 Eredményszemléletű bevételek passzív időbeli elhatárolása</t>
  </si>
  <si>
    <t>247</t>
  </si>
  <si>
    <t>J/2 Költségek, ráfordítások passzív időbeli elhatárolása</t>
  </si>
  <si>
    <t>248</t>
  </si>
  <si>
    <t>J/3 Halasztott eredményszemléletű bevételek</t>
  </si>
  <si>
    <t>249</t>
  </si>
  <si>
    <t>J) PASSZÍV IDŐBELI ELHATÁROLÁSOK (=J/1+J/2+J/3)</t>
  </si>
  <si>
    <t>250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</si>
  <si>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</si>
  <si>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</si>
  <si>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</si>
  <si>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</si>
  <si>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</si>
  <si>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</si>
  <si>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</si>
  <si>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</si>
  <si>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</si>
  <si>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12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</si>
  <si>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</si>
  <si>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</si>
  <si>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</si>
  <si>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</si>
  <si>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</si>
  <si>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</si>
  <si>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</si>
  <si>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20</t>
  </si>
  <si>
    <t>16 Bérjárulékok</t>
  </si>
  <si>
    <t>V Személyi jellegű ráfordítások (=14+15+16)</t>
  </si>
  <si>
    <t>VI Értékcsökkenési leírás</t>
  </si>
  <si>
    <t>23</t>
  </si>
  <si>
    <t>VII Egyéb ráfordítások</t>
  </si>
  <si>
    <t>A)  TEVÉKENYSÉGEK EREDMÉNYE (=I±II+III-IV-V-VI-VII)</t>
  </si>
  <si>
    <t>20 Egyéb kapott (járó) kamatok és kamatjellegű eredményszemléletű bevételek</t>
  </si>
  <si>
    <t>32</t>
  </si>
  <si>
    <t>VIII Pénzügyi műveletek eredményszemléletű bevételei (=17+18+19+20+21)</t>
  </si>
  <si>
    <t>34</t>
  </si>
  <si>
    <t>23 Befektetett pénzügyi eszközökből (értékpapírokból, kölcsönökből) származó ráfordítások, árfolyamveszteségek</t>
  </si>
  <si>
    <t>35</t>
  </si>
  <si>
    <t>24 Fizetendő kamatok és kamatjellegű ráfordítások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</si>
  <si>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</si>
  <si>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</si>
  <si>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</si>
  <si>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</si>
  <si>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</si>
  <si>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</si>
  <si>
    <t xml:space="preserve"> Kimutatás az immateriális javak, tárgyi eszközök koncesszióba, vagyonkezelésbe adott eszközök állományának alakulásáról</t>
  </si>
  <si>
    <t xml:space="preserve"> Maradványkimutatás</t>
  </si>
  <si>
    <t xml:space="preserve"> Eredménykimutatás</t>
  </si>
  <si>
    <t xml:space="preserve"> Mérleg</t>
  </si>
  <si>
    <t>1. melléklet a 3/2020.(VII.16) önkormányzati rendelethez</t>
  </si>
  <si>
    <t>2. melléklet  a 3/2020.(VII.16.) önkormányzati rendelethez</t>
  </si>
  <si>
    <t xml:space="preserve">3. melléklet a 3/2020.(VII.16) önkormányzati rendelethez </t>
  </si>
  <si>
    <t xml:space="preserve">4.a  melléklet a 3/2020.(VII.16) önkormányzati rendelethez </t>
  </si>
  <si>
    <t xml:space="preserve">4.b  melléklet a 3/2020.(VII.16.) önkormányzati rendelethez </t>
  </si>
  <si>
    <t xml:space="preserve">5. melléklet a 3/2020.(VII.16.) önkormányzati rendelethez </t>
  </si>
  <si>
    <t xml:space="preserve">6.  melléklet a 3/2020.(VII.16.) önkormányzati rendelethez </t>
  </si>
  <si>
    <t xml:space="preserve">7. melléklet a 3/2020.(VII.16.) önkormányzati rendelethez </t>
  </si>
  <si>
    <t xml:space="preserve">8. számú melléklet a 3/2020.(VII.16.) önkormányzati rendelethez </t>
  </si>
  <si>
    <t>9.  melléklet a 3/2020.(VII.16) önkormányzati rendelethez</t>
  </si>
  <si>
    <t xml:space="preserve">10. melléklet a 3/2020.(VII.16.) önkormányzati rendelethez </t>
  </si>
  <si>
    <t xml:space="preserve">11 melléklet a 3/2020.(VII.16.) önkormányzati rendelethez </t>
  </si>
  <si>
    <t>12. melléklet a 3/2020.(VII.16.) önkormányzati rendelethez</t>
  </si>
  <si>
    <t xml:space="preserve">13. melléklet a 3/2020.(VII.16.) önkormányzati rendelethez </t>
  </si>
  <si>
    <t xml:space="preserve">14. melléklet a 3/2020.(VII.16.) önkormányzati rendelethez </t>
  </si>
  <si>
    <t xml:space="preserve">15. melléklet a 3/2020.(VII.16.) önkormányzati rendelethez </t>
  </si>
  <si>
    <t>16. melléklet a 3/2020.(VII.16.) önkormányzati rendelethez</t>
  </si>
  <si>
    <t xml:space="preserve">17. melléklet a 3/2020.(VII.16.) önkormányzati rendelethez </t>
  </si>
  <si>
    <t xml:space="preserve">18. melléklet a 3/2020.(VII.16.) önkormányzati rendelethez </t>
  </si>
  <si>
    <t>19. melléklet a 3/2020.(VII.16.) önkormányzati rendelethez</t>
  </si>
  <si>
    <t xml:space="preserve">20. melléklet a 3/2020.(VII.16.) önkormányzati rendelethez </t>
  </si>
  <si>
    <t xml:space="preserve">21. melléklet a 3/2020.(VII.16.) önkormányzati rendelethez </t>
  </si>
  <si>
    <t xml:space="preserve">22. melléklet a 3/2020.(VII.16.) önkormányzati rendelethez 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</si>
</sst>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\ [$Ft-40E]_-;\-* #,##0\ [$Ft-40E]_-;_-* &quot;-&quot;??\ [$Ft-40E]_-;_-@_-"/>
    <numFmt numFmtId="166" formatCode="#,##0_ ;\-#,##0\ "/>
  </numFmts>
  <fonts count="93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 CE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 CE"/>
      <charset val="238"/>
    </font>
    <font>
      <b/>
      <u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2"/>
      <name val="Times New Roman"/>
      <family val="1"/>
      <charset val="238"/>
    </font>
    <font>
      <b/>
      <i/>
      <sz val="14"/>
      <name val="Times New Roman CE"/>
      <charset val="238"/>
    </font>
    <font>
      <b/>
      <sz val="12"/>
      <name val="Times New Roman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u/>
      <sz val="12"/>
      <name val="Times New Roman CE"/>
      <family val="1"/>
      <charset val="238"/>
    </font>
    <font>
      <sz val="72"/>
      <name val="Arial CE"/>
      <charset val="238"/>
    </font>
    <font>
      <b/>
      <sz val="18"/>
      <name val="Times New Roman CE"/>
      <family val="1"/>
      <charset val="238"/>
    </font>
    <font>
      <b/>
      <sz val="10"/>
      <name val="Arial"/>
      <family val="2"/>
    </font>
    <font>
      <b/>
      <sz val="2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sz val="10"/>
      <name val="Cambria"/>
      <family val="1"/>
      <charset val="238"/>
    </font>
    <font>
      <b/>
      <u/>
      <sz val="11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sz val="16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4"/>
      <name val="Arial CE"/>
      <charset val="238"/>
    </font>
    <font>
      <sz val="16"/>
      <name val="Arial CE"/>
      <charset val="238"/>
    </font>
    <font>
      <sz val="14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rgb="FF0070C0"/>
      <name val="Arial CE"/>
      <charset val="238"/>
    </font>
    <font>
      <b/>
      <sz val="1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Arial CE"/>
      <charset val="238"/>
    </font>
    <font>
      <b/>
      <u/>
      <sz val="1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i/>
      <sz val="10"/>
      <name val="Arial CE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</font>
    <font>
      <b/>
      <sz val="10"/>
      <name val="Arial"/>
    </font>
    <font>
      <sz val="12"/>
      <name val="Arial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26" fillId="0" borderId="0" applyFont="0" applyFill="0" applyBorder="0" applyAlignment="0" applyProtection="0"/>
    <xf numFmtId="0" fontId="1" fillId="0" borderId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5">
    <xf numFmtId="0" fontId="0" fillId="0" borderId="0" xfId="0"/>
    <xf numFmtId="0" fontId="2" fillId="0" borderId="0" xfId="2" applyFont="1" applyAlignment="1">
      <alignment horizontal="right"/>
    </xf>
    <xf numFmtId="0" fontId="3" fillId="0" borderId="0" xfId="2" applyFont="1"/>
    <xf numFmtId="0" fontId="4" fillId="0" borderId="0" xfId="2" applyFont="1"/>
    <xf numFmtId="0" fontId="6" fillId="0" borderId="0" xfId="2" applyFont="1"/>
    <xf numFmtId="0" fontId="6" fillId="0" borderId="0" xfId="2" applyFont="1" applyFill="1"/>
    <xf numFmtId="0" fontId="6" fillId="0" borderId="2" xfId="2" applyFont="1" applyFill="1" applyBorder="1"/>
    <xf numFmtId="0" fontId="6" fillId="0" borderId="3" xfId="2" applyFont="1" applyFill="1" applyBorder="1"/>
    <xf numFmtId="0" fontId="6" fillId="0" borderId="4" xfId="2" applyFont="1" applyFill="1" applyBorder="1"/>
    <xf numFmtId="0" fontId="7" fillId="0" borderId="0" xfId="2" applyFont="1" applyFill="1"/>
    <xf numFmtId="0" fontId="7" fillId="0" borderId="5" xfId="2" applyFont="1" applyFill="1" applyBorder="1"/>
    <xf numFmtId="0" fontId="6" fillId="0" borderId="6" xfId="2" applyFont="1" applyFill="1" applyBorder="1"/>
    <xf numFmtId="0" fontId="7" fillId="0" borderId="7" xfId="2" applyFont="1" applyFill="1" applyBorder="1"/>
    <xf numFmtId="0" fontId="6" fillId="0" borderId="1" xfId="2" applyFont="1" applyBorder="1"/>
    <xf numFmtId="0" fontId="6" fillId="0" borderId="3" xfId="2" applyFont="1" applyBorder="1"/>
    <xf numFmtId="0" fontId="6" fillId="0" borderId="4" xfId="2" applyFont="1" applyBorder="1"/>
    <xf numFmtId="0" fontId="7" fillId="0" borderId="5" xfId="2" applyFont="1" applyBorder="1"/>
    <xf numFmtId="0" fontId="7" fillId="0" borderId="7" xfId="2" applyFont="1" applyBorder="1"/>
    <xf numFmtId="0" fontId="7" fillId="0" borderId="0" xfId="2" applyFont="1"/>
    <xf numFmtId="0" fontId="8" fillId="0" borderId="0" xfId="2" applyFont="1" applyAlignment="1">
      <alignment wrapText="1"/>
    </xf>
    <xf numFmtId="0" fontId="9" fillId="0" borderId="0" xfId="2" applyFont="1"/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/>
    </xf>
    <xf numFmtId="0" fontId="11" fillId="0" borderId="0" xfId="2" applyFont="1" applyFill="1" applyBorder="1" applyAlignment="1"/>
    <xf numFmtId="3" fontId="11" fillId="0" borderId="0" xfId="2" applyNumberFormat="1" applyFont="1" applyFill="1" applyBorder="1" applyAlignment="1"/>
    <xf numFmtId="3" fontId="12" fillId="0" borderId="0" xfId="2" applyNumberFormat="1" applyFont="1"/>
    <xf numFmtId="3" fontId="12" fillId="0" borderId="0" xfId="2" applyNumberFormat="1" applyFont="1" applyFill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center" vertical="center" textRotation="90" wrapText="1"/>
    </xf>
    <xf numFmtId="3" fontId="11" fillId="0" borderId="0" xfId="2" applyNumberFormat="1" applyFont="1" applyBorder="1" applyAlignment="1">
      <alignment vertical="center"/>
    </xf>
    <xf numFmtId="3" fontId="12" fillId="0" borderId="0" xfId="2" applyNumberFormat="1" applyFont="1" applyBorder="1"/>
    <xf numFmtId="3" fontId="11" fillId="0" borderId="0" xfId="2" applyNumberFormat="1" applyFont="1" applyFill="1" applyBorder="1" applyAlignment="1">
      <alignment vertical="center" wrapText="1"/>
    </xf>
    <xf numFmtId="0" fontId="12" fillId="0" borderId="0" xfId="2" applyFont="1"/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1" fillId="0" borderId="0" xfId="2"/>
    <xf numFmtId="0" fontId="13" fillId="0" borderId="0" xfId="2" applyFont="1" applyAlignment="1">
      <alignment vertical="center"/>
    </xf>
    <xf numFmtId="0" fontId="1" fillId="0" borderId="0" xfId="2" applyAlignment="1">
      <alignment vertical="center"/>
    </xf>
    <xf numFmtId="3" fontId="14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center" vertical="center"/>
    </xf>
    <xf numFmtId="3" fontId="1" fillId="0" borderId="0" xfId="2" applyNumberFormat="1" applyAlignment="1">
      <alignment vertical="center"/>
    </xf>
    <xf numFmtId="0" fontId="1" fillId="0" borderId="0" xfId="2" applyAlignment="1">
      <alignment horizontal="center" vertical="center"/>
    </xf>
    <xf numFmtId="0" fontId="19" fillId="0" borderId="0" xfId="2" applyFont="1" applyFill="1"/>
    <xf numFmtId="0" fontId="16" fillId="0" borderId="0" xfId="2" applyFont="1" applyFill="1" applyBorder="1" applyAlignment="1">
      <alignment horizontal="center"/>
    </xf>
    <xf numFmtId="0" fontId="16" fillId="0" borderId="0" xfId="2" applyFont="1" applyFill="1" applyAlignment="1">
      <alignment horizontal="center"/>
    </xf>
    <xf numFmtId="0" fontId="16" fillId="0" borderId="0" xfId="2" applyFont="1" applyFill="1"/>
    <xf numFmtId="0" fontId="10" fillId="2" borderId="9" xfId="2" applyFont="1" applyFill="1" applyBorder="1" applyAlignment="1"/>
    <xf numFmtId="0" fontId="21" fillId="0" borderId="0" xfId="2" applyFont="1" applyFill="1"/>
    <xf numFmtId="0" fontId="10" fillId="2" borderId="9" xfId="2" applyFont="1" applyFill="1" applyBorder="1"/>
    <xf numFmtId="0" fontId="10" fillId="0" borderId="0" xfId="2" applyFont="1" applyFill="1" applyAlignment="1">
      <alignment horizontal="center"/>
    </xf>
    <xf numFmtId="0" fontId="18" fillId="0" borderId="0" xfId="2" applyFont="1" applyFill="1" applyAlignment="1">
      <alignment horizontal="right"/>
    </xf>
    <xf numFmtId="0" fontId="10" fillId="3" borderId="9" xfId="2" applyFont="1" applyFill="1" applyBorder="1"/>
    <xf numFmtId="0" fontId="10" fillId="0" borderId="0" xfId="2" applyFont="1" applyFill="1"/>
    <xf numFmtId="3" fontId="10" fillId="0" borderId="0" xfId="2" applyNumberFormat="1" applyFont="1" applyFill="1"/>
    <xf numFmtId="0" fontId="18" fillId="0" borderId="0" xfId="2" applyFont="1" applyFill="1"/>
    <xf numFmtId="0" fontId="18" fillId="0" borderId="0" xfId="2" applyFont="1" applyFill="1" applyAlignment="1"/>
    <xf numFmtId="3" fontId="18" fillId="0" borderId="0" xfId="2" applyNumberFormat="1" applyFont="1" applyFill="1" applyAlignment="1"/>
    <xf numFmtId="0" fontId="25" fillId="0" borderId="0" xfId="2" applyFont="1" applyFill="1"/>
    <xf numFmtId="3" fontId="10" fillId="0" borderId="0" xfId="2" applyNumberFormat="1" applyFont="1" applyFill="1" applyAlignment="1">
      <alignment horizontal="right"/>
    </xf>
    <xf numFmtId="3" fontId="18" fillId="0" borderId="0" xfId="2" applyNumberFormat="1" applyFont="1" applyFill="1" applyAlignment="1">
      <alignment horizontal="right"/>
    </xf>
    <xf numFmtId="3" fontId="18" fillId="0" borderId="0" xfId="2" applyNumberFormat="1" applyFont="1" applyFill="1"/>
    <xf numFmtId="0" fontId="18" fillId="0" borderId="0" xfId="2" applyFont="1" applyFill="1" applyAlignment="1">
      <alignment horizontal="left"/>
    </xf>
    <xf numFmtId="0" fontId="18" fillId="0" borderId="0" xfId="2" applyFont="1" applyAlignment="1"/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horizontal="center"/>
    </xf>
    <xf numFmtId="0" fontId="10" fillId="0" borderId="0" xfId="2" applyFont="1" applyAlignment="1">
      <alignment wrapText="1"/>
    </xf>
    <xf numFmtId="3" fontId="18" fillId="0" borderId="0" xfId="2" applyNumberFormat="1" applyFont="1" applyAlignment="1">
      <alignment horizontal="center"/>
    </xf>
    <xf numFmtId="3" fontId="18" fillId="0" borderId="0" xfId="2" applyNumberFormat="1" applyFont="1"/>
    <xf numFmtId="0" fontId="18" fillId="0" borderId="0" xfId="2" applyFont="1"/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8" fillId="0" borderId="9" xfId="2" applyFont="1" applyBorder="1"/>
    <xf numFmtId="0" fontId="18" fillId="0" borderId="10" xfId="2" applyFont="1" applyBorder="1" applyAlignment="1">
      <alignment horizontal="center"/>
    </xf>
    <xf numFmtId="0" fontId="18" fillId="0" borderId="9" xfId="2" applyFont="1" applyFill="1" applyBorder="1" applyAlignment="1">
      <alignment horizontal="left" vertical="center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vertical="center"/>
    </xf>
    <xf numFmtId="0" fontId="1" fillId="0" borderId="0" xfId="2" applyAlignment="1">
      <alignment horizontal="center"/>
    </xf>
    <xf numFmtId="0" fontId="10" fillId="0" borderId="0" xfId="2" applyFont="1"/>
    <xf numFmtId="0" fontId="19" fillId="0" borderId="0" xfId="2" applyFont="1" applyAlignment="1">
      <alignment vertical="center"/>
    </xf>
    <xf numFmtId="0" fontId="19" fillId="0" borderId="0" xfId="2" applyFont="1"/>
    <xf numFmtId="0" fontId="24" fillId="0" borderId="0" xfId="2" applyFont="1" applyAlignment="1">
      <alignment vertical="center" wrapText="1"/>
    </xf>
    <xf numFmtId="3" fontId="18" fillId="0" borderId="0" xfId="2" applyNumberFormat="1" applyFont="1" applyAlignment="1">
      <alignment vertical="center"/>
    </xf>
    <xf numFmtId="3" fontId="19" fillId="0" borderId="0" xfId="2" applyNumberFormat="1" applyFont="1" applyAlignment="1">
      <alignment vertical="center"/>
    </xf>
    <xf numFmtId="0" fontId="18" fillId="0" borderId="0" xfId="2" applyFont="1" applyAlignment="1">
      <alignment vertical="center" wrapText="1"/>
    </xf>
    <xf numFmtId="0" fontId="16" fillId="0" borderId="0" xfId="2" applyFont="1"/>
    <xf numFmtId="0" fontId="31" fillId="0" borderId="0" xfId="2" applyFont="1"/>
    <xf numFmtId="0" fontId="32" fillId="0" borderId="0" xfId="2" applyFont="1"/>
    <xf numFmtId="0" fontId="18" fillId="0" borderId="0" xfId="2" applyFont="1" applyAlignment="1">
      <alignment horizontal="right"/>
    </xf>
    <xf numFmtId="0" fontId="18" fillId="0" borderId="0" xfId="2" applyFont="1" applyAlignment="1">
      <alignment vertical="center"/>
    </xf>
    <xf numFmtId="0" fontId="32" fillId="0" borderId="0" xfId="2" applyFont="1" applyAlignment="1">
      <alignment vertical="center"/>
    </xf>
    <xf numFmtId="0" fontId="0" fillId="0" borderId="0" xfId="0" applyAlignment="1">
      <alignment horizontal="right"/>
    </xf>
    <xf numFmtId="0" fontId="34" fillId="0" borderId="0" xfId="0" applyFont="1" applyAlignment="1">
      <alignment horizontal="right"/>
    </xf>
    <xf numFmtId="0" fontId="24" fillId="0" borderId="0" xfId="2" applyFont="1" applyAlignment="1">
      <alignment vertical="center"/>
    </xf>
    <xf numFmtId="3" fontId="32" fillId="0" borderId="0" xfId="2" applyNumberFormat="1" applyFont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right" vertical="center"/>
    </xf>
    <xf numFmtId="0" fontId="10" fillId="0" borderId="15" xfId="2" applyFont="1" applyFill="1" applyBorder="1" applyAlignment="1">
      <alignment horizontal="left" vertical="center"/>
    </xf>
    <xf numFmtId="0" fontId="10" fillId="2" borderId="9" xfId="2" applyFont="1" applyFill="1" applyBorder="1" applyAlignment="1">
      <alignment horizontal="left" vertical="center"/>
    </xf>
    <xf numFmtId="0" fontId="32" fillId="0" borderId="16" xfId="2" applyFont="1" applyBorder="1" applyAlignment="1">
      <alignment vertical="center"/>
    </xf>
    <xf numFmtId="0" fontId="10" fillId="2" borderId="9" xfId="2" applyFont="1" applyFill="1" applyBorder="1" applyAlignment="1">
      <alignment vertical="center" wrapText="1"/>
    </xf>
    <xf numFmtId="3" fontId="18" fillId="0" borderId="0" xfId="2" applyNumberFormat="1" applyFont="1" applyAlignment="1">
      <alignment horizontal="right"/>
    </xf>
    <xf numFmtId="0" fontId="35" fillId="0" borderId="0" xfId="2" applyFont="1" applyAlignment="1">
      <alignment wrapText="1"/>
    </xf>
    <xf numFmtId="0" fontId="35" fillId="0" borderId="0" xfId="2" applyFont="1"/>
    <xf numFmtId="3" fontId="10" fillId="0" borderId="0" xfId="2" applyNumberFormat="1" applyFont="1" applyAlignment="1"/>
    <xf numFmtId="3" fontId="10" fillId="0" borderId="0" xfId="2" applyNumberFormat="1" applyFont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applyFont="1" applyAlignment="1"/>
    <xf numFmtId="0" fontId="10" fillId="2" borderId="9" xfId="2" applyFont="1" applyFill="1" applyBorder="1" applyAlignment="1">
      <alignment wrapText="1"/>
    </xf>
    <xf numFmtId="0" fontId="10" fillId="2" borderId="9" xfId="2" applyFont="1" applyFill="1" applyBorder="1" applyAlignment="1">
      <alignment horizontal="right"/>
    </xf>
    <xf numFmtId="0" fontId="10" fillId="0" borderId="0" xfId="2" applyFont="1" applyAlignment="1"/>
    <xf numFmtId="0" fontId="18" fillId="0" borderId="9" xfId="2" applyFont="1" applyBorder="1" applyAlignment="1">
      <alignment vertical="center"/>
    </xf>
    <xf numFmtId="0" fontId="18" fillId="0" borderId="9" xfId="2" applyFont="1" applyBorder="1" applyAlignment="1"/>
    <xf numFmtId="0" fontId="10" fillId="0" borderId="9" xfId="2" applyFont="1" applyBorder="1" applyAlignment="1"/>
    <xf numFmtId="0" fontId="24" fillId="0" borderId="0" xfId="2" applyFont="1" applyAlignment="1"/>
    <xf numFmtId="0" fontId="16" fillId="0" borderId="0" xfId="2" applyFont="1" applyAlignment="1"/>
    <xf numFmtId="0" fontId="18" fillId="0" borderId="0" xfId="2" applyFont="1" applyBorder="1" applyAlignment="1"/>
    <xf numFmtId="0" fontId="19" fillId="0" borderId="0" xfId="2" applyFont="1" applyBorder="1" applyAlignment="1"/>
    <xf numFmtId="0" fontId="21" fillId="0" borderId="0" xfId="2" applyFont="1" applyAlignment="1"/>
    <xf numFmtId="0" fontId="18" fillId="0" borderId="9" xfId="2" applyFont="1" applyBorder="1" applyAlignment="1">
      <alignment wrapText="1"/>
    </xf>
    <xf numFmtId="3" fontId="1" fillId="0" borderId="0" xfId="2" applyNumberFormat="1"/>
    <xf numFmtId="0" fontId="22" fillId="0" borderId="0" xfId="2" applyFont="1" applyAlignment="1">
      <alignment horizontal="center"/>
    </xf>
    <xf numFmtId="0" fontId="40" fillId="0" borderId="0" xfId="2" applyFont="1" applyAlignment="1">
      <alignment vertical="center"/>
    </xf>
    <xf numFmtId="0" fontId="42" fillId="0" borderId="0" xfId="2" applyFont="1" applyAlignment="1">
      <alignment horizontal="left" vertical="center"/>
    </xf>
    <xf numFmtId="0" fontId="4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9" xfId="2" applyFont="1" applyBorder="1" applyAlignment="1">
      <alignment vertical="center"/>
    </xf>
    <xf numFmtId="0" fontId="39" fillId="0" borderId="0" xfId="2" applyFont="1" applyAlignment="1">
      <alignment horizontal="center" vertical="center"/>
    </xf>
    <xf numFmtId="0" fontId="39" fillId="0" borderId="0" xfId="2" applyFont="1" applyBorder="1" applyAlignment="1">
      <alignment horizontal="center" vertical="center"/>
    </xf>
    <xf numFmtId="0" fontId="44" fillId="0" borderId="15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7" fillId="0" borderId="9" xfId="2" applyFont="1" applyBorder="1" applyAlignment="1">
      <alignment horizontal="left" vertical="center"/>
    </xf>
    <xf numFmtId="0" fontId="6" fillId="0" borderId="16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6" fillId="0" borderId="16" xfId="2" applyFont="1" applyBorder="1" applyAlignment="1">
      <alignment vertical="center"/>
    </xf>
    <xf numFmtId="0" fontId="7" fillId="0" borderId="16" xfId="2" applyFont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7" fillId="0" borderId="16" xfId="2" applyFont="1" applyBorder="1" applyAlignment="1">
      <alignment vertical="center" wrapText="1"/>
    </xf>
    <xf numFmtId="0" fontId="6" fillId="0" borderId="16" xfId="2" applyFont="1" applyBorder="1" applyAlignment="1">
      <alignment vertical="center" wrapText="1"/>
    </xf>
    <xf numFmtId="0" fontId="2" fillId="0" borderId="0" xfId="2" applyFont="1" applyAlignment="1"/>
    <xf numFmtId="0" fontId="46" fillId="0" borderId="0" xfId="2" applyFont="1"/>
    <xf numFmtId="0" fontId="23" fillId="0" borderId="0" xfId="2" applyFont="1" applyBorder="1" applyAlignment="1">
      <alignment vertical="center" wrapText="1"/>
    </xf>
    <xf numFmtId="0" fontId="47" fillId="0" borderId="0" xfId="2" applyFont="1" applyBorder="1" applyAlignment="1">
      <alignment horizontal="center" vertical="center" wrapText="1"/>
    </xf>
    <xf numFmtId="3" fontId="16" fillId="0" borderId="17" xfId="2" applyNumberFormat="1" applyFont="1" applyBorder="1" applyAlignment="1">
      <alignment horizontal="center" vertical="center" wrapText="1"/>
    </xf>
    <xf numFmtId="0" fontId="19" fillId="0" borderId="0" xfId="2" applyFont="1" applyBorder="1"/>
    <xf numFmtId="0" fontId="19" fillId="0" borderId="2" xfId="2" applyFont="1" applyBorder="1" applyAlignment="1">
      <alignment horizontal="left" vertical="center"/>
    </xf>
    <xf numFmtId="0" fontId="16" fillId="0" borderId="0" xfId="2" applyFont="1" applyBorder="1"/>
    <xf numFmtId="0" fontId="46" fillId="0" borderId="0" xfId="2" applyFont="1" applyBorder="1"/>
    <xf numFmtId="0" fontId="16" fillId="2" borderId="7" xfId="2" applyFont="1" applyFill="1" applyBorder="1" applyAlignment="1">
      <alignment horizontal="left" vertical="center"/>
    </xf>
    <xf numFmtId="0" fontId="16" fillId="0" borderId="0" xfId="2" applyFont="1" applyBorder="1" applyAlignment="1">
      <alignment horizontal="left"/>
    </xf>
    <xf numFmtId="0" fontId="19" fillId="0" borderId="0" xfId="2" applyFont="1" applyBorder="1" applyAlignment="1">
      <alignment horizontal="left"/>
    </xf>
    <xf numFmtId="0" fontId="25" fillId="0" borderId="0" xfId="2" applyFont="1" applyBorder="1" applyAlignment="1">
      <alignment horizontal="right"/>
    </xf>
    <xf numFmtId="0" fontId="16" fillId="0" borderId="0" xfId="2" applyFont="1" applyFill="1" applyBorder="1" applyAlignment="1">
      <alignment horizontal="center" vertical="center" wrapText="1"/>
    </xf>
    <xf numFmtId="0" fontId="19" fillId="0" borderId="0" xfId="2" applyFont="1" applyBorder="1" applyAlignment="1">
      <alignment horizontal="right"/>
    </xf>
    <xf numFmtId="9" fontId="19" fillId="0" borderId="0" xfId="4" applyFont="1" applyBorder="1"/>
    <xf numFmtId="0" fontId="34" fillId="0" borderId="0" xfId="0" applyFont="1" applyAlignment="1">
      <alignment horizontal="center"/>
    </xf>
    <xf numFmtId="0" fontId="1" fillId="0" borderId="0" xfId="2" applyBorder="1"/>
    <xf numFmtId="3" fontId="1" fillId="0" borderId="0" xfId="2" applyNumberFormat="1" applyBorder="1"/>
    <xf numFmtId="0" fontId="22" fillId="0" borderId="0" xfId="2" applyFont="1" applyBorder="1"/>
    <xf numFmtId="3" fontId="22" fillId="0" borderId="0" xfId="2" applyNumberFormat="1" applyFont="1" applyBorder="1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18" xfId="0" applyBorder="1"/>
    <xf numFmtId="0" fontId="0" fillId="0" borderId="5" xfId="0" applyBorder="1"/>
    <xf numFmtId="0" fontId="19" fillId="0" borderId="19" xfId="2" applyFont="1" applyBorder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23" fillId="0" borderId="0" xfId="2" applyFont="1" applyBorder="1" applyAlignment="1">
      <alignment horizontal="center" vertical="center" wrapText="1"/>
    </xf>
    <xf numFmtId="3" fontId="19" fillId="0" borderId="0" xfId="2" applyNumberFormat="1" applyFont="1" applyBorder="1" applyAlignment="1">
      <alignment horizontal="right"/>
    </xf>
    <xf numFmtId="0" fontId="19" fillId="0" borderId="4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5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0" fillId="0" borderId="21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4" xfId="2" applyFont="1" applyFill="1" applyBorder="1" applyAlignment="1">
      <alignment horizontal="center" vertical="center" textRotation="90"/>
    </xf>
    <xf numFmtId="0" fontId="11" fillId="0" borderId="14" xfId="2" applyFont="1" applyFill="1" applyBorder="1" applyAlignment="1">
      <alignment horizontal="left" vertical="center"/>
    </xf>
    <xf numFmtId="0" fontId="11" fillId="0" borderId="14" xfId="2" applyFont="1" applyFill="1" applyBorder="1" applyAlignment="1">
      <alignment vertical="center"/>
    </xf>
    <xf numFmtId="0" fontId="12" fillId="0" borderId="14" xfId="2" applyFont="1" applyFill="1" applyBorder="1" applyAlignment="1">
      <alignment horizontal="left" vertical="center"/>
    </xf>
    <xf numFmtId="0" fontId="12" fillId="0" borderId="14" xfId="2" applyFont="1" applyBorder="1" applyAlignment="1">
      <alignment vertical="center"/>
    </xf>
    <xf numFmtId="0" fontId="14" fillId="0" borderId="14" xfId="2" applyFont="1" applyBorder="1" applyAlignment="1">
      <alignment vertical="center"/>
    </xf>
    <xf numFmtId="0" fontId="10" fillId="2" borderId="14" xfId="2" applyFont="1" applyFill="1" applyBorder="1" applyAlignment="1">
      <alignment vertical="center"/>
    </xf>
    <xf numFmtId="0" fontId="19" fillId="0" borderId="0" xfId="2" applyFont="1" applyFill="1" applyAlignment="1">
      <alignment horizontal="right"/>
    </xf>
    <xf numFmtId="0" fontId="10" fillId="2" borderId="9" xfId="2" applyFont="1" applyFill="1" applyBorder="1" applyAlignment="1">
      <alignment horizontal="center" vertical="center" wrapText="1"/>
    </xf>
    <xf numFmtId="0" fontId="10" fillId="0" borderId="22" xfId="2" applyFont="1" applyFill="1" applyBorder="1" applyAlignment="1">
      <alignment vertical="center"/>
    </xf>
    <xf numFmtId="0" fontId="10" fillId="0" borderId="23" xfId="2" applyFont="1" applyFill="1" applyBorder="1" applyAlignment="1">
      <alignment vertical="center"/>
    </xf>
    <xf numFmtId="49" fontId="18" fillId="0" borderId="9" xfId="2" applyNumberFormat="1" applyFont="1" applyBorder="1" applyAlignment="1">
      <alignment horizontal="center"/>
    </xf>
    <xf numFmtId="49" fontId="18" fillId="0" borderId="10" xfId="2" applyNumberFormat="1" applyFont="1" applyBorder="1" applyAlignment="1">
      <alignment horizontal="center"/>
    </xf>
    <xf numFmtId="49" fontId="18" fillId="0" borderId="9" xfId="2" applyNumberFormat="1" applyFont="1" applyFill="1" applyBorder="1" applyAlignment="1">
      <alignment horizontal="center" vertical="center"/>
    </xf>
    <xf numFmtId="0" fontId="10" fillId="0" borderId="21" xfId="2" applyFont="1" applyFill="1" applyBorder="1" applyAlignment="1">
      <alignment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center" vertical="center" textRotation="90"/>
    </xf>
    <xf numFmtId="0" fontId="28" fillId="0" borderId="0" xfId="2" applyFont="1" applyAlignment="1">
      <alignment vertical="center"/>
    </xf>
    <xf numFmtId="49" fontId="18" fillId="3" borderId="14" xfId="2" applyNumberFormat="1" applyFont="1" applyFill="1" applyBorder="1" applyAlignment="1">
      <alignment horizontal="left" vertical="center"/>
    </xf>
    <xf numFmtId="0" fontId="18" fillId="3" borderId="27" xfId="2" applyFont="1" applyFill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top"/>
    </xf>
    <xf numFmtId="0" fontId="45" fillId="0" borderId="16" xfId="2" applyFont="1" applyBorder="1" applyAlignment="1">
      <alignment vertical="center"/>
    </xf>
    <xf numFmtId="0" fontId="20" fillId="0" borderId="0" xfId="2" applyFont="1" applyFill="1" applyBorder="1" applyAlignment="1">
      <alignment vertical="center" wrapText="1"/>
    </xf>
    <xf numFmtId="0" fontId="2" fillId="0" borderId="0" xfId="2" applyFont="1" applyAlignment="1">
      <alignment vertical="top"/>
    </xf>
    <xf numFmtId="0" fontId="10" fillId="0" borderId="14" xfId="2" applyFont="1" applyFill="1" applyBorder="1" applyAlignment="1">
      <alignment horizontal="center" vertical="center" wrapText="1"/>
    </xf>
    <xf numFmtId="0" fontId="18" fillId="0" borderId="9" xfId="2" applyFont="1" applyFill="1" applyBorder="1" applyAlignment="1">
      <alignment horizontal="center"/>
    </xf>
    <xf numFmtId="3" fontId="10" fillId="3" borderId="9" xfId="2" applyNumberFormat="1" applyFont="1" applyFill="1" applyBorder="1" applyAlignment="1">
      <alignment horizontal="right" indent="2"/>
    </xf>
    <xf numFmtId="0" fontId="18" fillId="0" borderId="9" xfId="2" applyFont="1" applyFill="1" applyBorder="1" applyAlignment="1">
      <alignment horizontal="left" vertical="center" wrapText="1"/>
    </xf>
    <xf numFmtId="3" fontId="10" fillId="2" borderId="9" xfId="2" applyNumberFormat="1" applyFont="1" applyFill="1" applyBorder="1" applyAlignment="1">
      <alignment horizontal="right" vertical="center" indent="1"/>
    </xf>
    <xf numFmtId="3" fontId="10" fillId="0" borderId="15" xfId="2" applyNumberFormat="1" applyFont="1" applyFill="1" applyBorder="1" applyAlignment="1">
      <alignment horizontal="right" vertical="center" indent="1"/>
    </xf>
    <xf numFmtId="3" fontId="18" fillId="2" borderId="9" xfId="2" applyNumberFormat="1" applyFont="1" applyFill="1" applyBorder="1" applyAlignment="1">
      <alignment horizontal="right" vertical="center" indent="1"/>
    </xf>
    <xf numFmtId="0" fontId="7" fillId="0" borderId="0" xfId="2" applyFont="1" applyFill="1" applyBorder="1"/>
    <xf numFmtId="3" fontId="7" fillId="0" borderId="0" xfId="2" applyNumberFormat="1" applyFont="1" applyFill="1" applyBorder="1" applyAlignment="1">
      <alignment horizontal="right" indent="2"/>
    </xf>
    <xf numFmtId="0" fontId="27" fillId="0" borderId="14" xfId="0" applyFont="1" applyBorder="1" applyAlignment="1">
      <alignment horizontal="center" vertical="center"/>
    </xf>
    <xf numFmtId="0" fontId="18" fillId="2" borderId="9" xfId="2" applyFont="1" applyFill="1" applyBorder="1"/>
    <xf numFmtId="0" fontId="5" fillId="0" borderId="0" xfId="2" applyFont="1" applyAlignment="1">
      <alignment vertical="center" wrapText="1"/>
    </xf>
    <xf numFmtId="3" fontId="11" fillId="0" borderId="0" xfId="2" applyNumberFormat="1" applyFont="1" applyFill="1" applyBorder="1" applyAlignment="1">
      <alignment horizontal="right"/>
    </xf>
    <xf numFmtId="0" fontId="1" fillId="0" borderId="0" xfId="2" applyFont="1" applyAlignment="1">
      <alignment horizontal="right" vertical="center"/>
    </xf>
    <xf numFmtId="0" fontId="19" fillId="3" borderId="6" xfId="2" applyFont="1" applyFill="1" applyBorder="1" applyAlignment="1">
      <alignment horizontal="left" vertical="center"/>
    </xf>
    <xf numFmtId="0" fontId="19" fillId="4" borderId="1" xfId="2" applyFont="1" applyFill="1" applyBorder="1" applyAlignment="1">
      <alignment horizontal="left" vertical="center"/>
    </xf>
    <xf numFmtId="0" fontId="19" fillId="4" borderId="3" xfId="2" applyFont="1" applyFill="1" applyBorder="1" applyAlignment="1">
      <alignment horizontal="left" vertical="center"/>
    </xf>
    <xf numFmtId="3" fontId="6" fillId="0" borderId="29" xfId="2" applyNumberFormat="1" applyFont="1" applyFill="1" applyBorder="1" applyAlignment="1">
      <alignment horizontal="right" indent="1"/>
    </xf>
    <xf numFmtId="3" fontId="6" fillId="0" borderId="30" xfId="2" applyNumberFormat="1" applyFont="1" applyFill="1" applyBorder="1" applyAlignment="1">
      <alignment horizontal="right" indent="1"/>
    </xf>
    <xf numFmtId="3" fontId="6" fillId="0" borderId="31" xfId="2" applyNumberFormat="1" applyFont="1" applyFill="1" applyBorder="1" applyAlignment="1">
      <alignment horizontal="right" indent="1"/>
    </xf>
    <xf numFmtId="3" fontId="6" fillId="0" borderId="32" xfId="2" applyNumberFormat="1" applyFont="1" applyFill="1" applyBorder="1" applyAlignment="1">
      <alignment horizontal="right" indent="1"/>
    </xf>
    <xf numFmtId="3" fontId="7" fillId="0" borderId="14" xfId="2" applyNumberFormat="1" applyFont="1" applyFill="1" applyBorder="1" applyAlignment="1">
      <alignment horizontal="right" indent="1"/>
    </xf>
    <xf numFmtId="3" fontId="7" fillId="0" borderId="28" xfId="2" applyNumberFormat="1" applyFont="1" applyFill="1" applyBorder="1" applyAlignment="1">
      <alignment horizontal="right" indent="1"/>
    </xf>
    <xf numFmtId="3" fontId="6" fillId="0" borderId="17" xfId="2" applyNumberFormat="1" applyFont="1" applyBorder="1" applyAlignment="1">
      <alignment horizontal="right" indent="1"/>
    </xf>
    <xf numFmtId="3" fontId="6" fillId="0" borderId="34" xfId="2" applyNumberFormat="1" applyFont="1" applyBorder="1" applyAlignment="1">
      <alignment horizontal="right" indent="1"/>
    </xf>
    <xf numFmtId="3" fontId="6" fillId="0" borderId="35" xfId="2" applyNumberFormat="1" applyFont="1" applyBorder="1" applyAlignment="1">
      <alignment horizontal="right" indent="1"/>
    </xf>
    <xf numFmtId="3" fontId="6" fillId="0" borderId="36" xfId="2" applyNumberFormat="1" applyFont="1" applyBorder="1" applyAlignment="1">
      <alignment horizontal="right" indent="1"/>
    </xf>
    <xf numFmtId="3" fontId="7" fillId="0" borderId="37" xfId="2" applyNumberFormat="1" applyFont="1" applyBorder="1" applyAlignment="1">
      <alignment horizontal="right" indent="1"/>
    </xf>
    <xf numFmtId="3" fontId="7" fillId="0" borderId="28" xfId="2" applyNumberFormat="1" applyFont="1" applyBorder="1" applyAlignment="1">
      <alignment horizontal="right" indent="1"/>
    </xf>
    <xf numFmtId="0" fontId="16" fillId="2" borderId="24" xfId="2" applyFont="1" applyFill="1" applyBorder="1" applyAlignment="1">
      <alignment horizontal="left" vertical="center"/>
    </xf>
    <xf numFmtId="0" fontId="10" fillId="0" borderId="38" xfId="2" applyFont="1" applyBorder="1" applyAlignment="1">
      <alignment horizontal="center" vertical="center"/>
    </xf>
    <xf numFmtId="0" fontId="16" fillId="2" borderId="5" xfId="2" applyFont="1" applyFill="1" applyBorder="1" applyAlignment="1">
      <alignment horizontal="left" vertical="center"/>
    </xf>
    <xf numFmtId="0" fontId="16" fillId="2" borderId="39" xfId="2" applyFont="1" applyFill="1" applyBorder="1" applyAlignment="1">
      <alignment horizontal="left" vertical="center"/>
    </xf>
    <xf numFmtId="0" fontId="20" fillId="0" borderId="0" xfId="2" applyFont="1" applyAlignment="1">
      <alignment vertical="center" wrapText="1"/>
    </xf>
    <xf numFmtId="3" fontId="63" fillId="0" borderId="9" xfId="2" applyNumberFormat="1" applyFont="1" applyBorder="1" applyAlignment="1">
      <alignment horizontal="right"/>
    </xf>
    <xf numFmtId="3" fontId="62" fillId="0" borderId="9" xfId="2" applyNumberFormat="1" applyFont="1" applyBorder="1" applyAlignment="1">
      <alignment horizontal="right"/>
    </xf>
    <xf numFmtId="0" fontId="63" fillId="0" borderId="9" xfId="2" applyFont="1" applyBorder="1" applyAlignment="1">
      <alignment horizontal="right"/>
    </xf>
    <xf numFmtId="0" fontId="62" fillId="0" borderId="9" xfId="2" applyFont="1" applyBorder="1" applyAlignment="1">
      <alignment horizontal="right"/>
    </xf>
    <xf numFmtId="0" fontId="64" fillId="2" borderId="9" xfId="2" applyFont="1" applyFill="1" applyBorder="1" applyAlignment="1">
      <alignment horizontal="right"/>
    </xf>
    <xf numFmtId="3" fontId="62" fillId="2" borderId="9" xfId="2" applyNumberFormat="1" applyFont="1" applyFill="1" applyBorder="1" applyAlignment="1">
      <alignment horizontal="right"/>
    </xf>
    <xf numFmtId="0" fontId="61" fillId="0" borderId="0" xfId="0" applyFont="1"/>
    <xf numFmtId="3" fontId="6" fillId="0" borderId="9" xfId="2" applyNumberFormat="1" applyFont="1" applyFill="1" applyBorder="1" applyAlignment="1">
      <alignment horizontal="right" vertical="center" indent="2"/>
    </xf>
    <xf numFmtId="3" fontId="7" fillId="0" borderId="9" xfId="2" applyNumberFormat="1" applyFont="1" applyFill="1" applyBorder="1" applyAlignment="1">
      <alignment horizontal="right" vertical="center" indent="2"/>
    </xf>
    <xf numFmtId="3" fontId="6" fillId="0" borderId="9" xfId="2" applyNumberFormat="1" applyFont="1" applyBorder="1" applyAlignment="1">
      <alignment horizontal="right" vertical="center" indent="2"/>
    </xf>
    <xf numFmtId="3" fontId="7" fillId="0" borderId="9" xfId="2" applyNumberFormat="1" applyFont="1" applyBorder="1" applyAlignment="1">
      <alignment horizontal="right" vertical="center" indent="2"/>
    </xf>
    <xf numFmtId="3" fontId="12" fillId="0" borderId="34" xfId="2" applyNumberFormat="1" applyFont="1" applyBorder="1" applyAlignment="1">
      <alignment horizontal="right" vertical="center" indent="5"/>
    </xf>
    <xf numFmtId="3" fontId="11" fillId="2" borderId="37" xfId="2" applyNumberFormat="1" applyFont="1" applyFill="1" applyBorder="1" applyAlignment="1">
      <alignment horizontal="right" vertical="center" indent="5"/>
    </xf>
    <xf numFmtId="3" fontId="12" fillId="0" borderId="45" xfId="2" applyNumberFormat="1" applyFont="1" applyBorder="1" applyAlignment="1">
      <alignment horizontal="right" vertical="center" indent="5"/>
    </xf>
    <xf numFmtId="3" fontId="12" fillId="0" borderId="35" xfId="2" applyNumberFormat="1" applyFont="1" applyBorder="1" applyAlignment="1">
      <alignment horizontal="right" vertical="center" indent="5"/>
    </xf>
    <xf numFmtId="3" fontId="12" fillId="3" borderId="46" xfId="2" applyNumberFormat="1" applyFont="1" applyFill="1" applyBorder="1" applyAlignment="1">
      <alignment horizontal="right" vertical="center" indent="5"/>
    </xf>
    <xf numFmtId="3" fontId="12" fillId="4" borderId="17" xfId="2" applyNumberFormat="1" applyFont="1" applyFill="1" applyBorder="1" applyAlignment="1">
      <alignment horizontal="right" vertical="center" indent="5"/>
    </xf>
    <xf numFmtId="0" fontId="19" fillId="4" borderId="2" xfId="2" applyFont="1" applyFill="1" applyBorder="1" applyAlignment="1">
      <alignment horizontal="left" vertical="center"/>
    </xf>
    <xf numFmtId="3" fontId="12" fillId="4" borderId="45" xfId="2" applyNumberFormat="1" applyFont="1" applyFill="1" applyBorder="1" applyAlignment="1">
      <alignment horizontal="right" vertical="center" indent="5"/>
    </xf>
    <xf numFmtId="3" fontId="12" fillId="4" borderId="34" xfId="2" applyNumberFormat="1" applyFont="1" applyFill="1" applyBorder="1" applyAlignment="1">
      <alignment horizontal="right" vertical="center" indent="5"/>
    </xf>
    <xf numFmtId="3" fontId="12" fillId="0" borderId="34" xfId="2" applyNumberFormat="1" applyFont="1" applyBorder="1" applyAlignment="1">
      <alignment horizontal="right" vertical="center" indent="4"/>
    </xf>
    <xf numFmtId="3" fontId="12" fillId="0" borderId="35" xfId="2" applyNumberFormat="1" applyFont="1" applyFill="1" applyBorder="1" applyAlignment="1">
      <alignment horizontal="right" vertical="center" indent="4"/>
    </xf>
    <xf numFmtId="3" fontId="11" fillId="2" borderId="37" xfId="2" applyNumberFormat="1" applyFont="1" applyFill="1" applyBorder="1" applyAlignment="1">
      <alignment horizontal="right" vertical="center" indent="4"/>
    </xf>
    <xf numFmtId="3" fontId="12" fillId="0" borderId="34" xfId="2" applyNumberFormat="1" applyFont="1" applyFill="1" applyBorder="1" applyAlignment="1">
      <alignment horizontal="right" vertical="center" indent="4"/>
    </xf>
    <xf numFmtId="3" fontId="10" fillId="2" borderId="28" xfId="2" applyNumberFormat="1" applyFont="1" applyFill="1" applyBorder="1" applyAlignment="1">
      <alignment horizontal="right" vertical="center" indent="4"/>
    </xf>
    <xf numFmtId="3" fontId="12" fillId="4" borderId="34" xfId="2" applyNumberFormat="1" applyFont="1" applyFill="1" applyBorder="1" applyAlignment="1">
      <alignment horizontal="right" vertical="center" wrapText="1" indent="5"/>
    </xf>
    <xf numFmtId="3" fontId="10" fillId="2" borderId="9" xfId="2" applyNumberFormat="1" applyFont="1" applyFill="1" applyBorder="1" applyAlignment="1">
      <alignment horizontal="right" indent="1"/>
    </xf>
    <xf numFmtId="0" fontId="18" fillId="3" borderId="9" xfId="2" applyFont="1" applyFill="1" applyBorder="1" applyAlignment="1">
      <alignment horizontal="center" vertical="center"/>
    </xf>
    <xf numFmtId="3" fontId="18" fillId="3" borderId="9" xfId="2" applyNumberFormat="1" applyFont="1" applyFill="1" applyBorder="1" applyAlignment="1">
      <alignment horizontal="right" vertical="center"/>
    </xf>
    <xf numFmtId="0" fontId="18" fillId="3" borderId="9" xfId="2" applyFont="1" applyFill="1" applyBorder="1" applyAlignment="1">
      <alignment vertical="center" wrapText="1"/>
    </xf>
    <xf numFmtId="0" fontId="29" fillId="0" borderId="0" xfId="2" applyFont="1" applyAlignment="1">
      <alignment vertical="center" wrapText="1"/>
    </xf>
    <xf numFmtId="3" fontId="30" fillId="0" borderId="0" xfId="2" applyNumberFormat="1" applyFont="1" applyAlignment="1">
      <alignment vertical="center"/>
    </xf>
    <xf numFmtId="0" fontId="55" fillId="3" borderId="23" xfId="2" applyFont="1" applyFill="1" applyBorder="1" applyAlignment="1">
      <alignment vertical="center" wrapText="1"/>
    </xf>
    <xf numFmtId="0" fontId="55" fillId="3" borderId="9" xfId="2" applyFont="1" applyFill="1" applyBorder="1" applyAlignment="1">
      <alignment vertical="center" wrapText="1"/>
    </xf>
    <xf numFmtId="165" fontId="35" fillId="3" borderId="23" xfId="1" applyNumberFormat="1" applyFont="1" applyFill="1" applyBorder="1" applyAlignment="1">
      <alignment horizontal="center" vertical="center"/>
    </xf>
    <xf numFmtId="9" fontId="35" fillId="3" borderId="23" xfId="3" applyFont="1" applyFill="1" applyBorder="1" applyAlignment="1">
      <alignment horizontal="center" vertical="center"/>
    </xf>
    <xf numFmtId="3" fontId="18" fillId="0" borderId="9" xfId="2" applyNumberFormat="1" applyFont="1" applyBorder="1"/>
    <xf numFmtId="3" fontId="18" fillId="0" borderId="9" xfId="2" applyNumberFormat="1" applyFont="1" applyFill="1" applyBorder="1" applyAlignment="1">
      <alignment horizontal="right" vertical="center" indent="1"/>
    </xf>
    <xf numFmtId="164" fontId="56" fillId="0" borderId="9" xfId="1" applyNumberFormat="1" applyFont="1" applyBorder="1"/>
    <xf numFmtId="164" fontId="56" fillId="0" borderId="42" xfId="1" applyNumberFormat="1" applyFont="1" applyBorder="1"/>
    <xf numFmtId="164" fontId="56" fillId="0" borderId="44" xfId="1" applyNumberFormat="1" applyFont="1" applyBorder="1"/>
    <xf numFmtId="164" fontId="56" fillId="0" borderId="34" xfId="1" applyNumberFormat="1" applyFont="1" applyBorder="1"/>
    <xf numFmtId="164" fontId="56" fillId="0" borderId="36" xfId="1" applyNumberFormat="1" applyFont="1" applyBorder="1"/>
    <xf numFmtId="164" fontId="56" fillId="0" borderId="47" xfId="1" applyNumberFormat="1" applyFont="1" applyBorder="1" applyAlignment="1">
      <alignment horizontal="right"/>
    </xf>
    <xf numFmtId="164" fontId="56" fillId="0" borderId="9" xfId="1" applyNumberFormat="1" applyFont="1" applyBorder="1" applyAlignment="1">
      <alignment horizontal="right"/>
    </xf>
    <xf numFmtId="164" fontId="56" fillId="0" borderId="42" xfId="1" applyNumberFormat="1" applyFont="1" applyBorder="1" applyAlignment="1">
      <alignment horizontal="right"/>
    </xf>
    <xf numFmtId="164" fontId="56" fillId="0" borderId="44" xfId="1" applyNumberFormat="1" applyFont="1" applyBorder="1" applyAlignment="1">
      <alignment horizontal="right"/>
    </xf>
    <xf numFmtId="164" fontId="0" fillId="0" borderId="0" xfId="0" applyNumberFormat="1"/>
    <xf numFmtId="164" fontId="56" fillId="0" borderId="47" xfId="1" applyNumberFormat="1" applyFont="1" applyBorder="1" applyAlignment="1">
      <alignment horizontal="left"/>
    </xf>
    <xf numFmtId="164" fontId="56" fillId="0" borderId="47" xfId="1" applyNumberFormat="1" applyFont="1" applyBorder="1" applyAlignment="1">
      <alignment horizontal="left" indent="1"/>
    </xf>
    <xf numFmtId="164" fontId="56" fillId="0" borderId="17" xfId="1" applyNumberFormat="1" applyFont="1" applyBorder="1" applyAlignment="1">
      <alignment horizontal="left" indent="1"/>
    </xf>
    <xf numFmtId="164" fontId="56" fillId="0" borderId="9" xfId="1" applyNumberFormat="1" applyFont="1" applyBorder="1" applyAlignment="1">
      <alignment horizontal="left"/>
    </xf>
    <xf numFmtId="164" fontId="56" fillId="0" borderId="9" xfId="1" applyNumberFormat="1" applyFont="1" applyBorder="1" applyAlignment="1">
      <alignment horizontal="left" indent="1"/>
    </xf>
    <xf numFmtId="164" fontId="56" fillId="0" borderId="34" xfId="1" applyNumberFormat="1" applyFont="1" applyBorder="1" applyAlignment="1">
      <alignment horizontal="left" indent="1"/>
    </xf>
    <xf numFmtId="164" fontId="56" fillId="0" borderId="42" xfId="1" applyNumberFormat="1" applyFont="1" applyBorder="1" applyAlignment="1">
      <alignment horizontal="left"/>
    </xf>
    <xf numFmtId="164" fontId="56" fillId="0" borderId="42" xfId="1" applyNumberFormat="1" applyFont="1" applyBorder="1" applyAlignment="1">
      <alignment horizontal="left" indent="1"/>
    </xf>
    <xf numFmtId="164" fontId="56" fillId="0" borderId="36" xfId="1" applyNumberFormat="1" applyFont="1" applyBorder="1" applyAlignment="1">
      <alignment horizontal="left" indent="1"/>
    </xf>
    <xf numFmtId="3" fontId="18" fillId="0" borderId="14" xfId="2" applyNumberFormat="1" applyFont="1" applyBorder="1" applyAlignment="1">
      <alignment horizontal="right" vertical="center" indent="1"/>
    </xf>
    <xf numFmtId="3" fontId="18" fillId="0" borderId="14" xfId="2" applyNumberFormat="1" applyFont="1" applyBorder="1" applyAlignment="1">
      <alignment horizontal="right" vertical="center" indent="2"/>
    </xf>
    <xf numFmtId="3" fontId="10" fillId="2" borderId="14" xfId="2" applyNumberFormat="1" applyFont="1" applyFill="1" applyBorder="1" applyAlignment="1">
      <alignment horizontal="right" vertical="center" indent="1"/>
    </xf>
    <xf numFmtId="0" fontId="18" fillId="0" borderId="14" xfId="2" applyFont="1" applyBorder="1" applyAlignment="1">
      <alignment horizontal="left" vertical="center"/>
    </xf>
    <xf numFmtId="0" fontId="18" fillId="0" borderId="14" xfId="2" applyFont="1" applyBorder="1" applyAlignment="1">
      <alignment vertical="center"/>
    </xf>
    <xf numFmtId="49" fontId="18" fillId="0" borderId="14" xfId="2" applyNumberFormat="1" applyFont="1" applyBorder="1" applyAlignment="1">
      <alignment vertical="center"/>
    </xf>
    <xf numFmtId="3" fontId="18" fillId="0" borderId="14" xfId="2" applyNumberFormat="1" applyFont="1" applyFill="1" applyBorder="1" applyAlignment="1">
      <alignment horizontal="right" vertical="center" indent="1"/>
    </xf>
    <xf numFmtId="3" fontId="18" fillId="3" borderId="9" xfId="2" applyNumberFormat="1" applyFont="1" applyFill="1" applyBorder="1" applyAlignment="1"/>
    <xf numFmtId="3" fontId="18" fillId="4" borderId="9" xfId="2" applyNumberFormat="1" applyFont="1" applyFill="1" applyBorder="1" applyAlignment="1">
      <alignment horizontal="right" indent="1"/>
    </xf>
    <xf numFmtId="0" fontId="10" fillId="2" borderId="9" xfId="2" applyFont="1" applyFill="1" applyBorder="1" applyAlignment="1">
      <alignment horizontal="center"/>
    </xf>
    <xf numFmtId="0" fontId="20" fillId="2" borderId="9" xfId="2" applyFont="1" applyFill="1" applyBorder="1" applyAlignment="1">
      <alignment horizontal="center" vertical="center"/>
    </xf>
    <xf numFmtId="0" fontId="58" fillId="0" borderId="0" xfId="2" applyFont="1"/>
    <xf numFmtId="0" fontId="59" fillId="0" borderId="0" xfId="2" applyFont="1"/>
    <xf numFmtId="0" fontId="55" fillId="0" borderId="0" xfId="2" applyFont="1"/>
    <xf numFmtId="0" fontId="55" fillId="0" borderId="0" xfId="2" applyFont="1" applyAlignment="1">
      <alignment horizontal="center"/>
    </xf>
    <xf numFmtId="0" fontId="33" fillId="0" borderId="0" xfId="2" applyFont="1" applyAlignment="1">
      <alignment vertical="center"/>
    </xf>
    <xf numFmtId="3" fontId="35" fillId="3" borderId="0" xfId="2" applyNumberFormat="1" applyFont="1" applyFill="1" applyAlignment="1">
      <alignment horizontal="center"/>
    </xf>
    <xf numFmtId="3" fontId="35" fillId="3" borderId="0" xfId="2" applyNumberFormat="1" applyFont="1" applyFill="1" applyAlignment="1">
      <alignment horizontal="right" wrapText="1"/>
    </xf>
    <xf numFmtId="0" fontId="20" fillId="3" borderId="0" xfId="2" applyFont="1" applyFill="1"/>
    <xf numFmtId="3" fontId="20" fillId="3" borderId="0" xfId="2" applyNumberFormat="1" applyFont="1" applyFill="1"/>
    <xf numFmtId="0" fontId="35" fillId="3" borderId="0" xfId="2" applyFont="1" applyFill="1"/>
    <xf numFmtId="3" fontId="35" fillId="3" borderId="0" xfId="2" applyNumberFormat="1" applyFont="1" applyFill="1" applyAlignment="1">
      <alignment horizontal="right"/>
    </xf>
    <xf numFmtId="3" fontId="20" fillId="3" borderId="0" xfId="2" applyNumberFormat="1" applyFont="1" applyFill="1" applyAlignment="1">
      <alignment horizontal="right"/>
    </xf>
    <xf numFmtId="0" fontId="35" fillId="3" borderId="0" xfId="2" applyFont="1" applyFill="1" applyAlignment="1">
      <alignment horizontal="center"/>
    </xf>
    <xf numFmtId="3" fontId="35" fillId="3" borderId="0" xfId="2" applyNumberFormat="1" applyFont="1" applyFill="1"/>
    <xf numFmtId="3" fontId="58" fillId="0" borderId="0" xfId="2" applyNumberFormat="1" applyFont="1"/>
    <xf numFmtId="0" fontId="60" fillId="0" borderId="0" xfId="2" applyFont="1" applyAlignment="1">
      <alignment horizontal="justify"/>
    </xf>
    <xf numFmtId="3" fontId="35" fillId="0" borderId="0" xfId="2" applyNumberFormat="1" applyFont="1" applyAlignment="1">
      <alignment horizontal="right"/>
    </xf>
    <xf numFmtId="0" fontId="60" fillId="0" borderId="0" xfId="2" applyFont="1" applyAlignment="1">
      <alignment horizontal="left"/>
    </xf>
    <xf numFmtId="0" fontId="36" fillId="0" borderId="0" xfId="2" applyFont="1" applyAlignment="1">
      <alignment vertical="center" wrapText="1"/>
    </xf>
    <xf numFmtId="3" fontId="10" fillId="4" borderId="9" xfId="2" applyNumberFormat="1" applyFont="1" applyFill="1" applyBorder="1" applyAlignment="1">
      <alignment horizontal="right" indent="2"/>
    </xf>
    <xf numFmtId="0" fontId="33" fillId="0" borderId="9" xfId="2" applyFont="1" applyBorder="1"/>
    <xf numFmtId="3" fontId="33" fillId="0" borderId="9" xfId="2" applyNumberFormat="1" applyFont="1" applyBorder="1"/>
    <xf numFmtId="3" fontId="18" fillId="3" borderId="14" xfId="2" applyNumberFormat="1" applyFont="1" applyFill="1" applyBorder="1" applyAlignment="1">
      <alignment horizontal="right" vertical="center" indent="1"/>
    </xf>
    <xf numFmtId="3" fontId="18" fillId="3" borderId="14" xfId="2" applyNumberFormat="1" applyFont="1" applyFill="1" applyBorder="1" applyAlignment="1">
      <alignment horizontal="right" vertical="center" indent="2"/>
    </xf>
    <xf numFmtId="3" fontId="10" fillId="3" borderId="14" xfId="2" applyNumberFormat="1" applyFont="1" applyFill="1" applyBorder="1" applyAlignment="1">
      <alignment horizontal="center" vertical="center"/>
    </xf>
    <xf numFmtId="3" fontId="10" fillId="2" borderId="14" xfId="2" applyNumberFormat="1" applyFont="1" applyFill="1" applyBorder="1" applyAlignment="1">
      <alignment horizontal="center" vertical="center"/>
    </xf>
    <xf numFmtId="3" fontId="18" fillId="0" borderId="14" xfId="2" applyNumberFormat="1" applyFont="1" applyBorder="1" applyAlignment="1">
      <alignment horizontal="center" vertical="center"/>
    </xf>
    <xf numFmtId="3" fontId="18" fillId="0" borderId="14" xfId="2" applyNumberFormat="1" applyFont="1" applyBorder="1" applyAlignment="1">
      <alignment horizontal="center"/>
    </xf>
    <xf numFmtId="3" fontId="18" fillId="0" borderId="9" xfId="2" applyNumberFormat="1" applyFont="1" applyBorder="1" applyAlignment="1">
      <alignment horizontal="right"/>
    </xf>
    <xf numFmtId="3" fontId="10" fillId="2" borderId="9" xfId="2" applyNumberFormat="1" applyFont="1" applyFill="1" applyBorder="1" applyAlignment="1">
      <alignment horizontal="right"/>
    </xf>
    <xf numFmtId="0" fontId="18" fillId="2" borderId="9" xfId="2" applyFont="1" applyFill="1" applyBorder="1" applyAlignment="1">
      <alignment horizontal="right"/>
    </xf>
    <xf numFmtId="0" fontId="18" fillId="0" borderId="9" xfId="2" applyFont="1" applyBorder="1" applyAlignment="1">
      <alignment horizontal="right"/>
    </xf>
    <xf numFmtId="0" fontId="24" fillId="2" borderId="9" xfId="2" applyFont="1" applyFill="1" applyBorder="1" applyAlignment="1">
      <alignment horizontal="right"/>
    </xf>
    <xf numFmtId="0" fontId="19" fillId="4" borderId="0" xfId="2" applyFont="1" applyFill="1" applyBorder="1" applyAlignment="1">
      <alignment horizontal="right" vertical="center"/>
    </xf>
    <xf numFmtId="0" fontId="46" fillId="0" borderId="0" xfId="2" applyFont="1" applyBorder="1" applyAlignment="1">
      <alignment horizontal="right"/>
    </xf>
    <xf numFmtId="3" fontId="6" fillId="4" borderId="31" xfId="2" applyNumberFormat="1" applyFont="1" applyFill="1" applyBorder="1" applyAlignment="1">
      <alignment horizontal="right" indent="1"/>
    </xf>
    <xf numFmtId="3" fontId="18" fillId="4" borderId="14" xfId="2" applyNumberFormat="1" applyFont="1" applyFill="1" applyBorder="1" applyAlignment="1">
      <alignment horizontal="right" vertical="center" indent="1"/>
    </xf>
    <xf numFmtId="3" fontId="10" fillId="2" borderId="14" xfId="2" applyNumberFormat="1" applyFont="1" applyFill="1" applyBorder="1" applyAlignment="1">
      <alignment horizontal="center"/>
    </xf>
    <xf numFmtId="3" fontId="20" fillId="0" borderId="9" xfId="2" applyNumberFormat="1" applyFont="1" applyBorder="1" applyAlignment="1">
      <alignment vertical="center"/>
    </xf>
    <xf numFmtId="0" fontId="35" fillId="0" borderId="9" xfId="2" applyFont="1" applyBorder="1" applyAlignment="1">
      <alignment vertical="center"/>
    </xf>
    <xf numFmtId="0" fontId="34" fillId="0" borderId="0" xfId="0" applyFont="1" applyAlignment="1"/>
    <xf numFmtId="3" fontId="18" fillId="0" borderId="9" xfId="2" applyNumberFormat="1" applyFont="1" applyBorder="1" applyAlignment="1">
      <alignment horizontal="right" vertical="center"/>
    </xf>
    <xf numFmtId="3" fontId="10" fillId="2" borderId="9" xfId="2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14" fillId="0" borderId="27" xfId="2" applyFont="1" applyBorder="1" applyAlignment="1">
      <alignment vertical="center"/>
    </xf>
    <xf numFmtId="3" fontId="66" fillId="0" borderId="0" xfId="2" applyNumberFormat="1" applyFont="1" applyAlignment="1">
      <alignment vertical="center"/>
    </xf>
    <xf numFmtId="3" fontId="10" fillId="5" borderId="14" xfId="2" applyNumberFormat="1" applyFont="1" applyFill="1" applyBorder="1" applyAlignment="1">
      <alignment horizontal="right" vertical="center" indent="1"/>
    </xf>
    <xf numFmtId="3" fontId="11" fillId="0" borderId="14" xfId="2" applyNumberFormat="1" applyFont="1" applyFill="1" applyBorder="1" applyAlignment="1">
      <alignment vertical="center" wrapText="1"/>
    </xf>
    <xf numFmtId="3" fontId="12" fillId="0" borderId="14" xfId="2" applyNumberFormat="1" applyFont="1" applyFill="1" applyBorder="1" applyAlignment="1">
      <alignment vertical="center"/>
    </xf>
    <xf numFmtId="3" fontId="11" fillId="0" borderId="14" xfId="2" applyNumberFormat="1" applyFont="1" applyFill="1" applyBorder="1" applyAlignment="1">
      <alignment vertical="center"/>
    </xf>
    <xf numFmtId="0" fontId="10" fillId="0" borderId="27" xfId="2" applyFont="1" applyFill="1" applyBorder="1" applyAlignment="1">
      <alignment horizontal="center" vertical="center" wrapText="1"/>
    </xf>
    <xf numFmtId="3" fontId="46" fillId="0" borderId="0" xfId="2" applyNumberFormat="1" applyFont="1" applyBorder="1"/>
    <xf numFmtId="0" fontId="19" fillId="0" borderId="19" xfId="2" applyFont="1" applyBorder="1" applyAlignment="1">
      <alignment horizontal="left" vertical="center" wrapText="1"/>
    </xf>
    <xf numFmtId="3" fontId="16" fillId="0" borderId="0" xfId="2" applyNumberFormat="1" applyFont="1" applyFill="1"/>
    <xf numFmtId="3" fontId="20" fillId="0" borderId="23" xfId="2" applyNumberFormat="1" applyFont="1" applyBorder="1" applyAlignment="1">
      <alignment vertical="center"/>
    </xf>
    <xf numFmtId="0" fontId="18" fillId="0" borderId="14" xfId="2" applyFont="1" applyBorder="1" applyAlignment="1">
      <alignment horizontal="center"/>
    </xf>
    <xf numFmtId="0" fontId="18" fillId="0" borderId="23" xfId="2" applyFont="1" applyBorder="1"/>
    <xf numFmtId="0" fontId="20" fillId="0" borderId="14" xfId="2" applyFont="1" applyBorder="1" applyAlignment="1">
      <alignment vertical="center"/>
    </xf>
    <xf numFmtId="0" fontId="27" fillId="0" borderId="50" xfId="0" applyFont="1" applyBorder="1" applyAlignment="1">
      <alignment horizontal="center" vertical="center"/>
    </xf>
    <xf numFmtId="3" fontId="16" fillId="0" borderId="14" xfId="2" applyNumberFormat="1" applyFont="1" applyFill="1" applyBorder="1" applyAlignment="1">
      <alignment vertical="center"/>
    </xf>
    <xf numFmtId="3" fontId="19" fillId="0" borderId="14" xfId="2" applyNumberFormat="1" applyFont="1" applyBorder="1" applyAlignment="1">
      <alignment horizontal="center" vertical="center"/>
    </xf>
    <xf numFmtId="3" fontId="12" fillId="0" borderId="14" xfId="2" applyNumberFormat="1" applyFont="1" applyFill="1" applyBorder="1" applyAlignment="1">
      <alignment horizontal="left" vertical="center"/>
    </xf>
    <xf numFmtId="3" fontId="9" fillId="0" borderId="0" xfId="2" applyNumberFormat="1" applyFont="1"/>
    <xf numFmtId="3" fontId="12" fillId="0" borderId="14" xfId="2" applyNumberFormat="1" applyFont="1" applyBorder="1" applyAlignment="1">
      <alignment vertical="center"/>
    </xf>
    <xf numFmtId="3" fontId="12" fillId="0" borderId="14" xfId="2" applyNumberFormat="1" applyFont="1" applyFill="1" applyBorder="1" applyAlignment="1"/>
    <xf numFmtId="3" fontId="54" fillId="0" borderId="14" xfId="2" applyNumberFormat="1" applyFont="1" applyFill="1" applyBorder="1" applyAlignment="1"/>
    <xf numFmtId="3" fontId="16" fillId="0" borderId="14" xfId="2" applyNumberFormat="1" applyFont="1" applyFill="1" applyBorder="1" applyAlignment="1"/>
    <xf numFmtId="3" fontId="16" fillId="0" borderId="14" xfId="2" applyNumberFormat="1" applyFont="1" applyBorder="1" applyAlignment="1"/>
    <xf numFmtId="3" fontId="11" fillId="0" borderId="14" xfId="2" applyNumberFormat="1" applyFont="1" applyFill="1" applyBorder="1" applyAlignment="1">
      <alignment wrapText="1"/>
    </xf>
    <xf numFmtId="3" fontId="16" fillId="0" borderId="14" xfId="2" applyNumberFormat="1" applyFont="1" applyFill="1" applyBorder="1" applyAlignment="1">
      <alignment horizontal="right" vertical="center"/>
    </xf>
    <xf numFmtId="3" fontId="18" fillId="0" borderId="14" xfId="2" applyNumberFormat="1" applyFont="1" applyBorder="1" applyAlignment="1">
      <alignment horizontal="left" vertical="center" indent="2"/>
    </xf>
    <xf numFmtId="0" fontId="18" fillId="0" borderId="14" xfId="2" applyFont="1" applyBorder="1" applyAlignment="1">
      <alignment vertical="center" wrapText="1"/>
    </xf>
    <xf numFmtId="3" fontId="16" fillId="0" borderId="24" xfId="2" applyNumberFormat="1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18" fillId="0" borderId="14" xfId="2" applyFont="1" applyBorder="1" applyAlignment="1">
      <alignment horizontal="left" vertical="center" wrapText="1"/>
    </xf>
    <xf numFmtId="3" fontId="19" fillId="0" borderId="0" xfId="2" applyNumberFormat="1" applyFont="1" applyBorder="1"/>
    <xf numFmtId="3" fontId="16" fillId="0" borderId="0" xfId="2" applyNumberFormat="1" applyFont="1" applyBorder="1"/>
    <xf numFmtId="0" fontId="67" fillId="0" borderId="9" xfId="2" applyFont="1" applyBorder="1" applyAlignment="1">
      <alignment horizontal="center" vertical="center" wrapText="1"/>
    </xf>
    <xf numFmtId="3" fontId="18" fillId="0" borderId="9" xfId="2" applyNumberFormat="1" applyFont="1" applyBorder="1" applyAlignment="1">
      <alignment horizontal="center"/>
    </xf>
    <xf numFmtId="3" fontId="18" fillId="0" borderId="9" xfId="2" applyNumberFormat="1" applyFont="1" applyFill="1" applyBorder="1" applyAlignment="1">
      <alignment horizontal="center" vertical="center" wrapText="1"/>
    </xf>
    <xf numFmtId="49" fontId="18" fillId="0" borderId="14" xfId="2" applyNumberFormat="1" applyFont="1" applyBorder="1" applyAlignment="1">
      <alignment horizontal="left" vertical="center"/>
    </xf>
    <xf numFmtId="0" fontId="16" fillId="2" borderId="6" xfId="2" applyFont="1" applyFill="1" applyBorder="1" applyAlignment="1">
      <alignment horizontal="left" vertical="center"/>
    </xf>
    <xf numFmtId="3" fontId="11" fillId="2" borderId="46" xfId="2" applyNumberFormat="1" applyFont="1" applyFill="1" applyBorder="1" applyAlignment="1">
      <alignment horizontal="right" vertical="center" indent="5"/>
    </xf>
    <xf numFmtId="3" fontId="11" fillId="2" borderId="28" xfId="2" applyNumberFormat="1" applyFont="1" applyFill="1" applyBorder="1" applyAlignment="1">
      <alignment horizontal="right" vertical="center" indent="5"/>
    </xf>
    <xf numFmtId="0" fontId="0" fillId="0" borderId="0" xfId="0" applyAlignment="1">
      <alignment horizontal="center"/>
    </xf>
    <xf numFmtId="3" fontId="16" fillId="0" borderId="0" xfId="2" applyNumberFormat="1" applyFont="1" applyBorder="1" applyAlignment="1">
      <alignment horizontal="right"/>
    </xf>
    <xf numFmtId="0" fontId="19" fillId="0" borderId="53" xfId="2" applyFont="1" applyBorder="1" applyAlignment="1">
      <alignment horizontal="left" vertical="center"/>
    </xf>
    <xf numFmtId="3" fontId="12" fillId="0" borderId="54" xfId="2" applyNumberFormat="1" applyFont="1" applyBorder="1" applyAlignment="1">
      <alignment horizontal="right" vertical="center" indent="5"/>
    </xf>
    <xf numFmtId="3" fontId="3" fillId="0" borderId="0" xfId="2" applyNumberFormat="1" applyFont="1"/>
    <xf numFmtId="165" fontId="0" fillId="0" borderId="0" xfId="0" applyNumberFormat="1"/>
    <xf numFmtId="165" fontId="0" fillId="0" borderId="9" xfId="0" applyNumberFormat="1" applyBorder="1"/>
    <xf numFmtId="0" fontId="69" fillId="0" borderId="9" xfId="0" applyFont="1" applyBorder="1" applyAlignment="1">
      <alignment horizontal="center" vertical="center" wrapText="1"/>
    </xf>
    <xf numFmtId="0" fontId="68" fillId="0" borderId="9" xfId="0" applyFont="1" applyBorder="1" applyAlignment="1">
      <alignment horizontal="center" vertical="center"/>
    </xf>
    <xf numFmtId="0" fontId="69" fillId="0" borderId="9" xfId="0" applyFont="1" applyBorder="1" applyAlignment="1">
      <alignment vertical="center"/>
    </xf>
    <xf numFmtId="165" fontId="0" fillId="0" borderId="9" xfId="0" applyNumberFormat="1" applyBorder="1" applyAlignment="1">
      <alignment vertical="center"/>
    </xf>
    <xf numFmtId="0" fontId="0" fillId="0" borderId="0" xfId="0" applyAlignment="1">
      <alignment vertical="center"/>
    </xf>
    <xf numFmtId="14" fontId="0" fillId="0" borderId="9" xfId="0" applyNumberFormat="1" applyBorder="1" applyAlignment="1">
      <alignment horizontal="center"/>
    </xf>
    <xf numFmtId="0" fontId="70" fillId="0" borderId="9" xfId="0" applyFont="1" applyBorder="1" applyAlignment="1">
      <alignment horizontal="center" vertical="center"/>
    </xf>
    <xf numFmtId="165" fontId="70" fillId="0" borderId="9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64" fontId="56" fillId="0" borderId="45" xfId="1" applyNumberFormat="1" applyFont="1" applyBorder="1"/>
    <xf numFmtId="0" fontId="57" fillId="0" borderId="9" xfId="0" applyFont="1" applyBorder="1" applyAlignment="1">
      <alignment horizontal="center" vertical="center"/>
    </xf>
    <xf numFmtId="164" fontId="56" fillId="0" borderId="23" xfId="1" applyNumberFormat="1" applyFont="1" applyBorder="1"/>
    <xf numFmtId="164" fontId="56" fillId="0" borderId="21" xfId="1" applyNumberFormat="1" applyFont="1" applyBorder="1" applyAlignment="1">
      <alignment horizontal="left"/>
    </xf>
    <xf numFmtId="0" fontId="27" fillId="0" borderId="0" xfId="0" applyFont="1" applyAlignment="1">
      <alignment vertical="center" wrapText="1"/>
    </xf>
    <xf numFmtId="0" fontId="27" fillId="0" borderId="0" xfId="0" applyFont="1" applyAlignment="1"/>
    <xf numFmtId="0" fontId="52" fillId="0" borderId="0" xfId="0" applyFont="1" applyAlignment="1"/>
    <xf numFmtId="0" fontId="23" fillId="0" borderId="0" xfId="2" applyFont="1" applyBorder="1" applyAlignment="1">
      <alignment horizontal="center" vertical="center" wrapText="1"/>
    </xf>
    <xf numFmtId="3" fontId="19" fillId="0" borderId="48" xfId="2" applyNumberFormat="1" applyFont="1" applyBorder="1" applyAlignment="1">
      <alignment horizontal="right"/>
    </xf>
    <xf numFmtId="3" fontId="18" fillId="0" borderId="48" xfId="2" applyNumberFormat="1" applyFont="1" applyBorder="1" applyAlignment="1">
      <alignment horizontal="right"/>
    </xf>
    <xf numFmtId="0" fontId="1" fillId="0" borderId="0" xfId="2" applyBorder="1" applyAlignment="1">
      <alignment horizontal="right"/>
    </xf>
    <xf numFmtId="0" fontId="18" fillId="3" borderId="27" xfId="2" applyFont="1" applyFill="1" applyBorder="1" applyAlignment="1">
      <alignment horizontal="left" vertical="center" wrapText="1"/>
    </xf>
    <xf numFmtId="49" fontId="18" fillId="0" borderId="24" xfId="2" applyNumberFormat="1" applyFont="1" applyBorder="1" applyAlignment="1">
      <alignment horizontal="left" vertical="center"/>
    </xf>
    <xf numFmtId="49" fontId="18" fillId="0" borderId="24" xfId="2" applyNumberFormat="1" applyFont="1" applyBorder="1" applyAlignment="1">
      <alignment horizontal="left" vertical="center" wrapText="1"/>
    </xf>
    <xf numFmtId="0" fontId="7" fillId="0" borderId="9" xfId="2" applyFont="1" applyBorder="1" applyAlignment="1">
      <alignment horizontal="center" vertical="center"/>
    </xf>
    <xf numFmtId="0" fontId="57" fillId="0" borderId="50" xfId="0" applyFont="1" applyBorder="1" applyAlignment="1">
      <alignment horizontal="center" vertical="center"/>
    </xf>
    <xf numFmtId="3" fontId="62" fillId="0" borderId="14" xfId="2" applyNumberFormat="1" applyFont="1" applyBorder="1" applyAlignment="1">
      <alignment horizontal="right" vertical="center" indent="1"/>
    </xf>
    <xf numFmtId="3" fontId="62" fillId="3" borderId="14" xfId="2" applyNumberFormat="1" applyFont="1" applyFill="1" applyBorder="1" applyAlignment="1">
      <alignment horizontal="right" vertical="center" indent="1"/>
    </xf>
    <xf numFmtId="0" fontId="1" fillId="6" borderId="0" xfId="2" applyFill="1"/>
    <xf numFmtId="3" fontId="62" fillId="0" borderId="14" xfId="2" applyNumberFormat="1" applyFont="1" applyBorder="1" applyAlignment="1">
      <alignment horizontal="right" vertical="center" indent="2"/>
    </xf>
    <xf numFmtId="3" fontId="62" fillId="4" borderId="14" xfId="2" applyNumberFormat="1" applyFont="1" applyFill="1" applyBorder="1" applyAlignment="1">
      <alignment horizontal="right" vertical="center" indent="1"/>
    </xf>
    <xf numFmtId="3" fontId="62" fillId="3" borderId="14" xfId="2" applyNumberFormat="1" applyFont="1" applyFill="1" applyBorder="1" applyAlignment="1">
      <alignment horizontal="right" vertical="center" indent="2"/>
    </xf>
    <xf numFmtId="3" fontId="10" fillId="2" borderId="28" xfId="2" applyNumberFormat="1" applyFont="1" applyFill="1" applyBorder="1" applyAlignment="1">
      <alignment horizontal="right" vertical="center" indent="5"/>
    </xf>
    <xf numFmtId="3" fontId="16" fillId="0" borderId="14" xfId="2" applyNumberFormat="1" applyFont="1" applyBorder="1" applyAlignment="1">
      <alignment vertical="center" wrapText="1"/>
    </xf>
    <xf numFmtId="3" fontId="12" fillId="0" borderId="14" xfId="2" applyNumberFormat="1" applyFont="1" applyFill="1" applyBorder="1" applyAlignment="1">
      <alignment horizontal="center" vertical="center" wrapText="1"/>
    </xf>
    <xf numFmtId="3" fontId="12" fillId="0" borderId="0" xfId="2" quotePrefix="1" applyNumberFormat="1" applyFont="1" applyAlignment="1">
      <alignment horizontal="center"/>
    </xf>
    <xf numFmtId="0" fontId="35" fillId="0" borderId="14" xfId="2" applyFont="1" applyFill="1" applyBorder="1" applyAlignment="1">
      <alignment horizontal="center" vertical="center"/>
    </xf>
    <xf numFmtId="0" fontId="35" fillId="0" borderId="0" xfId="2" applyFont="1" applyFill="1"/>
    <xf numFmtId="0" fontId="35" fillId="0" borderId="9" xfId="2" applyFont="1" applyFill="1" applyBorder="1" applyAlignment="1">
      <alignment horizontal="left"/>
    </xf>
    <xf numFmtId="3" fontId="35" fillId="0" borderId="23" xfId="2" applyNumberFormat="1" applyFont="1" applyFill="1" applyBorder="1" applyAlignment="1">
      <alignment horizontal="right" indent="1"/>
    </xf>
    <xf numFmtId="3" fontId="35" fillId="0" borderId="9" xfId="2" applyNumberFormat="1" applyFont="1" applyFill="1" applyBorder="1" applyAlignment="1">
      <alignment horizontal="right" indent="1"/>
    </xf>
    <xf numFmtId="0" fontId="20" fillId="2" borderId="9" xfId="2" applyFont="1" applyFill="1" applyBorder="1" applyAlignment="1">
      <alignment horizontal="left"/>
    </xf>
    <xf numFmtId="3" fontId="20" fillId="2" borderId="9" xfId="2" applyNumberFormat="1" applyFont="1" applyFill="1" applyBorder="1" applyAlignment="1">
      <alignment horizontal="right" indent="1"/>
    </xf>
    <xf numFmtId="3" fontId="20" fillId="0" borderId="0" xfId="2" applyNumberFormat="1" applyFont="1" applyFill="1"/>
    <xf numFmtId="0" fontId="20" fillId="2" borderId="9" xfId="2" applyFont="1" applyFill="1" applyBorder="1"/>
    <xf numFmtId="3" fontId="35" fillId="0" borderId="0" xfId="2" applyNumberFormat="1" applyFont="1" applyFill="1"/>
    <xf numFmtId="0" fontId="16" fillId="0" borderId="0" xfId="2" applyFont="1" applyFill="1" applyAlignment="1">
      <alignment vertical="center" wrapText="1"/>
    </xf>
    <xf numFmtId="0" fontId="35" fillId="0" borderId="9" xfId="2" applyFont="1" applyFill="1" applyBorder="1" applyAlignment="1">
      <alignment horizontal="left" vertical="center" wrapText="1"/>
    </xf>
    <xf numFmtId="3" fontId="35" fillId="0" borderId="9" xfId="2" applyNumberFormat="1" applyFont="1" applyFill="1" applyBorder="1" applyAlignment="1">
      <alignment horizontal="right" vertical="center" wrapText="1"/>
    </xf>
    <xf numFmtId="0" fontId="20" fillId="0" borderId="0" xfId="2" applyFont="1" applyFill="1" applyAlignment="1">
      <alignment vertical="center" wrapText="1"/>
    </xf>
    <xf numFmtId="3" fontId="20" fillId="0" borderId="0" xfId="2" applyNumberFormat="1" applyFont="1" applyFill="1" applyAlignment="1">
      <alignment vertical="center" wrapText="1"/>
    </xf>
    <xf numFmtId="0" fontId="18" fillId="3" borderId="9" xfId="2" applyFont="1" applyFill="1" applyBorder="1" applyAlignment="1">
      <alignment horizontal="center"/>
    </xf>
    <xf numFmtId="0" fontId="18" fillId="0" borderId="9" xfId="2" applyFont="1" applyFill="1" applyBorder="1" applyAlignment="1">
      <alignment wrapText="1"/>
    </xf>
    <xf numFmtId="0" fontId="18" fillId="0" borderId="9" xfId="2" applyFont="1" applyFill="1" applyBorder="1" applyAlignment="1">
      <alignment horizontal="center" vertical="center"/>
    </xf>
    <xf numFmtId="3" fontId="10" fillId="2" borderId="9" xfId="2" applyNumberFormat="1" applyFont="1" applyFill="1" applyBorder="1" applyAlignment="1">
      <alignment horizontal="center" vertical="center" wrapText="1"/>
    </xf>
    <xf numFmtId="3" fontId="10" fillId="2" borderId="9" xfId="2" applyNumberFormat="1" applyFont="1" applyFill="1" applyBorder="1" applyAlignment="1">
      <alignment horizontal="center"/>
    </xf>
    <xf numFmtId="0" fontId="1" fillId="0" borderId="8" xfId="2" applyBorder="1"/>
    <xf numFmtId="0" fontId="20" fillId="0" borderId="0" xfId="2" applyFont="1" applyBorder="1" applyAlignment="1">
      <alignment horizontal="center" vertical="center" wrapText="1"/>
    </xf>
    <xf numFmtId="0" fontId="18" fillId="0" borderId="49" xfId="2" applyFont="1" applyBorder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0" fontId="59" fillId="0" borderId="0" xfId="2" applyFont="1" applyBorder="1"/>
    <xf numFmtId="0" fontId="55" fillId="0" borderId="0" xfId="2" applyFont="1" applyBorder="1"/>
    <xf numFmtId="0" fontId="55" fillId="0" borderId="0" xfId="2" applyFont="1" applyBorder="1" applyAlignment="1">
      <alignment horizontal="center"/>
    </xf>
    <xf numFmtId="3" fontId="55" fillId="0" borderId="0" xfId="2" applyNumberFormat="1" applyFont="1" applyBorder="1"/>
    <xf numFmtId="0" fontId="1" fillId="0" borderId="51" xfId="2" applyBorder="1"/>
    <xf numFmtId="0" fontId="59" fillId="0" borderId="48" xfId="2" applyFont="1" applyBorder="1"/>
    <xf numFmtId="0" fontId="55" fillId="0" borderId="48" xfId="2" applyFont="1" applyBorder="1"/>
    <xf numFmtId="0" fontId="55" fillId="0" borderId="48" xfId="2" applyFont="1" applyBorder="1" applyAlignment="1">
      <alignment horizontal="center"/>
    </xf>
    <xf numFmtId="3" fontId="55" fillId="0" borderId="48" xfId="2" applyNumberFormat="1" applyFont="1" applyBorder="1"/>
    <xf numFmtId="0" fontId="68" fillId="0" borderId="0" xfId="0" applyFont="1" applyBorder="1" applyAlignment="1">
      <alignment horizontal="center" vertical="center"/>
    </xf>
    <xf numFmtId="165" fontId="0" fillId="0" borderId="0" xfId="0" applyNumberFormat="1" applyBorder="1" applyAlignment="1">
      <alignment vertical="center"/>
    </xf>
    <xf numFmtId="165" fontId="0" fillId="0" borderId="0" xfId="0" applyNumberFormat="1" applyBorder="1"/>
    <xf numFmtId="165" fontId="70" fillId="0" borderId="0" xfId="0" applyNumberFormat="1" applyFont="1" applyBorder="1" applyAlignment="1">
      <alignment horizontal="center" vertical="center"/>
    </xf>
    <xf numFmtId="0" fontId="18" fillId="0" borderId="10" xfId="2" quotePrefix="1" applyFont="1" applyBorder="1" applyAlignment="1">
      <alignment horizontal="center"/>
    </xf>
    <xf numFmtId="0" fontId="23" fillId="0" borderId="0" xfId="2" applyFont="1" applyBorder="1" applyAlignment="1">
      <alignment horizontal="center" vertical="center" wrapText="1"/>
    </xf>
    <xf numFmtId="0" fontId="28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75" fillId="0" borderId="0" xfId="2" applyFont="1" applyAlignment="1">
      <alignment vertical="center"/>
    </xf>
    <xf numFmtId="3" fontId="75" fillId="0" borderId="0" xfId="2" applyNumberFormat="1" applyFont="1" applyAlignment="1">
      <alignment vertical="center"/>
    </xf>
    <xf numFmtId="0" fontId="20" fillId="0" borderId="23" xfId="2" applyFont="1" applyFill="1" applyBorder="1" applyAlignment="1">
      <alignment horizontal="center" vertical="center" wrapText="1"/>
    </xf>
    <xf numFmtId="3" fontId="63" fillId="0" borderId="15" xfId="2" applyNumberFormat="1" applyFont="1" applyFill="1" applyBorder="1" applyAlignment="1">
      <alignment horizontal="right" vertical="center" indent="1"/>
    </xf>
    <xf numFmtId="0" fontId="1" fillId="0" borderId="0" xfId="2" applyFont="1"/>
    <xf numFmtId="164" fontId="1" fillId="0" borderId="0" xfId="1" applyNumberFormat="1" applyFont="1"/>
    <xf numFmtId="0" fontId="17" fillId="0" borderId="14" xfId="2" applyFont="1" applyBorder="1" applyAlignment="1">
      <alignment horizontal="center" vertical="center"/>
    </xf>
    <xf numFmtId="3" fontId="1" fillId="0" borderId="0" xfId="2" applyNumberFormat="1" applyFont="1"/>
    <xf numFmtId="3" fontId="16" fillId="0" borderId="24" xfId="2" applyNumberFormat="1" applyFont="1" applyFill="1" applyBorder="1" applyAlignment="1">
      <alignment horizontal="center" vertical="center" wrapText="1"/>
    </xf>
    <xf numFmtId="0" fontId="1" fillId="0" borderId="0" xfId="2" applyFont="1" applyAlignment="1">
      <alignment vertical="center"/>
    </xf>
    <xf numFmtId="49" fontId="18" fillId="0" borderId="52" xfId="2" applyNumberFormat="1" applyFont="1" applyBorder="1" applyAlignment="1">
      <alignment vertical="center"/>
    </xf>
    <xf numFmtId="49" fontId="18" fillId="0" borderId="25" xfId="2" applyNumberFormat="1" applyFont="1" applyBorder="1" applyAlignment="1">
      <alignment vertical="center"/>
    </xf>
    <xf numFmtId="164" fontId="1" fillId="0" borderId="0" xfId="2" applyNumberFormat="1" applyFont="1"/>
    <xf numFmtId="0" fontId="76" fillId="0" borderId="0" xfId="2" applyFont="1" applyAlignment="1">
      <alignment horizontal="center" vertical="center"/>
    </xf>
    <xf numFmtId="3" fontId="10" fillId="0" borderId="0" xfId="2" applyNumberFormat="1" applyFont="1" applyAlignment="1">
      <alignment horizontal="right" vertical="center"/>
    </xf>
    <xf numFmtId="49" fontId="18" fillId="0" borderId="24" xfId="2" applyNumberFormat="1" applyFont="1" applyBorder="1" applyAlignment="1">
      <alignment vertical="center"/>
    </xf>
    <xf numFmtId="0" fontId="18" fillId="0" borderId="27" xfId="2" applyFont="1" applyBorder="1" applyAlignment="1">
      <alignment vertical="center" wrapText="1"/>
    </xf>
    <xf numFmtId="0" fontId="18" fillId="0" borderId="27" xfId="2" applyFont="1" applyBorder="1" applyAlignment="1">
      <alignment vertical="center"/>
    </xf>
    <xf numFmtId="0" fontId="76" fillId="0" borderId="0" xfId="2" applyFont="1" applyAlignment="1">
      <alignment vertical="center"/>
    </xf>
    <xf numFmtId="3" fontId="18" fillId="0" borderId="0" xfId="2" applyNumberFormat="1" applyFont="1" applyAlignment="1">
      <alignment horizontal="right" vertical="center"/>
    </xf>
    <xf numFmtId="3" fontId="18" fillId="0" borderId="0" xfId="2" applyNumberFormat="1" applyFont="1" applyFill="1" applyAlignment="1">
      <alignment horizontal="right" vertical="center"/>
    </xf>
    <xf numFmtId="3" fontId="10" fillId="0" borderId="0" xfId="2" applyNumberFormat="1" applyFont="1" applyAlignment="1">
      <alignment horizontal="center" vertical="center"/>
    </xf>
    <xf numFmtId="3" fontId="10" fillId="0" borderId="40" xfId="2" applyNumberFormat="1" applyFont="1" applyBorder="1" applyAlignment="1">
      <alignment horizontal="center" vertical="center"/>
    </xf>
    <xf numFmtId="3" fontId="10" fillId="0" borderId="40" xfId="2" applyNumberFormat="1" applyFont="1" applyFill="1" applyBorder="1" applyAlignment="1">
      <alignment horizontal="center" vertical="center"/>
    </xf>
    <xf numFmtId="49" fontId="18" fillId="0" borderId="26" xfId="2" applyNumberFormat="1" applyFont="1" applyBorder="1" applyAlignment="1">
      <alignment vertical="center"/>
    </xf>
    <xf numFmtId="0" fontId="1" fillId="0" borderId="0" xfId="2" applyFont="1" applyFill="1" applyAlignment="1">
      <alignment vertical="center"/>
    </xf>
    <xf numFmtId="3" fontId="1" fillId="0" borderId="0" xfId="2" applyNumberFormat="1" applyFont="1" applyAlignment="1">
      <alignment vertical="center"/>
    </xf>
    <xf numFmtId="0" fontId="1" fillId="0" borderId="0" xfId="2" applyFont="1" applyAlignment="1">
      <alignment horizontal="center" vertical="center"/>
    </xf>
    <xf numFmtId="3" fontId="12" fillId="4" borderId="35" xfId="2" applyNumberFormat="1" applyFont="1" applyFill="1" applyBorder="1" applyAlignment="1">
      <alignment horizontal="right" vertical="center" indent="5"/>
    </xf>
    <xf numFmtId="3" fontId="77" fillId="3" borderId="14" xfId="2" applyNumberFormat="1" applyFont="1" applyFill="1" applyBorder="1" applyAlignment="1">
      <alignment horizontal="right" vertical="center" indent="1"/>
    </xf>
    <xf numFmtId="0" fontId="19" fillId="0" borderId="0" xfId="2" applyFont="1" applyBorder="1" applyAlignment="1">
      <alignment horizontal="center" vertical="center"/>
    </xf>
    <xf numFmtId="0" fontId="16" fillId="2" borderId="51" xfId="2" applyFont="1" applyFill="1" applyBorder="1" applyAlignment="1">
      <alignment horizontal="left" vertical="center"/>
    </xf>
    <xf numFmtId="3" fontId="11" fillId="2" borderId="28" xfId="2" applyNumberFormat="1" applyFont="1" applyFill="1" applyBorder="1" applyAlignment="1">
      <alignment horizontal="right" vertical="center" indent="4"/>
    </xf>
    <xf numFmtId="0" fontId="19" fillId="0" borderId="55" xfId="2" applyFont="1" applyBorder="1" applyAlignment="1">
      <alignment horizontal="left" vertical="center"/>
    </xf>
    <xf numFmtId="3" fontId="12" fillId="0" borderId="45" xfId="2" applyNumberFormat="1" applyFont="1" applyFill="1" applyBorder="1" applyAlignment="1">
      <alignment horizontal="right" vertical="center" indent="4"/>
    </xf>
    <xf numFmtId="3" fontId="7" fillId="0" borderId="0" xfId="2" applyNumberFormat="1" applyFont="1" applyFill="1"/>
    <xf numFmtId="0" fontId="67" fillId="0" borderId="9" xfId="2" applyFont="1" applyBorder="1" applyAlignment="1">
      <alignment horizontal="center" vertical="center"/>
    </xf>
    <xf numFmtId="3" fontId="45" fillId="0" borderId="9" xfId="2" applyNumberFormat="1" applyFont="1" applyFill="1" applyBorder="1" applyAlignment="1">
      <alignment horizontal="right" vertical="center" indent="2"/>
    </xf>
    <xf numFmtId="3" fontId="67" fillId="0" borderId="9" xfId="2" applyNumberFormat="1" applyFont="1" applyFill="1" applyBorder="1" applyAlignment="1">
      <alignment horizontal="right" vertical="center" indent="2"/>
    </xf>
    <xf numFmtId="3" fontId="45" fillId="0" borderId="9" xfId="2" applyNumberFormat="1" applyFont="1" applyBorder="1" applyAlignment="1">
      <alignment horizontal="right" vertical="center" indent="2"/>
    </xf>
    <xf numFmtId="3" fontId="67" fillId="0" borderId="9" xfId="2" applyNumberFormat="1" applyFont="1" applyBorder="1" applyAlignment="1">
      <alignment horizontal="right" vertical="center" indent="2"/>
    </xf>
    <xf numFmtId="0" fontId="78" fillId="0" borderId="14" xfId="2" applyFont="1" applyFill="1" applyBorder="1" applyAlignment="1">
      <alignment horizontal="center" vertical="center"/>
    </xf>
    <xf numFmtId="0" fontId="35" fillId="0" borderId="9" xfId="2" applyFont="1" applyFill="1" applyBorder="1" applyAlignment="1">
      <alignment horizontal="left" wrapText="1"/>
    </xf>
    <xf numFmtId="3" fontId="19" fillId="0" borderId="0" xfId="2" applyNumberFormat="1" applyFont="1" applyFill="1"/>
    <xf numFmtId="3" fontId="10" fillId="0" borderId="9" xfId="2" applyNumberFormat="1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" fontId="18" fillId="2" borderId="9" xfId="2" applyNumberFormat="1" applyFont="1" applyFill="1" applyBorder="1" applyAlignment="1">
      <alignment horizontal="right"/>
    </xf>
    <xf numFmtId="164" fontId="56" fillId="0" borderId="43" xfId="1" applyNumberFormat="1" applyFont="1" applyBorder="1" applyAlignment="1">
      <alignment horizontal="right"/>
    </xf>
    <xf numFmtId="164" fontId="56" fillId="0" borderId="43" xfId="1" applyNumberFormat="1" applyFont="1" applyBorder="1" applyAlignment="1">
      <alignment horizontal="left"/>
    </xf>
    <xf numFmtId="164" fontId="56" fillId="0" borderId="43" xfId="1" applyNumberFormat="1" applyFont="1" applyBorder="1" applyAlignment="1">
      <alignment horizontal="left" indent="1"/>
    </xf>
    <xf numFmtId="0" fontId="0" fillId="0" borderId="7" xfId="0" applyBorder="1" applyAlignment="1">
      <alignment wrapText="1"/>
    </xf>
    <xf numFmtId="0" fontId="7" fillId="0" borderId="9" xfId="2" applyFont="1" applyBorder="1" applyAlignment="1">
      <alignment horizontal="center" vertical="center" wrapText="1"/>
    </xf>
    <xf numFmtId="0" fontId="6" fillId="0" borderId="2" xfId="2" applyFont="1" applyBorder="1"/>
    <xf numFmtId="3" fontId="6" fillId="0" borderId="45" xfId="2" applyNumberFormat="1" applyFont="1" applyBorder="1" applyAlignment="1">
      <alignment horizontal="right" indent="1"/>
    </xf>
    <xf numFmtId="3" fontId="12" fillId="0" borderId="34" xfId="2" applyNumberFormat="1" applyFont="1" applyFill="1" applyBorder="1" applyAlignment="1">
      <alignment horizontal="right" vertical="center" indent="5"/>
    </xf>
    <xf numFmtId="0" fontId="19" fillId="4" borderId="53" xfId="2" applyFont="1" applyFill="1" applyBorder="1" applyAlignment="1">
      <alignment horizontal="left" vertical="center"/>
    </xf>
    <xf numFmtId="3" fontId="12" fillId="4" borderId="54" xfId="2" applyNumberFormat="1" applyFont="1" applyFill="1" applyBorder="1" applyAlignment="1">
      <alignment horizontal="right" vertical="center" indent="5"/>
    </xf>
    <xf numFmtId="3" fontId="12" fillId="0" borderId="34" xfId="2" applyNumberFormat="1" applyFont="1" applyFill="1" applyBorder="1" applyAlignment="1">
      <alignment horizontal="right" vertical="center" wrapText="1" indent="5"/>
    </xf>
    <xf numFmtId="3" fontId="12" fillId="0" borderId="35" xfId="2" applyNumberFormat="1" applyFont="1" applyFill="1" applyBorder="1" applyAlignment="1">
      <alignment horizontal="right" vertical="center" indent="5"/>
    </xf>
    <xf numFmtId="3" fontId="12" fillId="0" borderId="45" xfId="2" applyNumberFormat="1" applyFont="1" applyFill="1" applyBorder="1" applyAlignment="1">
      <alignment horizontal="right" vertical="center" indent="5"/>
    </xf>
    <xf numFmtId="0" fontId="67" fillId="0" borderId="16" xfId="2" applyFont="1" applyBorder="1" applyAlignment="1">
      <alignment vertical="center"/>
    </xf>
    <xf numFmtId="3" fontId="7" fillId="0" borderId="9" xfId="2" applyNumberFormat="1" applyFont="1" applyBorder="1" applyAlignment="1">
      <alignment horizontal="center" vertical="center"/>
    </xf>
    <xf numFmtId="3" fontId="18" fillId="0" borderId="9" xfId="2" applyNumberFormat="1" applyFont="1" applyFill="1" applyBorder="1" applyAlignment="1">
      <alignment horizontal="right" indent="1"/>
    </xf>
    <xf numFmtId="3" fontId="18" fillId="4" borderId="23" xfId="2" applyNumberFormat="1" applyFont="1" applyFill="1" applyBorder="1" applyAlignment="1">
      <alignment vertical="center"/>
    </xf>
    <xf numFmtId="0" fontId="69" fillId="0" borderId="9" xfId="0" applyFont="1" applyBorder="1" applyAlignment="1">
      <alignment horizontal="center" vertical="center"/>
    </xf>
    <xf numFmtId="165" fontId="65" fillId="0" borderId="9" xfId="0" applyNumberFormat="1" applyFont="1" applyBorder="1" applyAlignment="1">
      <alignment vertical="center"/>
    </xf>
    <xf numFmtId="165" fontId="69" fillId="0" borderId="9" xfId="0" applyNumberFormat="1" applyFont="1" applyBorder="1" applyAlignment="1">
      <alignment vertical="center"/>
    </xf>
    <xf numFmtId="0" fontId="2" fillId="0" borderId="0" xfId="2" applyFont="1" applyAlignment="1">
      <alignment horizontal="center" vertical="center"/>
    </xf>
    <xf numFmtId="0" fontId="23" fillId="0" borderId="0" xfId="2" applyFont="1" applyBorder="1" applyAlignment="1">
      <alignment horizontal="center" vertical="center" wrapText="1"/>
    </xf>
    <xf numFmtId="0" fontId="28" fillId="0" borderId="0" xfId="2" applyFont="1" applyAlignment="1">
      <alignment horizontal="center" vertical="center"/>
    </xf>
    <xf numFmtId="3" fontId="10" fillId="0" borderId="40" xfId="2" applyNumberFormat="1" applyFont="1" applyBorder="1" applyAlignment="1">
      <alignment horizontal="center" vertical="center"/>
    </xf>
    <xf numFmtId="3" fontId="16" fillId="2" borderId="13" xfId="2" applyNumberFormat="1" applyFont="1" applyFill="1" applyBorder="1" applyAlignment="1">
      <alignment horizontal="center" vertical="center" wrapText="1"/>
    </xf>
    <xf numFmtId="3" fontId="16" fillId="2" borderId="26" xfId="2" applyNumberFormat="1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top" wrapText="1"/>
    </xf>
    <xf numFmtId="0" fontId="20" fillId="0" borderId="0" xfId="2" applyFont="1" applyFill="1" applyAlignment="1">
      <alignment horizontal="center" vertical="center" wrapText="1"/>
    </xf>
    <xf numFmtId="0" fontId="2" fillId="0" borderId="0" xfId="2" applyFont="1" applyAlignment="1">
      <alignment horizontal="center" vertical="top"/>
    </xf>
    <xf numFmtId="0" fontId="20" fillId="0" borderId="0" xfId="2" applyFont="1" applyAlignment="1">
      <alignment horizontal="center" vertical="center" wrapText="1"/>
    </xf>
    <xf numFmtId="0" fontId="34" fillId="0" borderId="0" xfId="0" applyFont="1" applyAlignment="1">
      <alignment horizontal="center"/>
    </xf>
    <xf numFmtId="3" fontId="16" fillId="0" borderId="51" xfId="2" applyNumberFormat="1" applyFont="1" applyBorder="1" applyAlignment="1">
      <alignment horizontal="center" vertical="center" wrapText="1"/>
    </xf>
    <xf numFmtId="3" fontId="62" fillId="4" borderId="9" xfId="2" applyNumberFormat="1" applyFont="1" applyFill="1" applyBorder="1" applyAlignment="1">
      <alignment horizontal="right" indent="1"/>
    </xf>
    <xf numFmtId="0" fontId="79" fillId="0" borderId="0" xfId="2" applyFont="1" applyFill="1"/>
    <xf numFmtId="3" fontId="80" fillId="3" borderId="0" xfId="2" applyNumberFormat="1" applyFont="1" applyFill="1" applyAlignment="1">
      <alignment horizontal="right"/>
    </xf>
    <xf numFmtId="0" fontId="2" fillId="0" borderId="0" xfId="2" applyFont="1" applyAlignment="1">
      <alignment horizontal="center" vertical="center" wrapText="1"/>
    </xf>
    <xf numFmtId="0" fontId="10" fillId="0" borderId="0" xfId="2" applyFont="1" applyFill="1" applyAlignment="1">
      <alignment horizontal="center" wrapText="1"/>
    </xf>
    <xf numFmtId="0" fontId="10" fillId="3" borderId="9" xfId="2" applyFont="1" applyFill="1" applyBorder="1" applyAlignment="1">
      <alignment wrapText="1"/>
    </xf>
    <xf numFmtId="0" fontId="18" fillId="3" borderId="9" xfId="2" applyFont="1" applyFill="1" applyBorder="1" applyAlignment="1">
      <alignment wrapText="1"/>
    </xf>
    <xf numFmtId="0" fontId="10" fillId="0" borderId="9" xfId="2" applyFont="1" applyFill="1" applyBorder="1" applyAlignment="1">
      <alignment wrapText="1"/>
    </xf>
    <xf numFmtId="0" fontId="10" fillId="0" borderId="0" xfId="2" applyFont="1" applyFill="1" applyAlignment="1">
      <alignment wrapText="1"/>
    </xf>
    <xf numFmtId="0" fontId="18" fillId="0" borderId="0" xfId="2" applyFont="1" applyFill="1" applyAlignment="1">
      <alignment wrapText="1"/>
    </xf>
    <xf numFmtId="0" fontId="18" fillId="0" borderId="0" xfId="2" applyFont="1" applyFill="1" applyAlignment="1">
      <alignment horizontal="left" wrapText="1"/>
    </xf>
    <xf numFmtId="3" fontId="18" fillId="0" borderId="9" xfId="2" applyNumberFormat="1" applyFont="1" applyFill="1" applyBorder="1" applyAlignment="1">
      <alignment horizontal="right" vertical="center"/>
    </xf>
    <xf numFmtId="0" fontId="35" fillId="3" borderId="56" xfId="2" applyFont="1" applyFill="1" applyBorder="1" applyAlignment="1">
      <alignment horizontal="center" vertical="center"/>
    </xf>
    <xf numFmtId="0" fontId="35" fillId="3" borderId="10" xfId="2" applyFont="1" applyFill="1" applyBorder="1" applyAlignment="1">
      <alignment horizontal="center" vertical="center"/>
    </xf>
    <xf numFmtId="0" fontId="20" fillId="0" borderId="45" xfId="2" applyFont="1" applyFill="1" applyBorder="1" applyAlignment="1">
      <alignment horizontal="center" vertical="center" wrapText="1"/>
    </xf>
    <xf numFmtId="165" fontId="20" fillId="3" borderId="2" xfId="1" applyNumberFormat="1" applyFont="1" applyFill="1" applyBorder="1" applyAlignment="1">
      <alignment horizontal="center" vertical="center"/>
    </xf>
    <xf numFmtId="9" fontId="35" fillId="3" borderId="45" xfId="3" applyFont="1" applyFill="1" applyBorder="1" applyAlignment="1">
      <alignment horizontal="center" vertical="center"/>
    </xf>
    <xf numFmtId="165" fontId="20" fillId="3" borderId="18" xfId="1" applyNumberFormat="1" applyFont="1" applyFill="1" applyBorder="1" applyAlignment="1">
      <alignment horizontal="center" vertical="center"/>
    </xf>
    <xf numFmtId="165" fontId="35" fillId="3" borderId="42" xfId="1" applyNumberFormat="1" applyFont="1" applyFill="1" applyBorder="1" applyAlignment="1">
      <alignment horizontal="center" vertical="center"/>
    </xf>
    <xf numFmtId="9" fontId="35" fillId="3" borderId="42" xfId="3" applyFont="1" applyFill="1" applyBorder="1" applyAlignment="1">
      <alignment horizontal="center" vertical="center"/>
    </xf>
    <xf numFmtId="9" fontId="35" fillId="3" borderId="43" xfId="3" applyFont="1" applyFill="1" applyBorder="1" applyAlignment="1">
      <alignment horizontal="center" vertical="center"/>
    </xf>
    <xf numFmtId="9" fontId="35" fillId="3" borderId="28" xfId="3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vertical="center"/>
    </xf>
    <xf numFmtId="16" fontId="19" fillId="4" borderId="0" xfId="2" quotePrefix="1" applyNumberFormat="1" applyFont="1" applyFill="1" applyBorder="1" applyAlignment="1">
      <alignment horizontal="center" vertical="center"/>
    </xf>
    <xf numFmtId="0" fontId="46" fillId="0" borderId="0" xfId="2" quotePrefix="1" applyFont="1" applyBorder="1" applyAlignment="1">
      <alignment horizontal="center"/>
    </xf>
    <xf numFmtId="0" fontId="17" fillId="0" borderId="0" xfId="2" applyFont="1" applyAlignment="1">
      <alignment vertical="center"/>
    </xf>
    <xf numFmtId="0" fontId="76" fillId="0" borderId="0" xfId="2" quotePrefix="1" applyFont="1" applyAlignment="1">
      <alignment horizontal="center" vertical="center"/>
    </xf>
    <xf numFmtId="0" fontId="17" fillId="0" borderId="0" xfId="2" quotePrefix="1" applyFont="1" applyAlignment="1">
      <alignment vertical="center"/>
    </xf>
    <xf numFmtId="0" fontId="13" fillId="0" borderId="0" xfId="2" quotePrefix="1" applyFont="1" applyAlignment="1">
      <alignment horizontal="center" vertical="center"/>
    </xf>
    <xf numFmtId="0" fontId="55" fillId="0" borderId="49" xfId="2" applyFont="1" applyBorder="1"/>
    <xf numFmtId="0" fontId="55" fillId="0" borderId="59" xfId="2" applyFont="1" applyBorder="1"/>
    <xf numFmtId="0" fontId="27" fillId="0" borderId="0" xfId="0" applyFont="1"/>
    <xf numFmtId="0" fontId="0" fillId="0" borderId="0" xfId="0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right"/>
    </xf>
    <xf numFmtId="0" fontId="0" fillId="0" borderId="9" xfId="0" applyBorder="1"/>
    <xf numFmtId="0" fontId="57" fillId="0" borderId="9" xfId="0" applyFont="1" applyBorder="1" applyAlignment="1">
      <alignment horizontal="center"/>
    </xf>
    <xf numFmtId="0" fontId="0" fillId="0" borderId="9" xfId="0" applyBorder="1" applyAlignment="1">
      <alignment vertical="center"/>
    </xf>
    <xf numFmtId="0" fontId="27" fillId="0" borderId="9" xfId="0" applyFont="1" applyBorder="1"/>
    <xf numFmtId="0" fontId="61" fillId="0" borderId="9" xfId="0" applyFont="1" applyBorder="1"/>
    <xf numFmtId="0" fontId="65" fillId="0" borderId="9" xfId="0" applyFont="1" applyBorder="1"/>
    <xf numFmtId="3" fontId="65" fillId="0" borderId="9" xfId="0" applyNumberFormat="1" applyFont="1" applyBorder="1"/>
    <xf numFmtId="0" fontId="0" fillId="0" borderId="9" xfId="0" applyBorder="1" applyAlignment="1">
      <alignment wrapText="1"/>
    </xf>
    <xf numFmtId="3" fontId="65" fillId="0" borderId="9" xfId="0" applyNumberFormat="1" applyFont="1" applyBorder="1" applyAlignment="1">
      <alignment vertical="center"/>
    </xf>
    <xf numFmtId="0" fontId="27" fillId="0" borderId="9" xfId="0" applyFont="1" applyBorder="1" applyAlignment="1">
      <alignment wrapText="1"/>
    </xf>
    <xf numFmtId="0" fontId="82" fillId="0" borderId="0" xfId="2" applyFont="1" applyAlignment="1">
      <alignment horizontal="right"/>
    </xf>
    <xf numFmtId="0" fontId="83" fillId="0" borderId="0" xfId="2" applyFont="1" applyAlignment="1">
      <alignment wrapText="1"/>
    </xf>
    <xf numFmtId="0" fontId="84" fillId="0" borderId="0" xfId="2" applyFont="1" applyAlignment="1">
      <alignment horizontal="right"/>
    </xf>
    <xf numFmtId="0" fontId="86" fillId="0" borderId="40" xfId="2" applyFont="1" applyBorder="1" applyAlignment="1">
      <alignment horizontal="center"/>
    </xf>
    <xf numFmtId="0" fontId="86" fillId="0" borderId="42" xfId="2" applyFont="1" applyBorder="1" applyAlignment="1">
      <alignment horizontal="center"/>
    </xf>
    <xf numFmtId="0" fontId="85" fillId="0" borderId="60" xfId="2" applyFont="1" applyBorder="1" applyAlignment="1">
      <alignment horizontal="center" vertical="center" wrapText="1"/>
    </xf>
    <xf numFmtId="166" fontId="31" fillId="0" borderId="61" xfId="1" applyNumberFormat="1" applyFont="1" applyBorder="1" applyAlignment="1">
      <alignment horizontal="right" vertical="center" wrapText="1"/>
    </xf>
    <xf numFmtId="0" fontId="85" fillId="0" borderId="62" xfId="2" applyFont="1" applyBorder="1" applyAlignment="1">
      <alignment horizontal="center" vertical="center" wrapText="1"/>
    </xf>
    <xf numFmtId="166" fontId="31" fillId="0" borderId="9" xfId="1" applyNumberFormat="1" applyFont="1" applyBorder="1" applyAlignment="1">
      <alignment horizontal="right" vertical="center"/>
    </xf>
    <xf numFmtId="0" fontId="85" fillId="0" borderId="12" xfId="2" applyFont="1" applyBorder="1" applyAlignment="1">
      <alignment horizontal="center" vertical="center" wrapText="1"/>
    </xf>
    <xf numFmtId="166" fontId="31" fillId="0" borderId="43" xfId="1" applyNumberFormat="1" applyFont="1" applyBorder="1" applyAlignment="1">
      <alignment horizontal="right" vertical="center"/>
    </xf>
    <xf numFmtId="0" fontId="85" fillId="0" borderId="13" xfId="2" applyFont="1" applyBorder="1" applyAlignment="1">
      <alignment horizontal="center" vertical="center" wrapText="1"/>
    </xf>
    <xf numFmtId="166" fontId="86" fillId="0" borderId="63" xfId="1" applyNumberFormat="1" applyFont="1" applyBorder="1" applyAlignment="1">
      <alignment horizontal="right" vertical="center"/>
    </xf>
    <xf numFmtId="0" fontId="87" fillId="0" borderId="14" xfId="2" applyFont="1" applyBorder="1" applyAlignment="1">
      <alignment horizontal="center" vertical="center" wrapText="1"/>
    </xf>
    <xf numFmtId="166" fontId="86" fillId="0" borderId="44" xfId="1" applyNumberFormat="1" applyFont="1" applyBorder="1" applyAlignment="1">
      <alignment horizontal="right" vertical="center"/>
    </xf>
    <xf numFmtId="166" fontId="1" fillId="0" borderId="0" xfId="2" applyNumberFormat="1"/>
    <xf numFmtId="0" fontId="86" fillId="0" borderId="41" xfId="2" applyFont="1" applyBorder="1" applyAlignment="1">
      <alignment horizontal="center"/>
    </xf>
    <xf numFmtId="166" fontId="86" fillId="0" borderId="60" xfId="1" applyNumberFormat="1" applyFont="1" applyBorder="1" applyAlignment="1">
      <alignment horizontal="right" vertical="center"/>
    </xf>
    <xf numFmtId="0" fontId="91" fillId="0" borderId="9" xfId="2" applyFont="1" applyBorder="1" applyAlignment="1">
      <alignment horizontal="center" vertical="top" wrapText="1"/>
    </xf>
    <xf numFmtId="0" fontId="91" fillId="0" borderId="9" xfId="2" applyFont="1" applyBorder="1" applyAlignment="1">
      <alignment horizontal="left" vertical="top" wrapText="1"/>
    </xf>
    <xf numFmtId="3" fontId="91" fillId="0" borderId="9" xfId="2" applyNumberFormat="1" applyFont="1" applyBorder="1" applyAlignment="1">
      <alignment horizontal="right" vertical="top" wrapText="1"/>
    </xf>
    <xf numFmtId="0" fontId="90" fillId="0" borderId="9" xfId="2" applyFont="1" applyBorder="1" applyAlignment="1">
      <alignment horizontal="center" vertical="top" wrapText="1"/>
    </xf>
    <xf numFmtId="0" fontId="90" fillId="0" borderId="9" xfId="2" applyFont="1" applyBorder="1" applyAlignment="1">
      <alignment horizontal="left" vertical="top" wrapText="1"/>
    </xf>
    <xf numFmtId="3" fontId="90" fillId="0" borderId="9" xfId="2" applyNumberFormat="1" applyFont="1" applyBorder="1" applyAlignment="1">
      <alignment horizontal="right" vertical="top" wrapText="1"/>
    </xf>
    <xf numFmtId="0" fontId="92" fillId="0" borderId="9" xfId="2" applyFont="1" applyFill="1" applyBorder="1" applyAlignment="1">
      <alignment horizontal="center" vertical="top" wrapText="1"/>
    </xf>
    <xf numFmtId="3" fontId="1" fillId="0" borderId="0" xfId="2" applyNumberFormat="1" applyAlignment="1">
      <alignment horizontal="center"/>
    </xf>
    <xf numFmtId="0" fontId="1" fillId="0" borderId="0" xfId="2" applyAlignment="1">
      <alignment horizontal="center"/>
    </xf>
    <xf numFmtId="0" fontId="23" fillId="0" borderId="0" xfId="2" applyFont="1" applyBorder="1" applyAlignment="1">
      <alignment horizontal="center" vertical="center" wrapText="1"/>
    </xf>
    <xf numFmtId="0" fontId="28" fillId="0" borderId="0" xfId="2" applyFont="1" applyAlignment="1">
      <alignment horizontal="center" vertical="center"/>
    </xf>
    <xf numFmtId="164" fontId="16" fillId="6" borderId="8" xfId="1" applyNumberFormat="1" applyFont="1" applyFill="1" applyBorder="1" applyAlignment="1">
      <alignment horizontal="center" vertical="center" wrapText="1"/>
    </xf>
    <xf numFmtId="3" fontId="19" fillId="0" borderId="8" xfId="2" applyNumberFormat="1" applyFont="1" applyBorder="1" applyAlignment="1">
      <alignment horizontal="center" vertical="center"/>
    </xf>
    <xf numFmtId="0" fontId="19" fillId="0" borderId="8" xfId="2" applyFont="1" applyBorder="1" applyAlignment="1">
      <alignment horizontal="center" vertical="center"/>
    </xf>
    <xf numFmtId="3" fontId="1" fillId="0" borderId="0" xfId="2" applyNumberFormat="1" applyAlignment="1">
      <alignment horizontal="center" vertical="center"/>
    </xf>
    <xf numFmtId="0" fontId="1" fillId="0" borderId="0" xfId="2" applyAlignment="1">
      <alignment horizontal="center" vertical="center"/>
    </xf>
    <xf numFmtId="3" fontId="1" fillId="7" borderId="8" xfId="2" applyNumberFormat="1" applyFill="1" applyBorder="1" applyAlignment="1">
      <alignment horizontal="center" vertical="center"/>
    </xf>
    <xf numFmtId="0" fontId="1" fillId="7" borderId="8" xfId="2" applyFill="1" applyBorder="1" applyAlignment="1">
      <alignment horizontal="center" vertical="center"/>
    </xf>
    <xf numFmtId="3" fontId="12" fillId="7" borderId="12" xfId="2" applyNumberFormat="1" applyFont="1" applyFill="1" applyBorder="1" applyAlignment="1">
      <alignment horizontal="center" vertical="center"/>
    </xf>
    <xf numFmtId="3" fontId="12" fillId="7" borderId="25" xfId="2" applyNumberFormat="1" applyFont="1" applyFill="1" applyBorder="1" applyAlignment="1">
      <alignment horizontal="center" vertical="center"/>
    </xf>
    <xf numFmtId="0" fontId="7" fillId="0" borderId="56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3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3" fontId="11" fillId="0" borderId="24" xfId="2" applyNumberFormat="1" applyFont="1" applyFill="1" applyBorder="1" applyAlignment="1">
      <alignment horizontal="center" vertical="center" wrapText="1"/>
    </xf>
    <xf numFmtId="3" fontId="11" fillId="0" borderId="33" xfId="2" applyNumberFormat="1" applyFont="1" applyFill="1" applyBorder="1" applyAlignment="1">
      <alignment horizontal="center" vertical="center" wrapText="1"/>
    </xf>
    <xf numFmtId="3" fontId="11" fillId="0" borderId="27" xfId="2" applyNumberFormat="1" applyFont="1" applyFill="1" applyBorder="1" applyAlignment="1">
      <alignment horizontal="center" vertical="center" wrapText="1"/>
    </xf>
    <xf numFmtId="3" fontId="53" fillId="0" borderId="24" xfId="2" applyNumberFormat="1" applyFont="1" applyFill="1" applyBorder="1" applyAlignment="1">
      <alignment horizontal="center" vertical="center" wrapText="1"/>
    </xf>
    <xf numFmtId="3" fontId="53" fillId="0" borderId="33" xfId="2" applyNumberFormat="1" applyFont="1" applyFill="1" applyBorder="1" applyAlignment="1">
      <alignment horizontal="center" vertical="center" wrapText="1"/>
    </xf>
    <xf numFmtId="3" fontId="53" fillId="0" borderId="27" xfId="2" applyNumberFormat="1" applyFont="1" applyFill="1" applyBorder="1" applyAlignment="1">
      <alignment horizontal="center" vertical="center" wrapText="1"/>
    </xf>
    <xf numFmtId="0" fontId="11" fillId="0" borderId="14" xfId="2" applyFont="1" applyFill="1" applyBorder="1" applyAlignment="1">
      <alignment horizontal="left" vertical="center" wrapText="1"/>
    </xf>
    <xf numFmtId="0" fontId="11" fillId="0" borderId="24" xfId="2" applyFont="1" applyFill="1" applyBorder="1" applyAlignment="1">
      <alignment horizontal="center" vertical="center" wrapText="1"/>
    </xf>
    <xf numFmtId="0" fontId="11" fillId="0" borderId="27" xfId="2" applyFont="1" applyFill="1" applyBorder="1" applyAlignment="1">
      <alignment horizontal="center" vertical="center" wrapText="1"/>
    </xf>
    <xf numFmtId="3" fontId="11" fillId="0" borderId="0" xfId="2" applyNumberFormat="1" applyFont="1" applyFill="1" applyBorder="1" applyAlignment="1">
      <alignment horizontal="center" vertical="center" wrapText="1"/>
    </xf>
    <xf numFmtId="3" fontId="11" fillId="0" borderId="14" xfId="2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1" fillId="0" borderId="14" xfId="2" applyFont="1" applyFill="1" applyBorder="1" applyAlignment="1">
      <alignment horizontal="center" vertical="center" wrapText="1"/>
    </xf>
    <xf numFmtId="0" fontId="11" fillId="0" borderId="51" xfId="2" applyFont="1" applyFill="1" applyBorder="1" applyAlignment="1">
      <alignment horizontal="center" vertical="center"/>
    </xf>
    <xf numFmtId="0" fontId="11" fillId="0" borderId="48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3" fontId="16" fillId="0" borderId="13" xfId="2" applyNumberFormat="1" applyFont="1" applyBorder="1" applyAlignment="1">
      <alignment horizontal="center" vertical="center" wrapText="1"/>
    </xf>
    <xf numFmtId="3" fontId="16" fillId="0" borderId="26" xfId="2" applyNumberFormat="1" applyFont="1" applyBorder="1" applyAlignment="1">
      <alignment horizontal="center" vertical="center" wrapText="1"/>
    </xf>
    <xf numFmtId="0" fontId="16" fillId="0" borderId="13" xfId="2" applyFont="1" applyBorder="1" applyAlignment="1">
      <alignment horizontal="center" vertical="center"/>
    </xf>
    <xf numFmtId="0" fontId="16" fillId="0" borderId="25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 textRotation="90"/>
    </xf>
    <xf numFmtId="0" fontId="16" fillId="0" borderId="26" xfId="2" applyFont="1" applyBorder="1" applyAlignment="1">
      <alignment horizontal="center" vertical="center" textRotation="90"/>
    </xf>
    <xf numFmtId="0" fontId="16" fillId="0" borderId="41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3" fontId="10" fillId="0" borderId="40" xfId="2" applyNumberFormat="1" applyFont="1" applyBorder="1" applyAlignment="1">
      <alignment horizontal="center" vertical="center"/>
    </xf>
    <xf numFmtId="3" fontId="16" fillId="2" borderId="13" xfId="2" applyNumberFormat="1" applyFont="1" applyFill="1" applyBorder="1" applyAlignment="1">
      <alignment horizontal="center" vertical="center" wrapText="1"/>
    </xf>
    <xf numFmtId="3" fontId="16" fillId="2" borderId="26" xfId="2" applyNumberFormat="1" applyFont="1" applyFill="1" applyBorder="1" applyAlignment="1">
      <alignment horizontal="center" vertical="center" wrapText="1"/>
    </xf>
    <xf numFmtId="0" fontId="10" fillId="2" borderId="14" xfId="2" applyFont="1" applyFill="1" applyBorder="1" applyAlignment="1">
      <alignment horizontal="left" vertical="center"/>
    </xf>
    <xf numFmtId="0" fontId="17" fillId="0" borderId="14" xfId="2" applyFont="1" applyBorder="1" applyAlignment="1">
      <alignment horizontal="center" vertical="center"/>
    </xf>
    <xf numFmtId="0" fontId="10" fillId="2" borderId="24" xfId="2" applyFont="1" applyFill="1" applyBorder="1" applyAlignment="1">
      <alignment horizontal="center" vertical="center"/>
    </xf>
    <xf numFmtId="0" fontId="10" fillId="2" borderId="27" xfId="2" applyFont="1" applyFill="1" applyBorder="1" applyAlignment="1">
      <alignment horizontal="center" vertical="center"/>
    </xf>
    <xf numFmtId="0" fontId="17" fillId="3" borderId="13" xfId="2" applyFont="1" applyFill="1" applyBorder="1" applyAlignment="1">
      <alignment horizontal="center" vertical="center"/>
    </xf>
    <xf numFmtId="0" fontId="17" fillId="3" borderId="25" xfId="2" applyFont="1" applyFill="1" applyBorder="1" applyAlignment="1">
      <alignment horizontal="center" vertical="center"/>
    </xf>
    <xf numFmtId="0" fontId="17" fillId="3" borderId="26" xfId="2" applyFont="1" applyFill="1" applyBorder="1" applyAlignment="1">
      <alignment horizontal="center" vertical="center"/>
    </xf>
    <xf numFmtId="49" fontId="10" fillId="2" borderId="24" xfId="2" applyNumberFormat="1" applyFont="1" applyFill="1" applyBorder="1" applyAlignment="1">
      <alignment horizontal="center" vertical="center" wrapText="1"/>
    </xf>
    <xf numFmtId="49" fontId="10" fillId="2" borderId="27" xfId="2" applyNumberFormat="1" applyFont="1" applyFill="1" applyBorder="1" applyAlignment="1">
      <alignment horizontal="center" vertical="center" wrapText="1"/>
    </xf>
    <xf numFmtId="3" fontId="10" fillId="0" borderId="10" xfId="2" applyNumberFormat="1" applyFont="1" applyBorder="1" applyAlignment="1">
      <alignment horizontal="center" vertical="center"/>
    </xf>
    <xf numFmtId="3" fontId="10" fillId="0" borderId="16" xfId="2" applyNumberFormat="1" applyFont="1" applyBorder="1" applyAlignment="1">
      <alignment horizontal="center" vertical="center"/>
    </xf>
    <xf numFmtId="3" fontId="10" fillId="0" borderId="11" xfId="2" applyNumberFormat="1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1" fillId="0" borderId="0" xfId="2" applyFont="1" applyAlignment="1">
      <alignment horizontal="center" vertical="center"/>
    </xf>
    <xf numFmtId="0" fontId="20" fillId="0" borderId="0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top" wrapText="1"/>
    </xf>
    <xf numFmtId="0" fontId="20" fillId="0" borderId="0" xfId="2" applyFont="1" applyFill="1" applyAlignment="1">
      <alignment horizontal="center" vertical="center" wrapText="1"/>
    </xf>
    <xf numFmtId="3" fontId="18" fillId="4" borderId="21" xfId="2" applyNumberFormat="1" applyFont="1" applyFill="1" applyBorder="1" applyAlignment="1">
      <alignment horizontal="center" vertical="center"/>
    </xf>
    <xf numFmtId="3" fontId="18" fillId="4" borderId="22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top"/>
    </xf>
    <xf numFmtId="0" fontId="20" fillId="2" borderId="10" xfId="2" applyFont="1" applyFill="1" applyBorder="1" applyAlignment="1">
      <alignment horizontal="left" vertical="center"/>
    </xf>
    <xf numFmtId="0" fontId="20" fillId="2" borderId="16" xfId="2" applyFont="1" applyFill="1" applyBorder="1" applyAlignment="1">
      <alignment horizontal="left" vertical="center"/>
    </xf>
    <xf numFmtId="0" fontId="20" fillId="2" borderId="11" xfId="2" applyFont="1" applyFill="1" applyBorder="1" applyAlignment="1">
      <alignment horizontal="left" vertical="center"/>
    </xf>
    <xf numFmtId="0" fontId="20" fillId="0" borderId="0" xfId="2" applyFont="1" applyAlignment="1">
      <alignment horizontal="center" vertical="center" wrapText="1"/>
    </xf>
    <xf numFmtId="0" fontId="28" fillId="0" borderId="0" xfId="2" applyFont="1" applyAlignment="1">
      <alignment horizontal="center"/>
    </xf>
    <xf numFmtId="0" fontId="18" fillId="0" borderId="0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20" fillId="0" borderId="50" xfId="2" applyFont="1" applyBorder="1" applyAlignment="1">
      <alignment horizontal="center" vertical="center" wrapText="1"/>
    </xf>
    <xf numFmtId="0" fontId="20" fillId="0" borderId="40" xfId="2" applyFont="1" applyBorder="1" applyAlignment="1">
      <alignment horizontal="center" vertical="center" wrapText="1"/>
    </xf>
    <xf numFmtId="0" fontId="20" fillId="0" borderId="41" xfId="2" applyFont="1" applyBorder="1" applyAlignment="1">
      <alignment horizontal="center" vertical="center" wrapText="1"/>
    </xf>
    <xf numFmtId="0" fontId="20" fillId="0" borderId="24" xfId="2" applyFont="1" applyFill="1" applyBorder="1" applyAlignment="1">
      <alignment horizontal="center" vertical="center" wrapText="1"/>
    </xf>
    <xf numFmtId="0" fontId="20" fillId="0" borderId="33" xfId="2" applyFont="1" applyFill="1" applyBorder="1" applyAlignment="1">
      <alignment horizontal="center" vertical="center" wrapText="1"/>
    </xf>
    <xf numFmtId="0" fontId="20" fillId="0" borderId="27" xfId="2" applyFont="1" applyFill="1" applyBorder="1" applyAlignment="1">
      <alignment horizontal="center" vertical="center" wrapText="1"/>
    </xf>
    <xf numFmtId="0" fontId="20" fillId="0" borderId="38" xfId="2" applyFont="1" applyFill="1" applyBorder="1" applyAlignment="1">
      <alignment horizontal="center" vertical="center" wrapText="1"/>
    </xf>
    <xf numFmtId="0" fontId="20" fillId="0" borderId="3" xfId="2" applyFont="1" applyFill="1" applyBorder="1" applyAlignment="1">
      <alignment horizontal="center" vertical="center" wrapText="1"/>
    </xf>
    <xf numFmtId="0" fontId="20" fillId="0" borderId="10" xfId="2" applyFont="1" applyFill="1" applyBorder="1" applyAlignment="1">
      <alignment horizontal="center" vertical="center" wrapText="1"/>
    </xf>
    <xf numFmtId="0" fontId="20" fillId="0" borderId="9" xfId="2" applyFont="1" applyFill="1" applyBorder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0" fontId="20" fillId="0" borderId="24" xfId="2" applyFont="1" applyBorder="1" applyAlignment="1">
      <alignment horizontal="center" vertical="center" wrapText="1"/>
    </xf>
    <xf numFmtId="0" fontId="20" fillId="0" borderId="33" xfId="2" applyFont="1" applyBorder="1" applyAlignment="1">
      <alignment horizontal="center" vertical="center" wrapText="1"/>
    </xf>
    <xf numFmtId="0" fontId="20" fillId="0" borderId="39" xfId="2" applyFont="1" applyFill="1" applyBorder="1" applyAlignment="1">
      <alignment horizontal="center" vertical="center" wrapText="1"/>
    </xf>
    <xf numFmtId="0" fontId="20" fillId="0" borderId="58" xfId="2" applyFont="1" applyFill="1" applyBorder="1" applyAlignment="1">
      <alignment horizontal="center" vertical="center" wrapText="1"/>
    </xf>
    <xf numFmtId="0" fontId="20" fillId="0" borderId="39" xfId="2" applyFont="1" applyBorder="1" applyAlignment="1">
      <alignment horizontal="center" vertical="center" wrapText="1"/>
    </xf>
    <xf numFmtId="0" fontId="20" fillId="0" borderId="27" xfId="2" applyFont="1" applyBorder="1" applyAlignment="1">
      <alignment horizontal="center" vertical="center" wrapText="1"/>
    </xf>
    <xf numFmtId="0" fontId="28" fillId="0" borderId="0" xfId="2" applyFont="1" applyAlignment="1">
      <alignment horizontal="center" vertical="center" wrapText="1"/>
    </xf>
    <xf numFmtId="0" fontId="33" fillId="0" borderId="0" xfId="2" applyFont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4" fillId="0" borderId="0" xfId="2" applyFont="1" applyFill="1" applyBorder="1" applyAlignment="1">
      <alignment horizontal="center" vertical="center"/>
    </xf>
    <xf numFmtId="0" fontId="20" fillId="3" borderId="0" xfId="2" applyFont="1" applyFill="1" applyAlignment="1">
      <alignment horizontal="center"/>
    </xf>
    <xf numFmtId="0" fontId="36" fillId="0" borderId="0" xfId="2" applyFont="1" applyAlignment="1">
      <alignment horizontal="center" vertical="center" wrapText="1"/>
    </xf>
    <xf numFmtId="0" fontId="51" fillId="0" borderId="0" xfId="0" applyFont="1" applyAlignment="1">
      <alignment horizontal="center" wrapText="1"/>
    </xf>
    <xf numFmtId="0" fontId="57" fillId="0" borderId="38" xfId="0" applyFont="1" applyBorder="1" applyAlignment="1">
      <alignment horizontal="center" vertical="center"/>
    </xf>
    <xf numFmtId="0" fontId="57" fillId="0" borderId="57" xfId="0" applyFont="1" applyBorder="1" applyAlignment="1">
      <alignment horizontal="center" vertical="center"/>
    </xf>
    <xf numFmtId="0" fontId="57" fillId="0" borderId="29" xfId="0" applyFont="1" applyBorder="1" applyAlignment="1">
      <alignment horizontal="center" vertical="center"/>
    </xf>
    <xf numFmtId="0" fontId="8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7" fillId="0" borderId="10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83" fillId="0" borderId="0" xfId="2" applyFont="1" applyAlignment="1">
      <alignment horizontal="center" wrapText="1"/>
    </xf>
    <xf numFmtId="0" fontId="85" fillId="0" borderId="13" xfId="2" applyFont="1" applyBorder="1" applyAlignment="1">
      <alignment horizontal="center" vertical="center"/>
    </xf>
    <xf numFmtId="0" fontId="85" fillId="0" borderId="26" xfId="2" applyFont="1" applyBorder="1" applyAlignment="1">
      <alignment horizontal="center" vertical="center"/>
    </xf>
    <xf numFmtId="0" fontId="86" fillId="0" borderId="13" xfId="2" applyFont="1" applyBorder="1" applyAlignment="1">
      <alignment horizontal="center" vertical="center"/>
    </xf>
    <xf numFmtId="0" fontId="86" fillId="0" borderId="26" xfId="2" applyFont="1" applyBorder="1" applyAlignment="1">
      <alignment horizontal="center" vertical="center"/>
    </xf>
    <xf numFmtId="166" fontId="86" fillId="0" borderId="24" xfId="1" applyNumberFormat="1" applyFont="1" applyBorder="1" applyAlignment="1">
      <alignment horizontal="center" vertical="center"/>
    </xf>
    <xf numFmtId="166" fontId="86" fillId="0" borderId="33" xfId="1" applyNumberFormat="1" applyFont="1" applyBorder="1" applyAlignment="1">
      <alignment horizontal="center" vertical="center"/>
    </xf>
    <xf numFmtId="166" fontId="86" fillId="0" borderId="58" xfId="1" applyNumberFormat="1" applyFont="1" applyBorder="1" applyAlignment="1">
      <alignment horizontal="center" vertical="center"/>
    </xf>
    <xf numFmtId="0" fontId="92" fillId="0" borderId="0" xfId="2" applyFont="1" applyFill="1" applyAlignment="1">
      <alignment horizontal="center" vertical="top" wrapText="1"/>
    </xf>
    <xf numFmtId="0" fontId="1" fillId="0" borderId="0" xfId="2" applyFill="1"/>
    <xf numFmtId="0" fontId="92" fillId="0" borderId="9" xfId="2" applyFont="1" applyFill="1" applyBorder="1" applyAlignment="1">
      <alignment horizontal="center" vertical="center" wrapText="1"/>
    </xf>
    <xf numFmtId="0" fontId="1" fillId="0" borderId="9" xfId="2" applyFill="1" applyBorder="1" applyAlignment="1">
      <alignment vertical="center"/>
    </xf>
    <xf numFmtId="0" fontId="92" fillId="0" borderId="9" xfId="2" applyFont="1" applyFill="1" applyBorder="1" applyAlignment="1">
      <alignment horizontal="center" vertical="top" wrapText="1"/>
    </xf>
    <xf numFmtId="0" fontId="1" fillId="0" borderId="9" xfId="2" applyFill="1" applyBorder="1"/>
  </cellXfs>
  <cellStyles count="5">
    <cellStyle name="Ezres" xfId="1" builtinId="3"/>
    <cellStyle name="Normál" xfId="0" builtinId="0"/>
    <cellStyle name="Normál 2" xfId="2"/>
    <cellStyle name="Százalék" xfId="3" builtinId="5"/>
    <cellStyle name="Százalék 2" xfId="4"/>
  </cellStyles>
  <dxfs count="0"/>
  <tableStyles count="0" defaultTableStyle="TableStyleMedium2" defaultPivotStyle="PivotStyleLight16"/>
  <colors>
    <mruColors>
      <color rgb="FFFF33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01/Desktop/R&#233;gi%20asztal/Timi%20anyagai/2019/K&#246;lts&#233;gvet&#233;s%202019.%20V&#193;ROS/2019.%20&#233;vi%20kv.rendm&#243;d_mell&#233;kletei%20k&#233;pletezet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ímrend"/>
      <sheetName val="2.sz.mell."/>
      <sheetName val="3.sz.mell."/>
      <sheetName val="4.sz.mell."/>
      <sheetName val="5.a sz.mell."/>
      <sheetName val="5 b.sz.mell."/>
      <sheetName val="6.sz.mell."/>
      <sheetName val="7.sz.mell."/>
      <sheetName val="8.sz.mell."/>
      <sheetName val="9.sz.mell."/>
      <sheetName val="10.sz.mell."/>
      <sheetName val="11.sz.mell."/>
      <sheetName val="12.sz.mell."/>
      <sheetName val="13.sz.mell"/>
      <sheetName val="14.sz.mell."/>
      <sheetName val="15. sz.mell."/>
      <sheetName val="16.sz.mell."/>
      <sheetName val="17.sz.m"/>
      <sheetName val="18.sz.m."/>
      <sheetName val="19.sz.m."/>
      <sheetName val="20.sz.mel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B10">
            <v>1908000</v>
          </cell>
          <cell r="C10">
            <v>1900000</v>
          </cell>
          <cell r="D10">
            <v>1850000</v>
          </cell>
          <cell r="E10">
            <v>1800000</v>
          </cell>
          <cell r="F10">
            <v>1750000</v>
          </cell>
        </row>
      </sheetData>
      <sheetData sheetId="14">
        <row r="13">
          <cell r="C13">
            <v>749867</v>
          </cell>
          <cell r="D13">
            <v>749866.00000000012</v>
          </cell>
          <cell r="E13">
            <v>62489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V545"/>
  <sheetViews>
    <sheetView zoomScale="130" zoomScaleNormal="130" workbookViewId="0">
      <selection activeCell="D2" sqref="D2"/>
    </sheetView>
  </sheetViews>
  <sheetFormatPr defaultColWidth="8.85546875" defaultRowHeight="15"/>
  <cols>
    <col min="1" max="1" width="9" style="90" customWidth="1"/>
    <col min="2" max="2" width="67" style="149" customWidth="1"/>
    <col min="3" max="3" width="24.7109375" style="156" customWidth="1"/>
    <col min="4" max="4" width="34.5703125" style="156" customWidth="1"/>
    <col min="5" max="5" width="30.85546875" style="156" customWidth="1"/>
    <col min="6" max="6" width="17.28515625" style="36" customWidth="1"/>
    <col min="7" max="7" width="12.85546875" style="36" customWidth="1"/>
    <col min="8" max="8" width="17.42578125" style="36" bestFit="1" customWidth="1"/>
    <col min="9" max="9" width="12.7109375" style="36" bestFit="1" customWidth="1"/>
    <col min="10" max="11" width="8.85546875" style="36"/>
    <col min="12" max="12" width="20.42578125" style="36" customWidth="1"/>
    <col min="13" max="16384" width="8.85546875" style="36"/>
  </cols>
  <sheetData>
    <row r="1" spans="1:10" ht="23.25" customHeight="1">
      <c r="A1" s="637" t="s">
        <v>945</v>
      </c>
      <c r="B1" s="637"/>
      <c r="C1" s="637"/>
      <c r="D1" s="478"/>
      <c r="E1" s="552"/>
      <c r="F1" s="202"/>
      <c r="G1" s="202"/>
      <c r="H1" s="202"/>
      <c r="I1" s="148"/>
    </row>
    <row r="2" spans="1:10" ht="42" customHeight="1">
      <c r="A2" s="636" t="s">
        <v>421</v>
      </c>
      <c r="B2" s="636"/>
      <c r="C2" s="636"/>
      <c r="D2" s="477"/>
      <c r="E2" s="551"/>
      <c r="F2" s="150"/>
      <c r="G2" s="150"/>
      <c r="H2" s="150"/>
      <c r="I2" s="176"/>
      <c r="J2" s="150"/>
    </row>
    <row r="3" spans="1:10" ht="16.5" thickBot="1">
      <c r="B3" s="421"/>
      <c r="D3" s="422" t="s">
        <v>258</v>
      </c>
      <c r="E3" s="422"/>
      <c r="F3" s="177"/>
    </row>
    <row r="4" spans="1:10" ht="33" customHeight="1">
      <c r="B4" s="240" t="s">
        <v>136</v>
      </c>
      <c r="C4" s="152" t="s">
        <v>423</v>
      </c>
      <c r="D4" s="152" t="s">
        <v>489</v>
      </c>
      <c r="E4" s="152" t="s">
        <v>623</v>
      </c>
      <c r="F4" s="36" t="s">
        <v>439</v>
      </c>
    </row>
    <row r="5" spans="1:10">
      <c r="B5" s="174" t="s">
        <v>316</v>
      </c>
      <c r="C5" s="269">
        <v>70119800</v>
      </c>
      <c r="D5" s="540">
        <v>70119800</v>
      </c>
      <c r="E5" s="540">
        <v>70119800</v>
      </c>
      <c r="F5" s="638">
        <v>118733829</v>
      </c>
      <c r="G5" s="641">
        <f>+D5+D8+D9+D10+D11+D12+D13+D14+D30+D6+D7</f>
        <v>121761728</v>
      </c>
    </row>
    <row r="6" spans="1:10">
      <c r="B6" s="174" t="s">
        <v>560</v>
      </c>
      <c r="C6" s="269">
        <v>0</v>
      </c>
      <c r="D6" s="540">
        <v>2851000</v>
      </c>
      <c r="E6" s="540">
        <v>2851000</v>
      </c>
      <c r="F6" s="638"/>
      <c r="G6" s="641"/>
    </row>
    <row r="7" spans="1:10">
      <c r="B7" s="174" t="s">
        <v>561</v>
      </c>
      <c r="C7" s="269">
        <v>0</v>
      </c>
      <c r="D7" s="540">
        <v>176899</v>
      </c>
      <c r="E7" s="540">
        <v>176899</v>
      </c>
      <c r="F7" s="638"/>
      <c r="G7" s="641"/>
    </row>
    <row r="8" spans="1:10">
      <c r="B8" s="179" t="s">
        <v>318</v>
      </c>
      <c r="C8" s="263">
        <v>9024810</v>
      </c>
      <c r="D8" s="537">
        <v>9024810</v>
      </c>
      <c r="E8" s="537">
        <v>9024810</v>
      </c>
      <c r="F8" s="638"/>
      <c r="G8" s="642"/>
    </row>
    <row r="9" spans="1:10">
      <c r="B9" s="179" t="s">
        <v>319</v>
      </c>
      <c r="C9" s="263">
        <v>6400000</v>
      </c>
      <c r="D9" s="537">
        <v>6400000</v>
      </c>
      <c r="E9" s="537">
        <v>6400000</v>
      </c>
      <c r="F9" s="638"/>
      <c r="G9" s="642"/>
    </row>
    <row r="10" spans="1:10">
      <c r="B10" s="179" t="s">
        <v>320</v>
      </c>
      <c r="C10" s="263">
        <v>522123</v>
      </c>
      <c r="D10" s="537">
        <v>522123</v>
      </c>
      <c r="E10" s="537">
        <v>522123</v>
      </c>
      <c r="F10" s="638"/>
      <c r="G10" s="642"/>
    </row>
    <row r="11" spans="1:10">
      <c r="B11" s="179" t="s">
        <v>321</v>
      </c>
      <c r="C11" s="263">
        <v>5343580</v>
      </c>
      <c r="D11" s="537">
        <v>5343580</v>
      </c>
      <c r="E11" s="537">
        <v>5343580</v>
      </c>
      <c r="F11" s="638"/>
      <c r="G11" s="642"/>
    </row>
    <row r="12" spans="1:10">
      <c r="B12" s="179" t="s">
        <v>322</v>
      </c>
      <c r="C12" s="263">
        <v>6615000</v>
      </c>
      <c r="D12" s="537">
        <v>6615000</v>
      </c>
      <c r="E12" s="537">
        <v>6615000</v>
      </c>
      <c r="F12" s="638"/>
      <c r="G12" s="642"/>
    </row>
    <row r="13" spans="1:10">
      <c r="B13" s="179" t="s">
        <v>323</v>
      </c>
      <c r="C13" s="263">
        <v>19659616</v>
      </c>
      <c r="D13" s="537">
        <v>19659616</v>
      </c>
      <c r="E13" s="537">
        <v>19659616</v>
      </c>
      <c r="F13" s="638"/>
      <c r="G13" s="642"/>
    </row>
    <row r="14" spans="1:10">
      <c r="B14" s="179" t="s">
        <v>324</v>
      </c>
      <c r="C14" s="263">
        <v>972400</v>
      </c>
      <c r="D14" s="537">
        <v>972400</v>
      </c>
      <c r="E14" s="537">
        <v>972400</v>
      </c>
      <c r="F14" s="638"/>
      <c r="G14" s="642"/>
    </row>
    <row r="15" spans="1:10">
      <c r="B15" s="179" t="s">
        <v>317</v>
      </c>
      <c r="C15" s="263">
        <v>68553383</v>
      </c>
      <c r="D15" s="537">
        <v>67451817</v>
      </c>
      <c r="E15" s="537">
        <v>67451817</v>
      </c>
    </row>
    <row r="16" spans="1:10">
      <c r="B16" s="174" t="s">
        <v>567</v>
      </c>
      <c r="C16" s="263">
        <v>0</v>
      </c>
      <c r="D16" s="537">
        <v>975000</v>
      </c>
      <c r="E16" s="537">
        <v>975000</v>
      </c>
    </row>
    <row r="17" spans="2:7">
      <c r="B17" s="179" t="s">
        <v>326</v>
      </c>
      <c r="C17" s="263">
        <v>18536765</v>
      </c>
      <c r="D17" s="537">
        <v>18536765</v>
      </c>
      <c r="E17" s="537">
        <v>18536765</v>
      </c>
      <c r="F17" s="645">
        <f>+C17+C18+C19+C20+C21+C22+C23+C25+C24</f>
        <v>94633798</v>
      </c>
      <c r="G17" s="643">
        <f>+D17+D18+D19+D20+D21+D22+D23+D25+D24</f>
        <v>95227766</v>
      </c>
    </row>
    <row r="18" spans="2:7">
      <c r="B18" s="179" t="s">
        <v>327</v>
      </c>
      <c r="C18" s="263">
        <f>3400000+4705600+150000+5280000+1853000</f>
        <v>15388600</v>
      </c>
      <c r="D18" s="537">
        <f>3400000+1962000+6930000+200000+4594880</f>
        <v>17086880</v>
      </c>
      <c r="E18" s="537">
        <f>3400000+1962000+6930000+200000+4594880</f>
        <v>17086880</v>
      </c>
      <c r="F18" s="646"/>
      <c r="G18" s="644"/>
    </row>
    <row r="19" spans="2:7">
      <c r="B19" s="179" t="s">
        <v>328</v>
      </c>
      <c r="C19" s="263">
        <v>18506000</v>
      </c>
      <c r="D19" s="537">
        <v>17423000</v>
      </c>
      <c r="E19" s="537">
        <v>17423000</v>
      </c>
      <c r="F19" s="646"/>
      <c r="G19" s="644"/>
    </row>
    <row r="20" spans="2:7">
      <c r="B20" s="179" t="s">
        <v>329</v>
      </c>
      <c r="C20" s="263">
        <v>32507193</v>
      </c>
      <c r="D20" s="537">
        <v>25956433</v>
      </c>
      <c r="E20" s="537">
        <v>25956433</v>
      </c>
      <c r="F20" s="646"/>
      <c r="G20" s="644"/>
    </row>
    <row r="21" spans="2:7">
      <c r="B21" s="179" t="s">
        <v>330</v>
      </c>
      <c r="C21" s="263">
        <v>1072740</v>
      </c>
      <c r="D21" s="537">
        <v>1076160</v>
      </c>
      <c r="E21" s="537">
        <v>1076160</v>
      </c>
      <c r="F21" s="646"/>
      <c r="G21" s="644"/>
    </row>
    <row r="22" spans="2:7">
      <c r="B22" s="179" t="s">
        <v>528</v>
      </c>
      <c r="C22" s="263">
        <v>7482500</v>
      </c>
      <c r="D22" s="537">
        <v>7482500</v>
      </c>
      <c r="E22" s="537">
        <v>7482500</v>
      </c>
      <c r="F22" s="646"/>
      <c r="G22" s="644"/>
    </row>
    <row r="23" spans="2:7">
      <c r="B23" s="179" t="s">
        <v>529</v>
      </c>
      <c r="C23" s="263">
        <v>1140000</v>
      </c>
      <c r="D23" s="537">
        <v>1192870</v>
      </c>
      <c r="E23" s="537">
        <v>1192870</v>
      </c>
      <c r="F23" s="646"/>
      <c r="G23" s="644"/>
    </row>
    <row r="24" spans="2:7">
      <c r="B24" s="174" t="s">
        <v>562</v>
      </c>
      <c r="C24" s="263">
        <v>0</v>
      </c>
      <c r="D24" s="537">
        <v>1918158</v>
      </c>
      <c r="E24" s="537">
        <v>1918158</v>
      </c>
      <c r="F24" s="646"/>
      <c r="G24" s="644"/>
    </row>
    <row r="25" spans="2:7">
      <c r="B25" s="174" t="s">
        <v>578</v>
      </c>
      <c r="C25" s="263">
        <v>0</v>
      </c>
      <c r="D25" s="537">
        <v>4555000</v>
      </c>
      <c r="E25" s="537">
        <v>4555000</v>
      </c>
      <c r="F25" s="646"/>
      <c r="G25" s="644"/>
    </row>
    <row r="26" spans="2:7">
      <c r="B26" s="179" t="s">
        <v>331</v>
      </c>
      <c r="C26" s="263">
        <v>2964500</v>
      </c>
      <c r="D26" s="537">
        <v>2964500</v>
      </c>
      <c r="E26" s="537">
        <v>2964500</v>
      </c>
    </row>
    <row r="27" spans="2:7">
      <c r="B27" s="174" t="s">
        <v>563</v>
      </c>
      <c r="C27" s="263">
        <v>0</v>
      </c>
      <c r="D27" s="537">
        <v>398000</v>
      </c>
      <c r="E27" s="537">
        <v>398000</v>
      </c>
    </row>
    <row r="28" spans="2:7">
      <c r="B28" s="174" t="s">
        <v>564</v>
      </c>
      <c r="C28" s="263">
        <v>0</v>
      </c>
      <c r="D28" s="537">
        <v>100000</v>
      </c>
      <c r="E28" s="537">
        <v>100000</v>
      </c>
    </row>
    <row r="29" spans="2:7">
      <c r="B29" s="174" t="s">
        <v>565</v>
      </c>
      <c r="C29" s="263">
        <v>0</v>
      </c>
      <c r="D29" s="537">
        <v>751869</v>
      </c>
      <c r="E29" s="537">
        <v>751869</v>
      </c>
    </row>
    <row r="30" spans="2:7">
      <c r="B30" s="179" t="s">
        <v>325</v>
      </c>
      <c r="C30" s="263">
        <v>76500</v>
      </c>
      <c r="D30" s="537">
        <v>76500</v>
      </c>
      <c r="E30" s="537">
        <v>76500</v>
      </c>
      <c r="F30" s="430"/>
    </row>
    <row r="31" spans="2:7">
      <c r="B31" s="179" t="s">
        <v>371</v>
      </c>
      <c r="C31" s="263">
        <v>0</v>
      </c>
      <c r="D31" s="537">
        <v>992732</v>
      </c>
      <c r="E31" s="537">
        <v>992732</v>
      </c>
    </row>
    <row r="32" spans="2:7">
      <c r="B32" s="178" t="s">
        <v>534</v>
      </c>
      <c r="C32" s="511">
        <v>0</v>
      </c>
      <c r="D32" s="541">
        <v>12248000</v>
      </c>
      <c r="E32" s="541">
        <v>12248000</v>
      </c>
    </row>
    <row r="33" spans="2:9">
      <c r="B33" s="178" t="s">
        <v>535</v>
      </c>
      <c r="C33" s="511">
        <v>0</v>
      </c>
      <c r="D33" s="541">
        <v>4279265</v>
      </c>
      <c r="E33" s="541">
        <v>4279265</v>
      </c>
    </row>
    <row r="34" spans="2:9">
      <c r="B34" s="178" t="s">
        <v>536</v>
      </c>
      <c r="C34" s="511">
        <v>0</v>
      </c>
      <c r="D34" s="541">
        <v>8932904</v>
      </c>
      <c r="E34" s="541">
        <v>8932904</v>
      </c>
      <c r="H34" s="488"/>
    </row>
    <row r="35" spans="2:9">
      <c r="B35" s="178" t="s">
        <v>568</v>
      </c>
      <c r="C35" s="511">
        <v>0</v>
      </c>
      <c r="D35" s="541">
        <v>4000000</v>
      </c>
      <c r="E35" s="541">
        <v>4000000</v>
      </c>
      <c r="H35" s="124"/>
    </row>
    <row r="36" spans="2:9">
      <c r="B36" s="178" t="s">
        <v>566</v>
      </c>
      <c r="C36" s="258">
        <f>+'4 b.sz.mell.'!G8</f>
        <v>10665000</v>
      </c>
      <c r="D36" s="541">
        <v>10665000</v>
      </c>
      <c r="E36" s="541">
        <v>0</v>
      </c>
      <c r="H36" s="124"/>
      <c r="I36" s="124"/>
    </row>
    <row r="37" spans="2:9" ht="15.75" thickBot="1">
      <c r="B37" s="178" t="s">
        <v>533</v>
      </c>
      <c r="C37" s="258">
        <f>+'4 b.sz.mell.'!G6</f>
        <v>17986559</v>
      </c>
      <c r="D37" s="541">
        <v>17986559</v>
      </c>
      <c r="E37" s="541">
        <v>0</v>
      </c>
      <c r="H37" s="124"/>
    </row>
    <row r="38" spans="2:9" ht="19.899999999999999" customHeight="1" thickBot="1">
      <c r="B38" s="241" t="s">
        <v>137</v>
      </c>
      <c r="C38" s="256">
        <f>SUM(C5:C37)</f>
        <v>313537069</v>
      </c>
      <c r="D38" s="256">
        <f>SUM(D5:D37)</f>
        <v>348735140</v>
      </c>
      <c r="E38" s="256">
        <f>SUM(E5:E37)</f>
        <v>320083581</v>
      </c>
      <c r="F38" s="124">
        <f>+'4 b.sz.mell.'!H36+D36+D37</f>
        <v>348735140</v>
      </c>
      <c r="G38" s="124">
        <f>+D38-F38</f>
        <v>0</v>
      </c>
      <c r="H38" s="124">
        <f>+'4 b.sz.mell.'!G38</f>
        <v>335764084</v>
      </c>
    </row>
    <row r="39" spans="2:9">
      <c r="B39" s="154" t="s">
        <v>380</v>
      </c>
      <c r="C39" s="257">
        <f>+'4 b.sz.mell.'!G25</f>
        <v>14981900</v>
      </c>
      <c r="D39" s="542">
        <f>+'4 b.sz.mell.'!H25</f>
        <v>16629400</v>
      </c>
      <c r="E39" s="542">
        <f>+'4 b.sz.mell.'!I25</f>
        <v>16069400</v>
      </c>
      <c r="F39" s="124"/>
    </row>
    <row r="40" spans="2:9">
      <c r="B40" s="179" t="s">
        <v>381</v>
      </c>
      <c r="C40" s="255">
        <f>+'4 b.sz.mell.'!G12+'4 b.sz.mell.'!G11+'4 b.sz.mell.'!G10+'4 b.sz.mell.'!G13</f>
        <v>0</v>
      </c>
      <c r="D40" s="537">
        <f>+'4 b.sz.mell.'!H12+'4 b.sz.mell.'!H11+'4 b.sz.mell.'!H10+'4 b.sz.mell.'!H13</f>
        <v>35866132</v>
      </c>
      <c r="E40" s="537">
        <f>+'4 b.sz.mell.'!I11+'4 b.sz.mell.'!I12+'4 b.sz.mell.'!I13</f>
        <v>35170955</v>
      </c>
      <c r="G40" s="36">
        <v>339511437</v>
      </c>
    </row>
    <row r="41" spans="2:9">
      <c r="B41" s="179" t="s">
        <v>382</v>
      </c>
      <c r="C41" s="255">
        <f>+'4 b.sz.mell.'!G28</f>
        <v>6245115</v>
      </c>
      <c r="D41" s="537">
        <f>+'4 b.sz.mell.'!H28</f>
        <v>7411115</v>
      </c>
      <c r="E41" s="537">
        <f>+'4 b.sz.mell.'!I28</f>
        <v>7411115</v>
      </c>
      <c r="G41" s="124"/>
    </row>
    <row r="42" spans="2:9">
      <c r="B42" s="179" t="s">
        <v>386</v>
      </c>
      <c r="C42" s="255">
        <f>+'4 b.sz.mell.'!G41</f>
        <v>947353</v>
      </c>
      <c r="D42" s="537">
        <f>+'4 b.sz.mell.'!H39</f>
        <v>947353</v>
      </c>
      <c r="E42" s="537">
        <f>+'4 b.sz.mell.'!I39</f>
        <v>947353</v>
      </c>
      <c r="H42" s="634">
        <f>+'4 b.sz.mell.'!H62</f>
        <v>433172823</v>
      </c>
    </row>
    <row r="43" spans="2:9">
      <c r="B43" s="178" t="s">
        <v>383</v>
      </c>
      <c r="C43" s="258">
        <f>+'4 b.sz.mell.'!G29</f>
        <v>1000000</v>
      </c>
      <c r="D43" s="541">
        <f>+'4 b.sz.mell.'!H29</f>
        <v>1000000</v>
      </c>
      <c r="E43" s="541">
        <f>+'4 b.sz.mell.'!I29</f>
        <v>0</v>
      </c>
      <c r="H43" s="635"/>
    </row>
    <row r="44" spans="2:9">
      <c r="B44" s="178" t="s">
        <v>387</v>
      </c>
      <c r="C44" s="258">
        <f>+'4 b.sz.mell.'!G50</f>
        <v>2800000</v>
      </c>
      <c r="D44" s="541">
        <f>+'4 b.sz.mell.'!H50</f>
        <v>2800000</v>
      </c>
      <c r="E44" s="541">
        <f>+'4 b.sz.mell.'!I50</f>
        <v>2800000</v>
      </c>
      <c r="H44" s="124">
        <f>+D38+D50</f>
        <v>433172823</v>
      </c>
    </row>
    <row r="45" spans="2:9">
      <c r="B45" s="178" t="s">
        <v>532</v>
      </c>
      <c r="C45" s="258">
        <f>+'4 b.sz.mell.'!G21</f>
        <v>0</v>
      </c>
      <c r="D45" s="541">
        <f>+'4 b.sz.mell.'!H21</f>
        <v>1309095</v>
      </c>
      <c r="E45" s="541">
        <f>+'4 b.sz.mell.'!I21</f>
        <v>1309095</v>
      </c>
      <c r="H45" s="124">
        <f>+H42-H44</f>
        <v>0</v>
      </c>
    </row>
    <row r="46" spans="2:9">
      <c r="B46" s="178" t="s">
        <v>530</v>
      </c>
      <c r="C46" s="258">
        <v>0</v>
      </c>
      <c r="D46" s="541">
        <f>+'4 b.sz.mell.'!H17</f>
        <v>7796297</v>
      </c>
      <c r="E46" s="541">
        <f>+'4 b.sz.mell.'!I17</f>
        <v>7796297</v>
      </c>
    </row>
    <row r="47" spans="2:9">
      <c r="B47" s="178" t="s">
        <v>569</v>
      </c>
      <c r="C47" s="258">
        <v>0</v>
      </c>
      <c r="D47" s="541">
        <f>+'4 b.sz.mell.'!H40</f>
        <v>6500451</v>
      </c>
      <c r="E47" s="541">
        <f>+'4 b.sz.mell.'!I40</f>
        <v>6500451</v>
      </c>
    </row>
    <row r="48" spans="2:9">
      <c r="B48" s="178" t="s">
        <v>531</v>
      </c>
      <c r="C48" s="258">
        <v>0</v>
      </c>
      <c r="D48" s="541">
        <f>+'4 b.sz.mell.'!H56</f>
        <v>4030222</v>
      </c>
      <c r="E48" s="541">
        <f>+'4 b.sz.mell.'!I56</f>
        <v>3040879</v>
      </c>
    </row>
    <row r="49" spans="2:22" ht="15.75" thickBot="1">
      <c r="B49" s="178" t="s">
        <v>579</v>
      </c>
      <c r="C49" s="258">
        <v>0</v>
      </c>
      <c r="D49" s="541">
        <v>147618</v>
      </c>
      <c r="E49" s="541">
        <v>147618</v>
      </c>
    </row>
    <row r="50" spans="2:22" ht="19.899999999999999" customHeight="1" thickBot="1">
      <c r="B50" s="241" t="s">
        <v>332</v>
      </c>
      <c r="C50" s="256">
        <f>SUM(C39:C49)</f>
        <v>25974368</v>
      </c>
      <c r="D50" s="256">
        <f>SUM(D39:D49)</f>
        <v>84437683</v>
      </c>
      <c r="E50" s="256">
        <f>SUM(E39:E49)</f>
        <v>81193163</v>
      </c>
      <c r="F50" s="124">
        <f>+'4 b.sz.mell.'!H62-'4 b.sz.mell.'!H36-'4 b.sz.mell.'!H6</f>
        <v>84290065</v>
      </c>
      <c r="G50" s="124">
        <f>+F50-D50</f>
        <v>-147618</v>
      </c>
      <c r="H50" s="124">
        <f>+'4 b.sz.mell.'!I62-'4 b.sz.mell.'!I36</f>
        <v>81193163</v>
      </c>
    </row>
    <row r="51" spans="2:22">
      <c r="B51" s="179" t="s">
        <v>333</v>
      </c>
      <c r="C51" s="255">
        <v>7700000</v>
      </c>
      <c r="D51" s="537">
        <v>7700000</v>
      </c>
      <c r="E51" s="537">
        <v>7645347</v>
      </c>
      <c r="F51" s="388"/>
    </row>
    <row r="52" spans="2:22">
      <c r="B52" s="179" t="s">
        <v>334</v>
      </c>
      <c r="C52" s="255">
        <v>41500000</v>
      </c>
      <c r="D52" s="537">
        <v>41500000</v>
      </c>
      <c r="E52" s="537">
        <v>62348467</v>
      </c>
      <c r="F52" s="153"/>
    </row>
    <row r="53" spans="2:22">
      <c r="B53" s="179" t="s">
        <v>336</v>
      </c>
      <c r="C53" s="255">
        <v>100000</v>
      </c>
      <c r="D53" s="537">
        <v>100000</v>
      </c>
      <c r="E53" s="537">
        <f>293371+72246</f>
        <v>365617</v>
      </c>
      <c r="F53" s="153"/>
    </row>
    <row r="54" spans="2:22">
      <c r="B54" s="179" t="s">
        <v>337</v>
      </c>
      <c r="C54" s="255">
        <v>500000</v>
      </c>
      <c r="D54" s="537">
        <v>500000</v>
      </c>
      <c r="E54" s="537">
        <v>2240645</v>
      </c>
      <c r="F54" s="153"/>
      <c r="V54" s="36">
        <v>1498906</v>
      </c>
    </row>
    <row r="55" spans="2:22">
      <c r="B55" s="179" t="s">
        <v>335</v>
      </c>
      <c r="C55" s="255">
        <v>6000000</v>
      </c>
      <c r="D55" s="537">
        <v>6000000</v>
      </c>
      <c r="E55" s="537">
        <v>6275173</v>
      </c>
      <c r="F55" s="153"/>
      <c r="L55" s="36">
        <v>108328</v>
      </c>
    </row>
    <row r="56" spans="2:22" ht="15.75" thickBot="1">
      <c r="B56" s="178" t="s">
        <v>338</v>
      </c>
      <c r="C56" s="258">
        <v>3470000</v>
      </c>
      <c r="D56" s="541">
        <v>3470000</v>
      </c>
      <c r="E56" s="541">
        <v>3145478</v>
      </c>
      <c r="F56" s="153"/>
    </row>
    <row r="57" spans="2:22" ht="19.899999999999999" customHeight="1" thickBot="1">
      <c r="B57" s="241" t="s">
        <v>138</v>
      </c>
      <c r="C57" s="256">
        <f>SUM(C51:C56)</f>
        <v>59270000</v>
      </c>
      <c r="D57" s="256">
        <f>SUM(D51:D56)</f>
        <v>59270000</v>
      </c>
      <c r="E57" s="256">
        <f>SUM(E51:E56)</f>
        <v>82020727</v>
      </c>
      <c r="F57" s="387">
        <f>+'4 b.sz.mell.'!AB62</f>
        <v>59270000</v>
      </c>
      <c r="G57" s="124">
        <f>+'4 b.sz.mell.'!AC62</f>
        <v>59270000</v>
      </c>
      <c r="H57" s="124">
        <f>+'4 b.sz.mell.'!AD38</f>
        <v>82020727</v>
      </c>
    </row>
    <row r="58" spans="2:22">
      <c r="B58" s="179" t="s">
        <v>339</v>
      </c>
      <c r="C58" s="255">
        <v>2400000</v>
      </c>
      <c r="D58" s="255">
        <v>1889764</v>
      </c>
      <c r="E58" s="255">
        <v>2079356</v>
      </c>
      <c r="F58" s="153"/>
    </row>
    <row r="59" spans="2:22">
      <c r="B59" s="179" t="s">
        <v>537</v>
      </c>
      <c r="C59" s="255">
        <f>1600000+200000+700000+1100000+1800000+800000+5000+130000+6800000</f>
        <v>13135000</v>
      </c>
      <c r="D59" s="255">
        <v>11275000</v>
      </c>
      <c r="E59" s="255">
        <v>9976577</v>
      </c>
      <c r="F59" s="153"/>
    </row>
    <row r="60" spans="2:22">
      <c r="B60" s="179" t="s">
        <v>342</v>
      </c>
      <c r="C60" s="255">
        <v>14000000</v>
      </c>
      <c r="D60" s="255">
        <v>14000000</v>
      </c>
      <c r="E60" s="255">
        <v>17244231</v>
      </c>
      <c r="F60" s="153"/>
    </row>
    <row r="61" spans="2:22">
      <c r="B61" s="179" t="s">
        <v>346</v>
      </c>
      <c r="C61" s="255">
        <v>780000</v>
      </c>
      <c r="D61" s="255">
        <f>950000-140000</f>
        <v>810000</v>
      </c>
      <c r="E61" s="255">
        <v>4344375</v>
      </c>
      <c r="F61" s="153"/>
    </row>
    <row r="62" spans="2:22">
      <c r="B62" s="154" t="s">
        <v>341</v>
      </c>
      <c r="C62" s="257">
        <v>9300000</v>
      </c>
      <c r="D62" s="257">
        <v>15286568</v>
      </c>
      <c r="E62" s="257">
        <v>14807044</v>
      </c>
      <c r="F62" s="153"/>
    </row>
    <row r="63" spans="2:22">
      <c r="B63" s="179" t="s">
        <v>343</v>
      </c>
      <c r="C63" s="255">
        <f>4500000+4150000</f>
        <v>8650000</v>
      </c>
      <c r="D63" s="255">
        <v>10435110</v>
      </c>
      <c r="E63" s="255">
        <v>10288087</v>
      </c>
      <c r="F63" s="153"/>
    </row>
    <row r="64" spans="2:22">
      <c r="B64" s="179" t="s">
        <v>344</v>
      </c>
      <c r="C64" s="255">
        <v>1300000</v>
      </c>
      <c r="D64" s="255">
        <v>1300000</v>
      </c>
      <c r="E64" s="255">
        <v>875000</v>
      </c>
      <c r="F64" s="153"/>
    </row>
    <row r="65" spans="2:8">
      <c r="B65" s="179" t="s">
        <v>345</v>
      </c>
      <c r="C65" s="255">
        <v>0</v>
      </c>
      <c r="D65" s="255">
        <v>5000</v>
      </c>
      <c r="E65" s="255">
        <v>210</v>
      </c>
      <c r="F65" s="153"/>
    </row>
    <row r="66" spans="2:8" ht="18.75" customHeight="1">
      <c r="B66" s="179" t="s">
        <v>340</v>
      </c>
      <c r="C66" s="255">
        <f>4600000+1000000+700000+20000</f>
        <v>6320000</v>
      </c>
      <c r="D66" s="255">
        <v>5740000</v>
      </c>
      <c r="E66" s="255">
        <v>3974718</v>
      </c>
      <c r="F66" s="153"/>
    </row>
    <row r="67" spans="2:8" ht="18.75" customHeight="1" thickBot="1">
      <c r="B67" s="398" t="s">
        <v>385</v>
      </c>
      <c r="C67" s="399">
        <v>0</v>
      </c>
      <c r="D67" s="399">
        <v>0</v>
      </c>
      <c r="E67" s="399">
        <v>0</v>
      </c>
      <c r="F67" s="153"/>
    </row>
    <row r="68" spans="2:8" ht="19.899999999999999" customHeight="1" thickBot="1">
      <c r="B68" s="241" t="s">
        <v>139</v>
      </c>
      <c r="C68" s="256">
        <f>SUM(C58:C67)</f>
        <v>55885000</v>
      </c>
      <c r="D68" s="256">
        <f>SUM(D58:D67)</f>
        <v>60741442</v>
      </c>
      <c r="E68" s="256">
        <f>SUM(E58:E67)</f>
        <v>63589598</v>
      </c>
      <c r="F68" s="388">
        <f>+'4 b.sz.mell.'!D62</f>
        <v>56025000</v>
      </c>
      <c r="G68" s="124">
        <f>+'4 b.sz.mell.'!E62</f>
        <v>60881442</v>
      </c>
      <c r="H68" s="124">
        <f>+'4 b.sz.mell.'!F62</f>
        <v>63589598</v>
      </c>
    </row>
    <row r="69" spans="2:8" ht="19.899999999999999" customHeight="1" thickBot="1">
      <c r="B69" s="224" t="s">
        <v>348</v>
      </c>
      <c r="C69" s="259">
        <v>140000</v>
      </c>
      <c r="D69" s="259">
        <v>140000</v>
      </c>
      <c r="E69" s="259">
        <v>0</v>
      </c>
      <c r="F69" s="155"/>
    </row>
    <row r="70" spans="2:8" ht="19.899999999999999" customHeight="1" thickBot="1">
      <c r="B70" s="242" t="s">
        <v>188</v>
      </c>
      <c r="C70" s="256">
        <f>SUM(C69)</f>
        <v>140000</v>
      </c>
      <c r="D70" s="256">
        <f>SUM(D69)</f>
        <v>140000</v>
      </c>
      <c r="E70" s="256">
        <f>SUM(E69)</f>
        <v>0</v>
      </c>
      <c r="F70" s="388">
        <f>+C68+C70</f>
        <v>56025000</v>
      </c>
      <c r="G70" s="124">
        <f>+D68+D70</f>
        <v>60881442</v>
      </c>
    </row>
    <row r="71" spans="2:8" ht="19.899999999999999" customHeight="1" thickBot="1">
      <c r="B71" s="225" t="s">
        <v>570</v>
      </c>
      <c r="C71" s="260">
        <v>0</v>
      </c>
      <c r="D71" s="260">
        <f>+'4 b.sz.mell.'!K36-D79-D73-D78</f>
        <v>14999998</v>
      </c>
      <c r="E71" s="260">
        <v>14999998</v>
      </c>
      <c r="F71" s="155"/>
      <c r="G71" s="124"/>
    </row>
    <row r="72" spans="2:8" ht="19.899999999999999" customHeight="1" thickBot="1">
      <c r="B72" s="225" t="s">
        <v>650</v>
      </c>
      <c r="C72" s="260">
        <v>0</v>
      </c>
      <c r="D72" s="260">
        <v>0</v>
      </c>
      <c r="E72" s="260">
        <v>1835000</v>
      </c>
      <c r="F72" s="155"/>
      <c r="G72" s="124"/>
    </row>
    <row r="73" spans="2:8" ht="19.899999999999999" customHeight="1">
      <c r="B73" s="225" t="s">
        <v>540</v>
      </c>
      <c r="C73" s="260">
        <v>8945081</v>
      </c>
      <c r="D73" s="260">
        <v>8945081</v>
      </c>
      <c r="E73" s="260">
        <v>0</v>
      </c>
      <c r="F73" s="155"/>
      <c r="G73" s="124">
        <f>+G68-G70</f>
        <v>0</v>
      </c>
    </row>
    <row r="74" spans="2:8" ht="19.899999999999999" customHeight="1">
      <c r="B74" s="261" t="s">
        <v>384</v>
      </c>
      <c r="C74" s="262">
        <f>+'4 b.sz.mell.'!J27</f>
        <v>77804327</v>
      </c>
      <c r="D74" s="262">
        <f>+'4 b.sz.mell.'!K27</f>
        <v>77804327</v>
      </c>
      <c r="E74" s="262">
        <v>72668288</v>
      </c>
      <c r="F74" s="155"/>
    </row>
    <row r="75" spans="2:8" ht="19.899999999999999" customHeight="1">
      <c r="B75" s="261" t="s">
        <v>571</v>
      </c>
      <c r="C75" s="262">
        <v>0</v>
      </c>
      <c r="D75" s="262">
        <v>2999999</v>
      </c>
      <c r="E75" s="262">
        <v>2999999</v>
      </c>
      <c r="F75" s="155"/>
    </row>
    <row r="76" spans="2:8" ht="19.899999999999999" customHeight="1">
      <c r="B76" s="261" t="s">
        <v>572</v>
      </c>
      <c r="C76" s="262">
        <v>0</v>
      </c>
      <c r="D76" s="262">
        <v>4999736</v>
      </c>
      <c r="E76" s="262">
        <v>4999736</v>
      </c>
      <c r="F76" s="155"/>
    </row>
    <row r="77" spans="2:8" ht="19.899999999999999" customHeight="1">
      <c r="B77" s="261" t="s">
        <v>573</v>
      </c>
      <c r="C77" s="262">
        <v>0</v>
      </c>
      <c r="D77" s="262">
        <v>4048365</v>
      </c>
      <c r="E77" s="262">
        <v>4048365</v>
      </c>
      <c r="F77" s="155"/>
    </row>
    <row r="78" spans="2:8" ht="19.899999999999999" customHeight="1">
      <c r="B78" s="226" t="s">
        <v>651</v>
      </c>
      <c r="C78" s="263">
        <v>13223939</v>
      </c>
      <c r="D78" s="263">
        <v>13223939</v>
      </c>
      <c r="E78" s="263">
        <v>2210000</v>
      </c>
      <c r="F78" s="155"/>
    </row>
    <row r="79" spans="2:8" ht="19.899999999999999" customHeight="1">
      <c r="B79" s="226" t="s">
        <v>541</v>
      </c>
      <c r="C79" s="263">
        <v>8845094</v>
      </c>
      <c r="D79" s="263">
        <v>8845094</v>
      </c>
      <c r="E79" s="263">
        <v>0</v>
      </c>
      <c r="F79" s="155"/>
    </row>
    <row r="80" spans="2:8" ht="19.899999999999999" customHeight="1" thickBot="1">
      <c r="B80" s="226" t="s">
        <v>539</v>
      </c>
      <c r="C80" s="263">
        <v>0</v>
      </c>
      <c r="D80" s="263">
        <v>105000</v>
      </c>
      <c r="E80" s="263">
        <v>116094</v>
      </c>
      <c r="F80" s="155"/>
    </row>
    <row r="81" spans="1:10" ht="19.899999999999999" customHeight="1">
      <c r="B81" s="393" t="s">
        <v>538</v>
      </c>
      <c r="C81" s="394">
        <f>SUM(C73:C80)</f>
        <v>108818441</v>
      </c>
      <c r="D81" s="394">
        <f>SUM(D71:D80)</f>
        <v>135971539</v>
      </c>
      <c r="E81" s="394">
        <f>SUM(E71:E80)</f>
        <v>103877480</v>
      </c>
      <c r="F81" s="388">
        <f>+'4 b.sz.mell.'!J62</f>
        <v>108818441</v>
      </c>
      <c r="G81" s="124">
        <f>+'4 b.sz.mell.'!K62+'4 b.sz.mell.'!Q62</f>
        <v>135971539</v>
      </c>
      <c r="H81" s="124">
        <f>+'4 b.sz.mell.'!L62+'4 b.sz.mell.'!R62</f>
        <v>103877480</v>
      </c>
    </row>
    <row r="82" spans="1:10" ht="19.899999999999999" customHeight="1">
      <c r="B82" s="226" t="s">
        <v>574</v>
      </c>
      <c r="C82" s="263">
        <v>0</v>
      </c>
      <c r="D82" s="263">
        <v>77000</v>
      </c>
      <c r="E82" s="263">
        <v>77000</v>
      </c>
      <c r="F82" s="155"/>
    </row>
    <row r="83" spans="1:10" ht="19.899999999999999" customHeight="1">
      <c r="B83" s="226" t="s">
        <v>575</v>
      </c>
      <c r="C83" s="263">
        <v>0</v>
      </c>
      <c r="D83" s="263">
        <v>10000</v>
      </c>
      <c r="E83" s="263">
        <v>10000</v>
      </c>
    </row>
    <row r="84" spans="1:10" ht="19.899999999999999" customHeight="1" thickBot="1">
      <c r="B84" s="538" t="s">
        <v>652</v>
      </c>
      <c r="C84" s="539">
        <v>0</v>
      </c>
      <c r="D84" s="539">
        <v>0</v>
      </c>
      <c r="E84" s="539">
        <v>450000</v>
      </c>
    </row>
    <row r="85" spans="1:10" ht="19.899999999999999" customHeight="1">
      <c r="B85" s="393" t="s">
        <v>576</v>
      </c>
      <c r="C85" s="394">
        <f>+C83+C82</f>
        <v>0</v>
      </c>
      <c r="D85" s="394">
        <f>+D82+D83</f>
        <v>87000</v>
      </c>
      <c r="E85" s="394">
        <f>+E82+E83+E84</f>
        <v>537000</v>
      </c>
      <c r="F85" s="155">
        <f>+'4 b.sz.mell.'!M62</f>
        <v>0</v>
      </c>
      <c r="G85" s="124">
        <f>+'4 b.sz.mell.'!N62</f>
        <v>87000</v>
      </c>
      <c r="H85" s="124">
        <f>+'4 b.sz.mell.'!O62</f>
        <v>537000</v>
      </c>
    </row>
    <row r="86" spans="1:10">
      <c r="B86" s="226" t="s">
        <v>347</v>
      </c>
      <c r="C86" s="263">
        <f>+'4 b.sz.mell.'!S61+'4 b.sz.mell.'!S51+'4 b.sz.mell.'!S47+'4 b.sz.mell.'!S44+'4 b.sz.mell.'!S38</f>
        <v>416948898</v>
      </c>
      <c r="D86" s="263">
        <f>+'4 b.sz.mell.'!T62</f>
        <v>420153306</v>
      </c>
      <c r="E86" s="263">
        <f>+'4 b.sz.mell.'!U51+'4 b.sz.mell.'!U61+'4 b.sz.mell.'!U47+'4 b.sz.mell.'!U44+'4 b.sz.mell.'!U38-'4 b.sz.mell.'!U36</f>
        <v>420153306</v>
      </c>
    </row>
    <row r="87" spans="1:10" ht="19.899999999999999" customHeight="1" thickBot="1">
      <c r="B87" s="157" t="s">
        <v>140</v>
      </c>
      <c r="C87" s="395">
        <f>SUM(C86)</f>
        <v>416948898</v>
      </c>
      <c r="D87" s="395">
        <f>+D86</f>
        <v>420153306</v>
      </c>
      <c r="E87" s="395">
        <f>+E86</f>
        <v>420153306</v>
      </c>
      <c r="F87" s="388">
        <f>+'4 b.sz.mell.'!S62</f>
        <v>416948898</v>
      </c>
      <c r="G87" s="124">
        <f>+'4 b.sz.mell.'!T62</f>
        <v>420153306</v>
      </c>
    </row>
    <row r="88" spans="1:10">
      <c r="B88" s="538" t="s">
        <v>577</v>
      </c>
      <c r="C88" s="539"/>
      <c r="D88" s="539">
        <v>10751039</v>
      </c>
      <c r="E88" s="539">
        <f>+'4 b.sz.mell.'!AA36</f>
        <v>10751039</v>
      </c>
      <c r="F88" s="388">
        <f>+'4 b.sz.mell.'!Y62</f>
        <v>0</v>
      </c>
      <c r="G88" s="124">
        <f>+'4 b.sz.mell.'!Z62</f>
        <v>10751039</v>
      </c>
    </row>
    <row r="89" spans="1:10" ht="27" customHeight="1" thickBot="1">
      <c r="B89" s="157" t="s">
        <v>141</v>
      </c>
      <c r="C89" s="434">
        <f>SUM(C38,C50,C57,C68,C70,C81,C87)</f>
        <v>980573776</v>
      </c>
      <c r="D89" s="434">
        <f>SUM(D38,D50,D57,D68,D70,D81,D87+D88+D85)</f>
        <v>1120287149</v>
      </c>
      <c r="E89" s="434">
        <f>SUM(E38,E50,E57,E68,E70,E81,E87+E88+E85)</f>
        <v>1082205894</v>
      </c>
      <c r="F89" s="388">
        <f>+'4 b.sz.mell.'!AE62-'4 b.sz.mell.'!V62</f>
        <v>980573776</v>
      </c>
      <c r="G89" s="124">
        <f>+'4 b.sz.mell.'!AF62-'4 b.sz.mell.'!W62</f>
        <v>1120287149</v>
      </c>
      <c r="H89" s="124">
        <f>+'4 b.sz.mell.'!AG62-'4 b.sz.mell.'!X62</f>
        <v>1082205894</v>
      </c>
      <c r="I89" s="124">
        <f>+'4 b.sz.mell.'!AG62-'4 b.sz.mell.'!X62</f>
        <v>1082205894</v>
      </c>
    </row>
    <row r="90" spans="1:10" hidden="1">
      <c r="B90" s="158"/>
      <c r="C90" s="363">
        <f>+F89-C89</f>
        <v>0</v>
      </c>
      <c r="D90" s="363"/>
      <c r="E90" s="363"/>
      <c r="F90" s="387">
        <f>+'4 b.sz.mell.'!AF62-'4 b.sz.mell.'!W62</f>
        <v>1120287149</v>
      </c>
      <c r="G90" s="124">
        <f>+D89-G89</f>
        <v>0</v>
      </c>
      <c r="H90" s="124">
        <f>+D89-'4 b.sz.mell.'!AF62</f>
        <v>-216209334</v>
      </c>
    </row>
    <row r="91" spans="1:10">
      <c r="B91" s="159"/>
      <c r="C91" s="587" t="s">
        <v>675</v>
      </c>
      <c r="D91" s="345"/>
      <c r="E91" s="345"/>
      <c r="F91" s="160"/>
    </row>
    <row r="92" spans="1:10" ht="36.6" customHeight="1">
      <c r="B92" s="419" t="s">
        <v>422</v>
      </c>
      <c r="F92" s="176"/>
      <c r="G92" s="176"/>
      <c r="H92" s="176"/>
      <c r="I92" s="176"/>
      <c r="J92" s="150"/>
    </row>
    <row r="93" spans="1:10" ht="12.75" customHeight="1">
      <c r="A93" s="151"/>
      <c r="B93" s="81"/>
      <c r="F93" s="81"/>
    </row>
    <row r="94" spans="1:10" ht="21.75" customHeight="1" thickBot="1">
      <c r="B94" s="420" t="s">
        <v>258</v>
      </c>
      <c r="F94" s="177"/>
    </row>
    <row r="95" spans="1:10" ht="32.25" customHeight="1">
      <c r="B95" s="240" t="s">
        <v>142</v>
      </c>
      <c r="C95" s="152" t="s">
        <v>423</v>
      </c>
      <c r="D95" s="152" t="s">
        <v>542</v>
      </c>
      <c r="E95" s="152" t="s">
        <v>623</v>
      </c>
      <c r="F95" s="161"/>
    </row>
    <row r="96" spans="1:10">
      <c r="B96" s="174" t="s">
        <v>349</v>
      </c>
      <c r="C96" s="264">
        <f>+'4.a sz.mell.'!D66</f>
        <v>212285909</v>
      </c>
      <c r="D96" s="264">
        <f>+'4.a sz.mell.'!E66</f>
        <v>265281635</v>
      </c>
      <c r="E96" s="264">
        <f>+'4.a sz.mell.'!F66</f>
        <v>251524307</v>
      </c>
      <c r="F96" s="153"/>
    </row>
    <row r="97" spans="2:7">
      <c r="B97" s="174" t="s">
        <v>143</v>
      </c>
      <c r="C97" s="264">
        <f>+'4.a sz.mell.'!G66</f>
        <v>39599062</v>
      </c>
      <c r="D97" s="264">
        <f>+'4.a sz.mell.'!H66</f>
        <v>47167608</v>
      </c>
      <c r="E97" s="264">
        <f>+'4.a sz.mell.'!I66</f>
        <v>43907020</v>
      </c>
      <c r="F97" s="162"/>
    </row>
    <row r="98" spans="2:7" ht="25.5">
      <c r="B98" s="364" t="s">
        <v>388</v>
      </c>
      <c r="C98" s="264">
        <f>+'4.a sz.mell.'!J66</f>
        <v>243566668</v>
      </c>
      <c r="D98" s="264">
        <f>+'4.a sz.mell.'!K66</f>
        <v>267750183</v>
      </c>
      <c r="E98" s="264">
        <f>+'4.a sz.mell.'!L66</f>
        <v>180777593</v>
      </c>
      <c r="F98" s="163"/>
    </row>
    <row r="99" spans="2:7">
      <c r="B99" s="174" t="s">
        <v>350</v>
      </c>
      <c r="C99" s="264">
        <f>+'4.a sz.mell.'!P66</f>
        <v>4767000</v>
      </c>
      <c r="D99" s="264">
        <f>+'4.a sz.mell.'!Q66</f>
        <v>4767000</v>
      </c>
      <c r="E99" s="264">
        <f>+'4.a sz.mell.'!R66</f>
        <v>2440422</v>
      </c>
      <c r="F99" s="153"/>
      <c r="G99" s="124"/>
    </row>
    <row r="100" spans="2:7">
      <c r="B100" s="174" t="s">
        <v>389</v>
      </c>
      <c r="C100" s="264">
        <v>0</v>
      </c>
      <c r="D100" s="264">
        <v>0</v>
      </c>
      <c r="E100" s="264">
        <v>0</v>
      </c>
      <c r="F100" s="153"/>
      <c r="G100" s="124"/>
    </row>
    <row r="101" spans="2:7">
      <c r="B101" s="174" t="s">
        <v>354</v>
      </c>
      <c r="C101" s="264">
        <f>+'4.a sz.mell.'!V66</f>
        <v>10420711</v>
      </c>
      <c r="D101" s="264">
        <f>+'4.a sz.mell.'!W66</f>
        <v>10420711</v>
      </c>
      <c r="E101" s="264">
        <f>+'4.a sz.mell.'!X66</f>
        <v>10420711</v>
      </c>
      <c r="F101" s="153"/>
    </row>
    <row r="102" spans="2:7">
      <c r="B102" s="174" t="s">
        <v>379</v>
      </c>
      <c r="C102" s="264">
        <f>+'4.a sz.mell.'!Y66</f>
        <v>1643568</v>
      </c>
      <c r="D102" s="264">
        <f>+'4.a sz.mell.'!Z66</f>
        <v>898197</v>
      </c>
      <c r="E102" s="264">
        <f>+'4.a sz.mell.'!AA66</f>
        <v>742256</v>
      </c>
      <c r="F102" s="153"/>
    </row>
    <row r="103" spans="2:7">
      <c r="B103" s="174" t="s">
        <v>584</v>
      </c>
      <c r="C103" s="264">
        <f>+F103-C104</f>
        <v>2911250</v>
      </c>
      <c r="D103" s="264">
        <v>3151382</v>
      </c>
      <c r="E103" s="264">
        <v>3002632</v>
      </c>
      <c r="F103" s="639">
        <f>+'4.a sz.mell.'!M66</f>
        <v>84567133</v>
      </c>
      <c r="G103" s="641">
        <f>+'4.a sz.mell.'!N66</f>
        <v>251268282</v>
      </c>
    </row>
    <row r="104" spans="2:7" ht="25.5">
      <c r="B104" s="364" t="s">
        <v>583</v>
      </c>
      <c r="C104" s="267">
        <f>+'4.a sz.mell.'!M24+2400000</f>
        <v>81655883</v>
      </c>
      <c r="D104" s="267">
        <v>92616900</v>
      </c>
      <c r="E104" s="267">
        <v>88032403</v>
      </c>
      <c r="F104" s="640"/>
      <c r="G104" s="641"/>
    </row>
    <row r="105" spans="2:7">
      <c r="B105" s="516" t="s">
        <v>555</v>
      </c>
      <c r="C105" s="517">
        <v>0</v>
      </c>
      <c r="D105" s="517">
        <f>+'4.a sz.mell.'!N26</f>
        <v>155500000</v>
      </c>
      <c r="E105" s="517">
        <f>+'4.a sz.mell.'!O26</f>
        <v>155500000</v>
      </c>
      <c r="F105" s="513"/>
      <c r="G105" s="641"/>
    </row>
    <row r="106" spans="2:7" ht="19.899999999999999" customHeight="1" thickBot="1">
      <c r="B106" s="514" t="s">
        <v>145</v>
      </c>
      <c r="C106" s="515">
        <f>SUM(C96:C104)</f>
        <v>596850051</v>
      </c>
      <c r="D106" s="515">
        <f>SUM(D96:D105)</f>
        <v>847553616</v>
      </c>
      <c r="E106" s="515">
        <f>SUM(E96:E105)</f>
        <v>736347344</v>
      </c>
      <c r="F106" s="388">
        <f>+'4.a sz.mell.'!AI66-'4.a sz.mell.'!T66-'4.a sz.mell.'!AC66-'4.a sz.mell.'!AF66</f>
        <v>847553616</v>
      </c>
      <c r="G106" s="388">
        <f>+'4.a sz.mell.'!AJ66-'4.a sz.mell.'!U66-'4.a sz.mell.'!AD66-'4.a sz.mell.'!AG66</f>
        <v>736347344</v>
      </c>
    </row>
    <row r="107" spans="2:7">
      <c r="B107" s="174" t="s">
        <v>351</v>
      </c>
      <c r="C107" s="267">
        <v>0</v>
      </c>
      <c r="D107" s="267">
        <v>0</v>
      </c>
      <c r="E107" s="267">
        <v>0</v>
      </c>
      <c r="F107" s="155"/>
    </row>
    <row r="108" spans="2:7" ht="15.75" thickBot="1">
      <c r="B108" s="175" t="s">
        <v>352</v>
      </c>
      <c r="C108" s="265">
        <f>+'4.a sz.mell.'!S66-C107</f>
        <v>107151973</v>
      </c>
      <c r="D108" s="265">
        <f>+'4.a sz.mell.'!T66-D107</f>
        <v>89261498</v>
      </c>
      <c r="E108" s="265">
        <f>+'4.a sz.mell.'!U66-E107</f>
        <v>0</v>
      </c>
      <c r="F108" s="155"/>
    </row>
    <row r="109" spans="2:7" ht="19.899999999999999" customHeight="1" thickBot="1">
      <c r="B109" s="239" t="s">
        <v>146</v>
      </c>
      <c r="C109" s="266">
        <f>SUM(C107:C108)</f>
        <v>107151973</v>
      </c>
      <c r="D109" s="266">
        <f>SUM(D107:D108)</f>
        <v>89261498</v>
      </c>
      <c r="E109" s="266">
        <f>SUM(E107:E108)</f>
        <v>0</v>
      </c>
      <c r="F109" s="155"/>
      <c r="G109" s="124">
        <f>+'4.a sz.mell.'!U66</f>
        <v>0</v>
      </c>
    </row>
    <row r="110" spans="2:7">
      <c r="B110" s="174" t="s">
        <v>372</v>
      </c>
      <c r="C110" s="267">
        <f>+'4.a sz.mell.'!AB66</f>
        <v>233711826</v>
      </c>
      <c r="D110" s="267">
        <f>+'4.a sz.mell.'!AC66</f>
        <v>69040854</v>
      </c>
      <c r="E110" s="267">
        <f>+'4.a sz.mell.'!AD66</f>
        <v>49089665</v>
      </c>
      <c r="F110" s="153"/>
    </row>
    <row r="111" spans="2:7">
      <c r="B111" s="175" t="s">
        <v>353</v>
      </c>
      <c r="C111" s="265">
        <f>+'4.a sz.mell.'!AE66</f>
        <v>42859926</v>
      </c>
      <c r="D111" s="265">
        <f>+'4.a sz.mell.'!AF66</f>
        <v>114431181</v>
      </c>
      <c r="E111" s="265">
        <f>+'4.a sz.mell.'!AG66</f>
        <v>67772685</v>
      </c>
      <c r="F111" s="153"/>
    </row>
    <row r="112" spans="2:7" ht="15.75" thickBot="1">
      <c r="B112" s="175" t="s">
        <v>185</v>
      </c>
      <c r="C112" s="265">
        <v>0</v>
      </c>
      <c r="D112" s="265">
        <v>0</v>
      </c>
      <c r="E112" s="265">
        <v>0</v>
      </c>
      <c r="F112" s="153"/>
    </row>
    <row r="113" spans="2:8" ht="19.899999999999999" customHeight="1" thickBot="1">
      <c r="B113" s="239" t="s">
        <v>147</v>
      </c>
      <c r="C113" s="266">
        <f>SUM(C110:C112)</f>
        <v>276571752</v>
      </c>
      <c r="D113" s="266">
        <f>SUM(D110:D112)</f>
        <v>183472035</v>
      </c>
      <c r="E113" s="266">
        <f>SUM(E110:E112)</f>
        <v>116862350</v>
      </c>
      <c r="F113" s="153"/>
      <c r="G113" s="124">
        <f>+'4.a sz.mell.'!AG66+'4.a sz.mell.'!AD66</f>
        <v>116862350</v>
      </c>
      <c r="H113" s="36">
        <f>SUM(H110:H112)</f>
        <v>0</v>
      </c>
    </row>
    <row r="114" spans="2:8" ht="24.6" customHeight="1" thickBot="1">
      <c r="B114" s="157" t="s">
        <v>148</v>
      </c>
      <c r="C114" s="268">
        <f>C106+C109+C113</f>
        <v>980573776</v>
      </c>
      <c r="D114" s="268">
        <f>D106+D109+D113</f>
        <v>1120287149</v>
      </c>
      <c r="E114" s="268">
        <f>E106+E109+E113</f>
        <v>853209694</v>
      </c>
      <c r="F114" s="397">
        <f>+'4.a sz.mell.'!AH66</f>
        <v>980573776</v>
      </c>
      <c r="G114" s="124">
        <f>+'4.a sz.mell.'!AI66</f>
        <v>1120287149</v>
      </c>
      <c r="H114" s="124">
        <f>+'4.a sz.mell.'!AJ66</f>
        <v>853209694</v>
      </c>
    </row>
    <row r="115" spans="2:8">
      <c r="B115" s="84"/>
      <c r="F115" s="153"/>
    </row>
    <row r="116" spans="2:8">
      <c r="B116" s="84"/>
      <c r="C116" s="363">
        <f>+C114-C89</f>
        <v>0</v>
      </c>
      <c r="D116" s="363">
        <f>+D114-D89</f>
        <v>0</v>
      </c>
      <c r="E116" s="363"/>
      <c r="F116" s="153"/>
    </row>
    <row r="117" spans="2:8">
      <c r="B117" s="84"/>
      <c r="F117" s="153"/>
    </row>
    <row r="118" spans="2:8">
      <c r="B118" s="156"/>
    </row>
    <row r="119" spans="2:8">
      <c r="B119" s="156"/>
    </row>
    <row r="120" spans="2:8">
      <c r="B120" s="156"/>
    </row>
    <row r="121" spans="2:8">
      <c r="B121" s="156"/>
    </row>
    <row r="122" spans="2:8" ht="41.25" customHeight="1">
      <c r="B122" s="156"/>
    </row>
    <row r="123" spans="2:8">
      <c r="B123" s="156"/>
    </row>
    <row r="124" spans="2:8">
      <c r="B124" s="156"/>
    </row>
    <row r="125" spans="2:8">
      <c r="B125" s="156"/>
    </row>
    <row r="126" spans="2:8">
      <c r="B126" s="156"/>
    </row>
    <row r="127" spans="2:8">
      <c r="B127" s="156"/>
    </row>
    <row r="128" spans="2:8">
      <c r="B128" s="156"/>
    </row>
    <row r="129" spans="2:2">
      <c r="B129" s="156"/>
    </row>
    <row r="130" spans="2:2">
      <c r="B130" s="156"/>
    </row>
    <row r="131" spans="2:2">
      <c r="B131" s="156"/>
    </row>
    <row r="132" spans="2:2">
      <c r="B132" s="156"/>
    </row>
    <row r="133" spans="2:2">
      <c r="B133" s="156"/>
    </row>
    <row r="134" spans="2:2">
      <c r="B134" s="156"/>
    </row>
    <row r="135" spans="2:2">
      <c r="B135" s="156"/>
    </row>
    <row r="136" spans="2:2">
      <c r="B136" s="156"/>
    </row>
    <row r="137" spans="2:2">
      <c r="B137" s="156"/>
    </row>
    <row r="138" spans="2:2">
      <c r="B138" s="156"/>
    </row>
    <row r="139" spans="2:2">
      <c r="B139" s="156"/>
    </row>
    <row r="140" spans="2:2">
      <c r="B140" s="156"/>
    </row>
    <row r="141" spans="2:2">
      <c r="B141" s="156"/>
    </row>
    <row r="142" spans="2:2">
      <c r="B142" s="156"/>
    </row>
    <row r="143" spans="2:2">
      <c r="B143" s="156"/>
    </row>
    <row r="144" spans="2:2">
      <c r="B144" s="156"/>
    </row>
    <row r="145" spans="2:5">
      <c r="B145" s="156"/>
    </row>
    <row r="146" spans="2:5">
      <c r="B146" s="156"/>
      <c r="C146" s="346"/>
      <c r="D146" s="346"/>
      <c r="E146" s="346"/>
    </row>
    <row r="147" spans="2:5">
      <c r="B147" s="156"/>
    </row>
    <row r="148" spans="2:5">
      <c r="B148" s="156"/>
    </row>
    <row r="149" spans="2:5">
      <c r="B149" s="156"/>
    </row>
    <row r="150" spans="2:5">
      <c r="B150" s="156"/>
    </row>
    <row r="151" spans="2:5">
      <c r="B151" s="156"/>
    </row>
    <row r="152" spans="2:5">
      <c r="B152" s="156"/>
    </row>
    <row r="153" spans="2:5">
      <c r="B153" s="156"/>
    </row>
    <row r="154" spans="2:5">
      <c r="B154" s="156"/>
    </row>
    <row r="155" spans="2:5">
      <c r="B155" s="156"/>
    </row>
    <row r="156" spans="2:5">
      <c r="B156" s="156"/>
    </row>
    <row r="157" spans="2:5">
      <c r="B157" s="156"/>
    </row>
    <row r="158" spans="2:5">
      <c r="B158" s="156"/>
    </row>
    <row r="159" spans="2:5">
      <c r="B159" s="156"/>
    </row>
    <row r="160" spans="2:5">
      <c r="B160" s="156"/>
    </row>
    <row r="161" spans="2:2">
      <c r="B161" s="156"/>
    </row>
    <row r="162" spans="2:2">
      <c r="B162" s="156"/>
    </row>
    <row r="163" spans="2:2">
      <c r="B163" s="156"/>
    </row>
    <row r="164" spans="2:2">
      <c r="B164" s="156"/>
    </row>
    <row r="165" spans="2:2">
      <c r="B165" s="156"/>
    </row>
    <row r="166" spans="2:2">
      <c r="B166" s="156"/>
    </row>
    <row r="167" spans="2:2">
      <c r="B167" s="156"/>
    </row>
    <row r="168" spans="2:2">
      <c r="B168" s="156"/>
    </row>
    <row r="169" spans="2:2">
      <c r="B169" s="156"/>
    </row>
    <row r="170" spans="2:2">
      <c r="B170" s="156"/>
    </row>
    <row r="171" spans="2:2">
      <c r="B171" s="156"/>
    </row>
    <row r="172" spans="2:2">
      <c r="B172" s="156"/>
    </row>
    <row r="173" spans="2:2">
      <c r="B173" s="156"/>
    </row>
    <row r="174" spans="2:2">
      <c r="B174" s="156"/>
    </row>
    <row r="175" spans="2:2">
      <c r="B175" s="156"/>
    </row>
    <row r="176" spans="2:2">
      <c r="B176" s="156"/>
    </row>
    <row r="177" spans="2:3">
      <c r="B177" s="156"/>
    </row>
    <row r="178" spans="2:3">
      <c r="B178" s="156"/>
    </row>
    <row r="179" spans="2:3">
      <c r="B179" s="156"/>
    </row>
    <row r="180" spans="2:3">
      <c r="B180" s="156"/>
    </row>
    <row r="181" spans="2:3">
      <c r="B181" s="156"/>
    </row>
    <row r="182" spans="2:3">
      <c r="B182" s="156"/>
    </row>
    <row r="183" spans="2:3">
      <c r="B183" s="156"/>
    </row>
    <row r="184" spans="2:3">
      <c r="B184" s="156"/>
      <c r="C184" s="588" t="s">
        <v>676</v>
      </c>
    </row>
    <row r="185" spans="2:3">
      <c r="B185" s="156"/>
    </row>
    <row r="186" spans="2:3">
      <c r="B186" s="156"/>
    </row>
    <row r="187" spans="2:3">
      <c r="B187" s="156"/>
    </row>
    <row r="188" spans="2:3">
      <c r="B188" s="156"/>
    </row>
    <row r="189" spans="2:3">
      <c r="B189" s="156"/>
    </row>
    <row r="190" spans="2:3">
      <c r="B190" s="156"/>
    </row>
    <row r="191" spans="2:3">
      <c r="B191" s="156"/>
    </row>
    <row r="192" spans="2:3">
      <c r="B192" s="156"/>
    </row>
    <row r="193" spans="2:2">
      <c r="B193" s="156"/>
    </row>
    <row r="194" spans="2:2">
      <c r="B194" s="156"/>
    </row>
    <row r="195" spans="2:2">
      <c r="B195" s="156"/>
    </row>
    <row r="196" spans="2:2">
      <c r="B196" s="156"/>
    </row>
    <row r="197" spans="2:2">
      <c r="B197" s="156"/>
    </row>
    <row r="198" spans="2:2">
      <c r="B198" s="156"/>
    </row>
    <row r="199" spans="2:2">
      <c r="B199" s="156"/>
    </row>
    <row r="200" spans="2:2">
      <c r="B200" s="156"/>
    </row>
    <row r="201" spans="2:2">
      <c r="B201" s="156"/>
    </row>
    <row r="202" spans="2:2">
      <c r="B202" s="156"/>
    </row>
    <row r="203" spans="2:2">
      <c r="B203" s="156"/>
    </row>
    <row r="204" spans="2:2">
      <c r="B204" s="156"/>
    </row>
    <row r="205" spans="2:2">
      <c r="B205" s="156"/>
    </row>
    <row r="206" spans="2:2">
      <c r="B206" s="156"/>
    </row>
    <row r="207" spans="2:2">
      <c r="B207" s="156"/>
    </row>
    <row r="208" spans="2:2">
      <c r="B208" s="156"/>
    </row>
    <row r="209" spans="2:2">
      <c r="B209" s="156"/>
    </row>
    <row r="210" spans="2:2">
      <c r="B210" s="156"/>
    </row>
    <row r="211" spans="2:2">
      <c r="B211" s="156"/>
    </row>
    <row r="212" spans="2:2">
      <c r="B212" s="156"/>
    </row>
    <row r="213" spans="2:2">
      <c r="B213" s="156"/>
    </row>
    <row r="214" spans="2:2">
      <c r="B214" s="156"/>
    </row>
    <row r="215" spans="2:2">
      <c r="B215" s="156"/>
    </row>
    <row r="216" spans="2:2">
      <c r="B216" s="156"/>
    </row>
    <row r="217" spans="2:2">
      <c r="B217" s="156"/>
    </row>
    <row r="218" spans="2:2">
      <c r="B218" s="156"/>
    </row>
    <row r="219" spans="2:2">
      <c r="B219" s="156"/>
    </row>
    <row r="220" spans="2:2">
      <c r="B220" s="156"/>
    </row>
    <row r="221" spans="2:2">
      <c r="B221" s="156"/>
    </row>
    <row r="222" spans="2:2">
      <c r="B222" s="156"/>
    </row>
    <row r="223" spans="2:2">
      <c r="B223" s="156"/>
    </row>
    <row r="224" spans="2:2">
      <c r="B224" s="156"/>
    </row>
    <row r="225" spans="2:2">
      <c r="B225" s="156"/>
    </row>
    <row r="226" spans="2:2">
      <c r="B226" s="156"/>
    </row>
    <row r="227" spans="2:2">
      <c r="B227" s="156"/>
    </row>
    <row r="228" spans="2:2">
      <c r="B228" s="156"/>
    </row>
    <row r="229" spans="2:2">
      <c r="B229" s="156"/>
    </row>
    <row r="230" spans="2:2">
      <c r="B230" s="156"/>
    </row>
    <row r="231" spans="2:2">
      <c r="B231" s="156"/>
    </row>
    <row r="232" spans="2:2">
      <c r="B232" s="156"/>
    </row>
    <row r="233" spans="2:2">
      <c r="B233" s="156"/>
    </row>
    <row r="234" spans="2:2">
      <c r="B234" s="156"/>
    </row>
    <row r="235" spans="2:2">
      <c r="B235" s="156"/>
    </row>
    <row r="236" spans="2:2">
      <c r="B236" s="156"/>
    </row>
    <row r="237" spans="2:2">
      <c r="B237" s="156"/>
    </row>
    <row r="238" spans="2:2">
      <c r="B238" s="156"/>
    </row>
    <row r="239" spans="2:2">
      <c r="B239" s="156"/>
    </row>
    <row r="240" spans="2:2">
      <c r="B240" s="156"/>
    </row>
    <row r="241" spans="2:2">
      <c r="B241" s="156"/>
    </row>
    <row r="242" spans="2:2">
      <c r="B242" s="156"/>
    </row>
    <row r="243" spans="2:2">
      <c r="B243" s="156"/>
    </row>
    <row r="244" spans="2:2">
      <c r="B244" s="156"/>
    </row>
    <row r="245" spans="2:2">
      <c r="B245" s="156"/>
    </row>
    <row r="246" spans="2:2">
      <c r="B246" s="156"/>
    </row>
    <row r="247" spans="2:2">
      <c r="B247" s="156"/>
    </row>
    <row r="248" spans="2:2">
      <c r="B248" s="156"/>
    </row>
    <row r="249" spans="2:2">
      <c r="B249" s="156"/>
    </row>
    <row r="250" spans="2:2">
      <c r="B250" s="156"/>
    </row>
    <row r="251" spans="2:2">
      <c r="B251" s="156"/>
    </row>
    <row r="252" spans="2:2">
      <c r="B252" s="156"/>
    </row>
    <row r="253" spans="2:2">
      <c r="B253" s="156"/>
    </row>
    <row r="254" spans="2:2">
      <c r="B254" s="156"/>
    </row>
    <row r="255" spans="2:2">
      <c r="B255" s="156"/>
    </row>
    <row r="256" spans="2:2">
      <c r="B256" s="156"/>
    </row>
    <row r="257" spans="2:2">
      <c r="B257" s="156"/>
    </row>
    <row r="258" spans="2:2">
      <c r="B258" s="156"/>
    </row>
    <row r="259" spans="2:2">
      <c r="B259" s="156"/>
    </row>
    <row r="260" spans="2:2">
      <c r="B260" s="156"/>
    </row>
    <row r="261" spans="2:2">
      <c r="B261" s="156"/>
    </row>
    <row r="262" spans="2:2">
      <c r="B262" s="156"/>
    </row>
    <row r="263" spans="2:2">
      <c r="B263" s="156"/>
    </row>
    <row r="264" spans="2:2">
      <c r="B264" s="156"/>
    </row>
    <row r="265" spans="2:2">
      <c r="B265" s="156"/>
    </row>
    <row r="266" spans="2:2">
      <c r="B266" s="156"/>
    </row>
    <row r="267" spans="2:2">
      <c r="B267" s="156"/>
    </row>
    <row r="268" spans="2:2">
      <c r="B268" s="156"/>
    </row>
    <row r="269" spans="2:2">
      <c r="B269" s="156"/>
    </row>
    <row r="270" spans="2:2">
      <c r="B270" s="156"/>
    </row>
    <row r="271" spans="2:2">
      <c r="B271" s="156"/>
    </row>
    <row r="272" spans="2:2">
      <c r="B272" s="156"/>
    </row>
    <row r="273" spans="2:2">
      <c r="B273" s="156"/>
    </row>
    <row r="274" spans="2:2">
      <c r="B274" s="156"/>
    </row>
    <row r="275" spans="2:2">
      <c r="B275" s="156"/>
    </row>
    <row r="276" spans="2:2">
      <c r="B276" s="156"/>
    </row>
    <row r="277" spans="2:2">
      <c r="B277" s="156"/>
    </row>
    <row r="278" spans="2:2">
      <c r="B278" s="156"/>
    </row>
    <row r="279" spans="2:2">
      <c r="B279" s="156"/>
    </row>
    <row r="280" spans="2:2">
      <c r="B280" s="156"/>
    </row>
    <row r="281" spans="2:2">
      <c r="B281" s="156"/>
    </row>
    <row r="282" spans="2:2">
      <c r="B282" s="156"/>
    </row>
    <row r="283" spans="2:2">
      <c r="B283" s="156"/>
    </row>
    <row r="284" spans="2:2">
      <c r="B284" s="156"/>
    </row>
    <row r="285" spans="2:2">
      <c r="B285" s="156"/>
    </row>
    <row r="286" spans="2:2">
      <c r="B286" s="156"/>
    </row>
    <row r="287" spans="2:2">
      <c r="B287" s="156"/>
    </row>
    <row r="288" spans="2:2">
      <c r="B288" s="156"/>
    </row>
    <row r="289" spans="2:2">
      <c r="B289" s="156"/>
    </row>
    <row r="290" spans="2:2">
      <c r="B290" s="156"/>
    </row>
    <row r="291" spans="2:2">
      <c r="B291" s="156"/>
    </row>
    <row r="292" spans="2:2">
      <c r="B292" s="156"/>
    </row>
    <row r="293" spans="2:2">
      <c r="B293" s="156"/>
    </row>
    <row r="294" spans="2:2">
      <c r="B294" s="156"/>
    </row>
    <row r="295" spans="2:2">
      <c r="B295" s="156"/>
    </row>
    <row r="296" spans="2:2">
      <c r="B296" s="156"/>
    </row>
    <row r="297" spans="2:2">
      <c r="B297" s="156"/>
    </row>
    <row r="298" spans="2:2">
      <c r="B298" s="156"/>
    </row>
    <row r="299" spans="2:2">
      <c r="B299" s="156"/>
    </row>
    <row r="300" spans="2:2">
      <c r="B300" s="156"/>
    </row>
    <row r="301" spans="2:2">
      <c r="B301" s="156"/>
    </row>
    <row r="302" spans="2:2">
      <c r="B302" s="156"/>
    </row>
    <row r="303" spans="2:2">
      <c r="B303" s="156"/>
    </row>
    <row r="304" spans="2:2">
      <c r="B304" s="156"/>
    </row>
    <row r="305" spans="2:2">
      <c r="B305" s="156"/>
    </row>
    <row r="306" spans="2:2">
      <c r="B306" s="156"/>
    </row>
    <row r="307" spans="2:2">
      <c r="B307" s="156"/>
    </row>
    <row r="308" spans="2:2">
      <c r="B308" s="156"/>
    </row>
    <row r="309" spans="2:2">
      <c r="B309" s="156"/>
    </row>
    <row r="310" spans="2:2">
      <c r="B310" s="156"/>
    </row>
    <row r="311" spans="2:2">
      <c r="B311" s="156"/>
    </row>
    <row r="312" spans="2:2">
      <c r="B312" s="156"/>
    </row>
    <row r="313" spans="2:2">
      <c r="B313" s="156"/>
    </row>
    <row r="314" spans="2:2">
      <c r="B314" s="156"/>
    </row>
    <row r="315" spans="2:2">
      <c r="B315" s="156"/>
    </row>
    <row r="316" spans="2:2">
      <c r="B316" s="156"/>
    </row>
    <row r="317" spans="2:2">
      <c r="B317" s="156"/>
    </row>
    <row r="318" spans="2:2">
      <c r="B318" s="156"/>
    </row>
    <row r="319" spans="2:2">
      <c r="B319" s="156"/>
    </row>
    <row r="320" spans="2:2">
      <c r="B320" s="156"/>
    </row>
    <row r="321" spans="2:2">
      <c r="B321" s="156"/>
    </row>
    <row r="322" spans="2:2">
      <c r="B322" s="156"/>
    </row>
    <row r="323" spans="2:2">
      <c r="B323" s="156"/>
    </row>
    <row r="324" spans="2:2">
      <c r="B324" s="156"/>
    </row>
    <row r="325" spans="2:2">
      <c r="B325" s="156"/>
    </row>
    <row r="326" spans="2:2">
      <c r="B326" s="156"/>
    </row>
    <row r="327" spans="2:2">
      <c r="B327" s="156"/>
    </row>
    <row r="328" spans="2:2">
      <c r="B328" s="156"/>
    </row>
    <row r="329" spans="2:2">
      <c r="B329" s="156"/>
    </row>
    <row r="330" spans="2:2">
      <c r="B330" s="156"/>
    </row>
    <row r="331" spans="2:2">
      <c r="B331" s="156"/>
    </row>
    <row r="332" spans="2:2">
      <c r="B332" s="156"/>
    </row>
    <row r="333" spans="2:2">
      <c r="B333" s="156"/>
    </row>
    <row r="334" spans="2:2">
      <c r="B334" s="156"/>
    </row>
    <row r="335" spans="2:2">
      <c r="B335" s="156"/>
    </row>
    <row r="336" spans="2:2">
      <c r="B336" s="156"/>
    </row>
    <row r="337" spans="2:2">
      <c r="B337" s="156"/>
    </row>
    <row r="338" spans="2:2">
      <c r="B338" s="156"/>
    </row>
    <row r="339" spans="2:2">
      <c r="B339" s="156"/>
    </row>
    <row r="340" spans="2:2">
      <c r="B340" s="156"/>
    </row>
    <row r="341" spans="2:2">
      <c r="B341" s="156"/>
    </row>
    <row r="342" spans="2:2">
      <c r="B342" s="156"/>
    </row>
    <row r="343" spans="2:2">
      <c r="B343" s="156"/>
    </row>
    <row r="344" spans="2:2">
      <c r="B344" s="156"/>
    </row>
    <row r="345" spans="2:2">
      <c r="B345" s="156"/>
    </row>
    <row r="346" spans="2:2">
      <c r="B346" s="156"/>
    </row>
    <row r="347" spans="2:2">
      <c r="B347" s="156"/>
    </row>
    <row r="348" spans="2:2">
      <c r="B348" s="156"/>
    </row>
    <row r="349" spans="2:2">
      <c r="B349" s="156"/>
    </row>
    <row r="350" spans="2:2">
      <c r="B350" s="156"/>
    </row>
    <row r="351" spans="2:2">
      <c r="B351" s="156"/>
    </row>
    <row r="352" spans="2:2">
      <c r="B352" s="156"/>
    </row>
    <row r="353" spans="2:2">
      <c r="B353" s="156"/>
    </row>
    <row r="354" spans="2:2">
      <c r="B354" s="156"/>
    </row>
    <row r="355" spans="2:2">
      <c r="B355" s="156"/>
    </row>
    <row r="356" spans="2:2">
      <c r="B356" s="156"/>
    </row>
    <row r="357" spans="2:2">
      <c r="B357" s="156"/>
    </row>
    <row r="358" spans="2:2">
      <c r="B358" s="156"/>
    </row>
    <row r="359" spans="2:2">
      <c r="B359" s="156"/>
    </row>
    <row r="360" spans="2:2">
      <c r="B360" s="156"/>
    </row>
    <row r="361" spans="2:2">
      <c r="B361" s="156"/>
    </row>
    <row r="362" spans="2:2">
      <c r="B362" s="156"/>
    </row>
    <row r="363" spans="2:2">
      <c r="B363" s="156"/>
    </row>
    <row r="364" spans="2:2">
      <c r="B364" s="156"/>
    </row>
    <row r="365" spans="2:2">
      <c r="B365" s="156"/>
    </row>
    <row r="366" spans="2:2">
      <c r="B366" s="156"/>
    </row>
    <row r="367" spans="2:2">
      <c r="B367" s="156"/>
    </row>
    <row r="368" spans="2:2">
      <c r="B368" s="156"/>
    </row>
    <row r="369" spans="2:2">
      <c r="B369" s="156"/>
    </row>
    <row r="370" spans="2:2">
      <c r="B370" s="156"/>
    </row>
    <row r="371" spans="2:2">
      <c r="B371" s="156"/>
    </row>
    <row r="372" spans="2:2">
      <c r="B372" s="156"/>
    </row>
    <row r="373" spans="2:2">
      <c r="B373" s="156"/>
    </row>
    <row r="374" spans="2:2">
      <c r="B374" s="156"/>
    </row>
    <row r="375" spans="2:2">
      <c r="B375" s="156"/>
    </row>
    <row r="376" spans="2:2">
      <c r="B376" s="156"/>
    </row>
    <row r="377" spans="2:2">
      <c r="B377" s="156"/>
    </row>
    <row r="378" spans="2:2">
      <c r="B378" s="156"/>
    </row>
    <row r="379" spans="2:2">
      <c r="B379" s="156"/>
    </row>
    <row r="380" spans="2:2">
      <c r="B380" s="156"/>
    </row>
    <row r="381" spans="2:2">
      <c r="B381" s="156"/>
    </row>
    <row r="382" spans="2:2">
      <c r="B382" s="156"/>
    </row>
    <row r="383" spans="2:2">
      <c r="B383" s="156"/>
    </row>
    <row r="384" spans="2:2">
      <c r="B384" s="156"/>
    </row>
    <row r="385" spans="2:2">
      <c r="B385" s="156"/>
    </row>
    <row r="386" spans="2:2">
      <c r="B386" s="156"/>
    </row>
    <row r="387" spans="2:2">
      <c r="B387" s="156"/>
    </row>
    <row r="388" spans="2:2">
      <c r="B388" s="156"/>
    </row>
    <row r="389" spans="2:2">
      <c r="B389" s="156"/>
    </row>
    <row r="390" spans="2:2">
      <c r="B390" s="156"/>
    </row>
    <row r="391" spans="2:2">
      <c r="B391" s="156"/>
    </row>
    <row r="392" spans="2:2">
      <c r="B392" s="156"/>
    </row>
    <row r="393" spans="2:2">
      <c r="B393" s="156"/>
    </row>
    <row r="394" spans="2:2">
      <c r="B394" s="156"/>
    </row>
    <row r="395" spans="2:2">
      <c r="B395" s="156"/>
    </row>
    <row r="396" spans="2:2">
      <c r="B396" s="156"/>
    </row>
    <row r="397" spans="2:2">
      <c r="B397" s="156"/>
    </row>
    <row r="398" spans="2:2">
      <c r="B398" s="156"/>
    </row>
    <row r="399" spans="2:2">
      <c r="B399" s="156"/>
    </row>
    <row r="400" spans="2:2">
      <c r="B400" s="156"/>
    </row>
    <row r="401" spans="2:2">
      <c r="B401" s="156"/>
    </row>
    <row r="402" spans="2:2">
      <c r="B402" s="156"/>
    </row>
    <row r="403" spans="2:2">
      <c r="B403" s="156"/>
    </row>
    <row r="404" spans="2:2">
      <c r="B404" s="156"/>
    </row>
    <row r="405" spans="2:2">
      <c r="B405" s="156"/>
    </row>
    <row r="406" spans="2:2">
      <c r="B406" s="156"/>
    </row>
    <row r="407" spans="2:2">
      <c r="B407" s="156"/>
    </row>
    <row r="408" spans="2:2">
      <c r="B408" s="156"/>
    </row>
    <row r="409" spans="2:2">
      <c r="B409" s="156"/>
    </row>
    <row r="410" spans="2:2">
      <c r="B410" s="156"/>
    </row>
    <row r="411" spans="2:2">
      <c r="B411" s="156"/>
    </row>
    <row r="412" spans="2:2">
      <c r="B412" s="156"/>
    </row>
    <row r="413" spans="2:2">
      <c r="B413" s="156"/>
    </row>
    <row r="414" spans="2:2">
      <c r="B414" s="156"/>
    </row>
    <row r="415" spans="2:2">
      <c r="B415" s="156"/>
    </row>
    <row r="416" spans="2:2">
      <c r="B416" s="156"/>
    </row>
    <row r="417" spans="2:2">
      <c r="B417" s="156"/>
    </row>
    <row r="418" spans="2:2">
      <c r="B418" s="156"/>
    </row>
    <row r="419" spans="2:2">
      <c r="B419" s="156"/>
    </row>
    <row r="420" spans="2:2">
      <c r="B420" s="156"/>
    </row>
    <row r="421" spans="2:2">
      <c r="B421" s="156"/>
    </row>
    <row r="422" spans="2:2">
      <c r="B422" s="156"/>
    </row>
    <row r="423" spans="2:2">
      <c r="B423" s="156"/>
    </row>
    <row r="424" spans="2:2">
      <c r="B424" s="156"/>
    </row>
    <row r="425" spans="2:2">
      <c r="B425" s="156"/>
    </row>
    <row r="426" spans="2:2">
      <c r="B426" s="156"/>
    </row>
    <row r="427" spans="2:2">
      <c r="B427" s="156"/>
    </row>
    <row r="428" spans="2:2">
      <c r="B428" s="156"/>
    </row>
    <row r="429" spans="2:2">
      <c r="B429" s="156"/>
    </row>
    <row r="430" spans="2:2">
      <c r="B430" s="156"/>
    </row>
    <row r="431" spans="2:2">
      <c r="B431" s="156"/>
    </row>
    <row r="432" spans="2:2">
      <c r="B432" s="156"/>
    </row>
    <row r="433" spans="2:2">
      <c r="B433" s="156"/>
    </row>
    <row r="434" spans="2:2">
      <c r="B434" s="156"/>
    </row>
    <row r="435" spans="2:2">
      <c r="B435" s="156"/>
    </row>
    <row r="436" spans="2:2">
      <c r="B436" s="156"/>
    </row>
    <row r="437" spans="2:2">
      <c r="B437" s="156"/>
    </row>
    <row r="438" spans="2:2">
      <c r="B438" s="156"/>
    </row>
    <row r="439" spans="2:2">
      <c r="B439" s="156"/>
    </row>
    <row r="440" spans="2:2">
      <c r="B440" s="156"/>
    </row>
    <row r="441" spans="2:2">
      <c r="B441" s="156"/>
    </row>
    <row r="442" spans="2:2">
      <c r="B442" s="156"/>
    </row>
    <row r="443" spans="2:2">
      <c r="B443" s="156"/>
    </row>
    <row r="444" spans="2:2">
      <c r="B444" s="156"/>
    </row>
    <row r="445" spans="2:2">
      <c r="B445" s="156"/>
    </row>
    <row r="446" spans="2:2">
      <c r="B446" s="156"/>
    </row>
    <row r="447" spans="2:2">
      <c r="B447" s="156"/>
    </row>
    <row r="448" spans="2:2">
      <c r="B448" s="156"/>
    </row>
    <row r="449" spans="2:2">
      <c r="B449" s="156"/>
    </row>
    <row r="450" spans="2:2">
      <c r="B450" s="156"/>
    </row>
    <row r="451" spans="2:2">
      <c r="B451" s="156"/>
    </row>
    <row r="452" spans="2:2">
      <c r="B452" s="156"/>
    </row>
    <row r="453" spans="2:2">
      <c r="B453" s="156"/>
    </row>
    <row r="454" spans="2:2">
      <c r="B454" s="156"/>
    </row>
    <row r="455" spans="2:2">
      <c r="B455" s="156"/>
    </row>
    <row r="456" spans="2:2">
      <c r="B456" s="156"/>
    </row>
    <row r="457" spans="2:2">
      <c r="B457" s="156"/>
    </row>
    <row r="458" spans="2:2">
      <c r="B458" s="156"/>
    </row>
    <row r="459" spans="2:2">
      <c r="B459" s="156"/>
    </row>
    <row r="460" spans="2:2">
      <c r="B460" s="156"/>
    </row>
    <row r="461" spans="2:2">
      <c r="B461" s="156"/>
    </row>
    <row r="462" spans="2:2">
      <c r="B462" s="156"/>
    </row>
    <row r="463" spans="2:2">
      <c r="B463" s="156"/>
    </row>
    <row r="464" spans="2:2">
      <c r="B464" s="156"/>
    </row>
    <row r="465" spans="2:2">
      <c r="B465" s="156"/>
    </row>
    <row r="466" spans="2:2">
      <c r="B466" s="156"/>
    </row>
    <row r="467" spans="2:2">
      <c r="B467" s="156"/>
    </row>
    <row r="468" spans="2:2">
      <c r="B468" s="156"/>
    </row>
    <row r="469" spans="2:2">
      <c r="B469" s="156"/>
    </row>
    <row r="470" spans="2:2">
      <c r="B470" s="156"/>
    </row>
    <row r="471" spans="2:2">
      <c r="B471" s="156"/>
    </row>
    <row r="472" spans="2:2">
      <c r="B472" s="156"/>
    </row>
    <row r="473" spans="2:2">
      <c r="B473" s="156"/>
    </row>
    <row r="474" spans="2:2">
      <c r="B474" s="156"/>
    </row>
    <row r="475" spans="2:2">
      <c r="B475" s="156"/>
    </row>
    <row r="476" spans="2:2">
      <c r="B476" s="156"/>
    </row>
    <row r="477" spans="2:2">
      <c r="B477" s="156"/>
    </row>
    <row r="478" spans="2:2">
      <c r="B478" s="156"/>
    </row>
    <row r="479" spans="2:2">
      <c r="B479" s="156"/>
    </row>
    <row r="480" spans="2:2">
      <c r="B480" s="156"/>
    </row>
    <row r="481" spans="2:2">
      <c r="B481" s="156"/>
    </row>
    <row r="482" spans="2:2">
      <c r="B482" s="156"/>
    </row>
    <row r="483" spans="2:2">
      <c r="B483" s="156"/>
    </row>
    <row r="484" spans="2:2">
      <c r="B484" s="156"/>
    </row>
    <row r="485" spans="2:2">
      <c r="B485" s="156"/>
    </row>
    <row r="486" spans="2:2">
      <c r="B486" s="156"/>
    </row>
    <row r="487" spans="2:2">
      <c r="B487" s="156"/>
    </row>
    <row r="488" spans="2:2">
      <c r="B488" s="156"/>
    </row>
    <row r="489" spans="2:2">
      <c r="B489" s="156"/>
    </row>
    <row r="490" spans="2:2">
      <c r="B490" s="156"/>
    </row>
    <row r="491" spans="2:2">
      <c r="B491" s="156"/>
    </row>
    <row r="492" spans="2:2">
      <c r="B492" s="156"/>
    </row>
    <row r="493" spans="2:2">
      <c r="B493" s="156"/>
    </row>
    <row r="494" spans="2:2">
      <c r="B494" s="156"/>
    </row>
    <row r="495" spans="2:2">
      <c r="B495" s="156"/>
    </row>
    <row r="496" spans="2:2">
      <c r="B496" s="156"/>
    </row>
    <row r="497" spans="2:2">
      <c r="B497" s="156"/>
    </row>
    <row r="498" spans="2:2">
      <c r="B498" s="156"/>
    </row>
    <row r="499" spans="2:2">
      <c r="B499" s="156"/>
    </row>
    <row r="500" spans="2:2">
      <c r="B500" s="156"/>
    </row>
    <row r="501" spans="2:2">
      <c r="B501" s="156"/>
    </row>
    <row r="502" spans="2:2">
      <c r="B502" s="156"/>
    </row>
    <row r="503" spans="2:2">
      <c r="B503" s="156"/>
    </row>
    <row r="504" spans="2:2">
      <c r="B504" s="156"/>
    </row>
    <row r="505" spans="2:2">
      <c r="B505" s="156"/>
    </row>
    <row r="506" spans="2:2">
      <c r="B506" s="156"/>
    </row>
    <row r="507" spans="2:2">
      <c r="B507" s="156"/>
    </row>
    <row r="508" spans="2:2">
      <c r="B508" s="156"/>
    </row>
    <row r="509" spans="2:2">
      <c r="B509" s="156"/>
    </row>
    <row r="510" spans="2:2">
      <c r="B510" s="156"/>
    </row>
    <row r="511" spans="2:2">
      <c r="B511" s="156"/>
    </row>
    <row r="512" spans="2:2">
      <c r="B512" s="156"/>
    </row>
    <row r="513" spans="2:2">
      <c r="B513" s="156"/>
    </row>
    <row r="514" spans="2:2">
      <c r="B514" s="156"/>
    </row>
    <row r="515" spans="2:2">
      <c r="B515" s="156"/>
    </row>
    <row r="516" spans="2:2">
      <c r="B516" s="156"/>
    </row>
    <row r="517" spans="2:2">
      <c r="B517" s="156"/>
    </row>
    <row r="518" spans="2:2">
      <c r="B518" s="156"/>
    </row>
    <row r="519" spans="2:2">
      <c r="B519" s="156"/>
    </row>
    <row r="520" spans="2:2">
      <c r="B520" s="156"/>
    </row>
    <row r="521" spans="2:2">
      <c r="B521" s="156"/>
    </row>
    <row r="522" spans="2:2">
      <c r="B522" s="156"/>
    </row>
    <row r="523" spans="2:2">
      <c r="B523" s="156"/>
    </row>
    <row r="524" spans="2:2">
      <c r="B524" s="156"/>
    </row>
    <row r="525" spans="2:2">
      <c r="B525" s="156"/>
    </row>
    <row r="526" spans="2:2">
      <c r="B526" s="156"/>
    </row>
    <row r="527" spans="2:2">
      <c r="B527" s="156"/>
    </row>
    <row r="528" spans="2:2">
      <c r="B528" s="156"/>
    </row>
    <row r="529" spans="2:2">
      <c r="B529" s="156"/>
    </row>
    <row r="530" spans="2:2">
      <c r="B530" s="156"/>
    </row>
    <row r="531" spans="2:2">
      <c r="B531" s="156"/>
    </row>
    <row r="532" spans="2:2">
      <c r="B532" s="156"/>
    </row>
    <row r="533" spans="2:2">
      <c r="B533" s="156"/>
    </row>
    <row r="534" spans="2:2">
      <c r="B534" s="156"/>
    </row>
    <row r="535" spans="2:2">
      <c r="B535" s="156"/>
    </row>
    <row r="536" spans="2:2">
      <c r="B536" s="156"/>
    </row>
    <row r="537" spans="2:2">
      <c r="B537" s="156"/>
    </row>
    <row r="538" spans="2:2">
      <c r="B538" s="156"/>
    </row>
    <row r="539" spans="2:2">
      <c r="B539" s="156"/>
    </row>
    <row r="540" spans="2:2">
      <c r="B540" s="156"/>
    </row>
    <row r="541" spans="2:2">
      <c r="B541" s="156"/>
    </row>
    <row r="542" spans="2:2">
      <c r="B542" s="156"/>
    </row>
    <row r="543" spans="2:2">
      <c r="B543" s="156"/>
    </row>
    <row r="544" spans="2:2">
      <c r="B544" s="156"/>
    </row>
    <row r="545" spans="2:2">
      <c r="B545" s="156"/>
    </row>
  </sheetData>
  <mergeCells count="9">
    <mergeCell ref="H42:H43"/>
    <mergeCell ref="A2:C2"/>
    <mergeCell ref="A1:C1"/>
    <mergeCell ref="F5:F14"/>
    <mergeCell ref="F103:F104"/>
    <mergeCell ref="G5:G14"/>
    <mergeCell ref="G103:G105"/>
    <mergeCell ref="G17:G25"/>
    <mergeCell ref="F17:F25"/>
  </mergeCells>
  <phoneticPr fontId="0" type="noConversion"/>
  <printOptions horizontalCentered="1"/>
  <pageMargins left="0.70866141732283472" right="0.70866141732283472" top="0.11811023622047245" bottom="0.15748031496062992" header="0.31496062992125984" footer="0.15748031496062992"/>
  <pageSetup paperSize="9" scale="52" fitToHeight="2" orientation="portrait" r:id="rId1"/>
  <rowBreaks count="1" manualBreakCount="1">
    <brk id="9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U47"/>
  <sheetViews>
    <sheetView zoomScaleNormal="100" workbookViewId="0">
      <selection activeCell="M5" sqref="M5"/>
    </sheetView>
  </sheetViews>
  <sheetFormatPr defaultColWidth="8.85546875" defaultRowHeight="15.75"/>
  <cols>
    <col min="1" max="2" width="8.85546875" style="36"/>
    <col min="3" max="3" width="8.85546875" style="70"/>
    <col min="4" max="4" width="38.42578125" style="70" customWidth="1"/>
    <col min="5" max="5" width="17.28515625" style="66" customWidth="1"/>
    <col min="6" max="6" width="9.140625" style="70" hidden="1" customWidth="1"/>
    <col min="7" max="10" width="8.85546875" style="70"/>
    <col min="11" max="11" width="12" style="70" customWidth="1"/>
    <col min="12" max="12" width="8.85546875" style="70"/>
    <col min="13" max="16384" width="8.85546875" style="36"/>
  </cols>
  <sheetData>
    <row r="1" spans="1:14">
      <c r="A1" s="710" t="s">
        <v>954</v>
      </c>
      <c r="B1" s="710"/>
      <c r="C1" s="710"/>
      <c r="D1" s="710"/>
      <c r="E1" s="710"/>
      <c r="F1" s="710"/>
      <c r="G1" s="710"/>
      <c r="H1" s="710"/>
      <c r="I1" s="710"/>
    </row>
    <row r="3" spans="1:14" ht="16.5" thickBot="1"/>
    <row r="4" spans="1:14" ht="37.5" customHeight="1">
      <c r="A4" s="713" t="s">
        <v>470</v>
      </c>
      <c r="B4" s="714"/>
      <c r="C4" s="714"/>
      <c r="D4" s="714"/>
      <c r="E4" s="714"/>
      <c r="F4" s="714"/>
      <c r="G4" s="714"/>
      <c r="H4" s="714"/>
      <c r="I4" s="714"/>
      <c r="J4" s="714"/>
      <c r="K4" s="714"/>
      <c r="L4" s="715"/>
      <c r="M4" s="70"/>
      <c r="N4" s="70"/>
    </row>
    <row r="5" spans="1:14" ht="37.5" customHeight="1">
      <c r="A5" s="458"/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60"/>
      <c r="M5" s="70"/>
      <c r="N5" s="70"/>
    </row>
    <row r="6" spans="1:14" ht="39.75" customHeight="1">
      <c r="A6" s="458"/>
      <c r="B6" s="165"/>
      <c r="C6" s="461"/>
      <c r="D6" s="461"/>
      <c r="E6" s="462"/>
      <c r="F6" s="461"/>
      <c r="G6" s="711" t="s">
        <v>471</v>
      </c>
      <c r="H6" s="711"/>
      <c r="I6" s="711" t="s">
        <v>514</v>
      </c>
      <c r="J6" s="711"/>
      <c r="K6" s="711" t="s">
        <v>514</v>
      </c>
      <c r="L6" s="712"/>
      <c r="M6" s="70"/>
    </row>
    <row r="7" spans="1:14" ht="20.25">
      <c r="A7" s="458"/>
      <c r="B7" s="463"/>
      <c r="C7" s="464" t="s">
        <v>211</v>
      </c>
      <c r="D7" s="464"/>
      <c r="E7" s="465"/>
      <c r="F7" s="464"/>
      <c r="G7" s="466">
        <f>+'4.a sz.mell.'!AK10</f>
        <v>27</v>
      </c>
      <c r="H7" s="464" t="s">
        <v>313</v>
      </c>
      <c r="I7" s="466">
        <f>+'4.a sz.mell.'!AL10</f>
        <v>15</v>
      </c>
      <c r="J7" s="464" t="s">
        <v>313</v>
      </c>
      <c r="K7" s="466">
        <f>+'4.a sz.mell.'!AM10</f>
        <v>15</v>
      </c>
      <c r="L7" s="593" t="s">
        <v>313</v>
      </c>
      <c r="M7" s="70"/>
    </row>
    <row r="8" spans="1:14" ht="20.25">
      <c r="A8" s="458"/>
      <c r="B8" s="463"/>
      <c r="C8" s="464"/>
      <c r="D8" s="464"/>
      <c r="E8" s="465"/>
      <c r="F8" s="464"/>
      <c r="G8" s="464"/>
      <c r="H8" s="461"/>
      <c r="I8" s="464"/>
      <c r="J8" s="461"/>
      <c r="K8" s="464"/>
      <c r="L8" s="460"/>
      <c r="M8" s="70"/>
    </row>
    <row r="9" spans="1:14" ht="20.25">
      <c r="A9" s="458"/>
      <c r="B9" s="463"/>
      <c r="C9" s="464"/>
      <c r="D9" s="464"/>
      <c r="E9" s="465"/>
      <c r="F9" s="464"/>
      <c r="G9" s="464"/>
      <c r="H9" s="461"/>
      <c r="I9" s="464"/>
      <c r="J9" s="461"/>
      <c r="K9" s="464"/>
      <c r="L9" s="460"/>
      <c r="M9" s="70"/>
    </row>
    <row r="10" spans="1:14" ht="20.25">
      <c r="A10" s="458"/>
      <c r="B10" s="463"/>
      <c r="C10" s="464" t="s">
        <v>285</v>
      </c>
      <c r="D10" s="464"/>
      <c r="E10" s="465"/>
      <c r="F10" s="464"/>
      <c r="G10" s="466">
        <f>+'4.a sz.mell.'!AK12</f>
        <v>13</v>
      </c>
      <c r="H10" s="464" t="s">
        <v>313</v>
      </c>
      <c r="I10" s="466">
        <f>+'4.a sz.mell.'!AL11+'4.a sz.mell.'!AL12</f>
        <v>12</v>
      </c>
      <c r="J10" s="464" t="s">
        <v>313</v>
      </c>
      <c r="K10" s="466">
        <f>+'4.a sz.mell.'!AM11</f>
        <v>12</v>
      </c>
      <c r="L10" s="593" t="s">
        <v>313</v>
      </c>
      <c r="M10" s="70"/>
    </row>
    <row r="11" spans="1:14" ht="20.25">
      <c r="A11" s="458"/>
      <c r="B11" s="463"/>
      <c r="C11" s="464"/>
      <c r="D11" s="464"/>
      <c r="E11" s="465"/>
      <c r="F11" s="464"/>
      <c r="G11" s="464"/>
      <c r="H11" s="461"/>
      <c r="I11" s="464"/>
      <c r="J11" s="461"/>
      <c r="K11" s="464"/>
      <c r="L11" s="460"/>
      <c r="M11" s="70"/>
    </row>
    <row r="12" spans="1:14" ht="20.25">
      <c r="A12" s="458"/>
      <c r="B12" s="463"/>
      <c r="C12" s="464"/>
      <c r="D12" s="464"/>
      <c r="E12" s="465"/>
      <c r="F12" s="464"/>
      <c r="G12" s="464"/>
      <c r="H12" s="461"/>
      <c r="I12" s="464"/>
      <c r="J12" s="461"/>
      <c r="K12" s="464"/>
      <c r="L12" s="460"/>
      <c r="M12" s="70"/>
    </row>
    <row r="13" spans="1:14" ht="20.25">
      <c r="A13" s="458"/>
      <c r="B13" s="463"/>
      <c r="C13" s="464"/>
      <c r="D13" s="464"/>
      <c r="E13" s="465"/>
      <c r="F13" s="464"/>
      <c r="G13" s="464"/>
      <c r="H13" s="461"/>
      <c r="I13" s="464"/>
      <c r="J13" s="461"/>
      <c r="K13" s="464"/>
      <c r="L13" s="460"/>
      <c r="M13" s="70"/>
    </row>
    <row r="14" spans="1:14" ht="21" thickBot="1">
      <c r="A14" s="467"/>
      <c r="B14" s="468"/>
      <c r="C14" s="469"/>
      <c r="D14" s="469" t="s">
        <v>44</v>
      </c>
      <c r="E14" s="470"/>
      <c r="F14" s="469"/>
      <c r="G14" s="471">
        <f>+G7+G10</f>
        <v>40</v>
      </c>
      <c r="H14" s="469" t="s">
        <v>313</v>
      </c>
      <c r="I14" s="471">
        <f>+I7+I10</f>
        <v>27</v>
      </c>
      <c r="J14" s="469" t="s">
        <v>313</v>
      </c>
      <c r="K14" s="471">
        <f>+K7+K10</f>
        <v>27</v>
      </c>
      <c r="L14" s="594" t="s">
        <v>313</v>
      </c>
      <c r="M14" s="70"/>
    </row>
    <row r="15" spans="1:14" ht="20.25">
      <c r="B15" s="313"/>
      <c r="C15" s="314"/>
      <c r="D15" s="314"/>
      <c r="E15" s="315"/>
      <c r="F15" s="314"/>
      <c r="G15" s="314"/>
    </row>
    <row r="16" spans="1:14" ht="13.5" customHeight="1"/>
    <row r="19" spans="17:17" ht="18" customHeight="1"/>
    <row r="21" spans="17:17">
      <c r="Q21" s="458"/>
    </row>
    <row r="44" spans="3:21">
      <c r="E44" s="66">
        <v>69409668</v>
      </c>
      <c r="G44" s="70">
        <v>13721179</v>
      </c>
      <c r="I44" s="70">
        <v>12561989</v>
      </c>
      <c r="U44" s="36">
        <v>1498906</v>
      </c>
    </row>
    <row r="45" spans="3:21">
      <c r="C45" s="70" t="s">
        <v>558</v>
      </c>
      <c r="E45" s="66">
        <v>5116204</v>
      </c>
      <c r="G45" s="70">
        <v>937016</v>
      </c>
      <c r="I45" s="70">
        <v>366871</v>
      </c>
      <c r="K45" s="70">
        <v>108328</v>
      </c>
    </row>
    <row r="46" spans="3:21">
      <c r="G46" s="70">
        <v>1107935</v>
      </c>
    </row>
    <row r="47" spans="3:21">
      <c r="E47" s="66">
        <v>5820000</v>
      </c>
      <c r="G47" s="70">
        <v>1060855</v>
      </c>
    </row>
  </sheetData>
  <mergeCells count="5">
    <mergeCell ref="A1:I1"/>
    <mergeCell ref="G6:H6"/>
    <mergeCell ref="I6:J6"/>
    <mergeCell ref="K6:L6"/>
    <mergeCell ref="A4:L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U47"/>
  <sheetViews>
    <sheetView view="pageBreakPreview" zoomScale="55" zoomScaleNormal="80" zoomScaleSheetLayoutView="55" workbookViewId="0">
      <selection activeCell="J17" sqref="J17"/>
    </sheetView>
  </sheetViews>
  <sheetFormatPr defaultRowHeight="15.75"/>
  <cols>
    <col min="1" max="1" width="47.140625" style="83" customWidth="1"/>
    <col min="2" max="2" width="15.140625" style="88" customWidth="1"/>
    <col min="3" max="3" width="21.28515625" style="88" customWidth="1"/>
    <col min="4" max="4" width="23.7109375" style="88" customWidth="1"/>
    <col min="5" max="5" width="17.28515625" style="88" customWidth="1"/>
    <col min="6" max="6" width="21.7109375" style="88" customWidth="1"/>
    <col min="7" max="7" width="18.28515625" style="88" customWidth="1"/>
    <col min="8" max="8" width="21.7109375" style="88" customWidth="1"/>
    <col min="9" max="10" width="19.7109375" style="88" customWidth="1"/>
    <col min="11" max="11" width="20.42578125" style="88" customWidth="1"/>
    <col min="12" max="12" width="21.5703125" style="86" customWidth="1"/>
    <col min="13" max="13" width="26.140625" style="86" customWidth="1"/>
    <col min="14" max="14" width="20.7109375" style="86" customWidth="1"/>
    <col min="15" max="15" width="17.7109375" style="86" customWidth="1"/>
    <col min="16" max="16" width="18.85546875" style="87" customWidth="1"/>
    <col min="17" max="17" width="22.42578125" style="84" customWidth="1"/>
    <col min="18" max="16384" width="9.140625" style="84"/>
  </cols>
  <sheetData>
    <row r="1" spans="1:17" ht="21" customHeight="1">
      <c r="A1" s="637" t="s">
        <v>955</v>
      </c>
      <c r="B1" s="637"/>
      <c r="C1" s="637"/>
      <c r="D1" s="637"/>
      <c r="E1" s="637"/>
      <c r="F1" s="637"/>
      <c r="G1" s="637"/>
      <c r="H1" s="637"/>
      <c r="I1" s="637"/>
      <c r="J1" s="480"/>
      <c r="K1" s="480"/>
      <c r="L1" s="202"/>
      <c r="M1" s="202"/>
      <c r="N1" s="202"/>
      <c r="O1" s="202"/>
      <c r="P1" s="202"/>
    </row>
    <row r="2" spans="1:17"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7" ht="27.75" customHeight="1">
      <c r="A3" s="723" t="s">
        <v>61</v>
      </c>
      <c r="B3" s="723"/>
      <c r="C3" s="723"/>
      <c r="D3" s="723"/>
      <c r="E3" s="723"/>
      <c r="F3" s="723"/>
      <c r="G3" s="723"/>
      <c r="H3" s="723"/>
      <c r="I3" s="723"/>
      <c r="J3" s="482"/>
      <c r="K3" s="482"/>
      <c r="L3" s="274"/>
      <c r="M3" s="274"/>
      <c r="N3" s="274"/>
      <c r="O3" s="274"/>
      <c r="P3" s="274"/>
    </row>
    <row r="4" spans="1:17" ht="42.75" customHeight="1">
      <c r="A4" s="652" t="s">
        <v>67</v>
      </c>
      <c r="B4" s="652"/>
      <c r="C4" s="652"/>
      <c r="D4" s="652"/>
      <c r="E4" s="652"/>
      <c r="F4" s="652"/>
      <c r="G4" s="652"/>
      <c r="H4" s="652"/>
      <c r="I4" s="652"/>
      <c r="J4" s="481"/>
      <c r="K4" s="481"/>
      <c r="L4" s="221"/>
      <c r="M4" s="221"/>
      <c r="N4" s="221"/>
      <c r="O4" s="221"/>
      <c r="P4" s="221"/>
    </row>
    <row r="5" spans="1:17" ht="30" customHeight="1" thickBot="1">
      <c r="A5" s="275"/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</row>
    <row r="6" spans="1:17" ht="54.75" customHeight="1" thickBot="1">
      <c r="A6" s="722" t="s">
        <v>255</v>
      </c>
      <c r="B6" s="721" t="s">
        <v>294</v>
      </c>
      <c r="C6" s="719" t="s">
        <v>472</v>
      </c>
      <c r="D6" s="724" t="s">
        <v>292</v>
      </c>
      <c r="E6" s="725"/>
      <c r="F6" s="726" t="s">
        <v>473</v>
      </c>
      <c r="G6" s="727"/>
      <c r="H6" s="728" t="s">
        <v>474</v>
      </c>
      <c r="I6" s="725"/>
      <c r="J6" s="725"/>
      <c r="K6" s="729"/>
      <c r="L6" s="716" t="s">
        <v>291</v>
      </c>
      <c r="M6" s="717"/>
      <c r="N6" s="717"/>
      <c r="O6" s="717"/>
      <c r="P6" s="717"/>
      <c r="Q6" s="718"/>
    </row>
    <row r="7" spans="1:17" ht="73.5" customHeight="1">
      <c r="A7" s="722"/>
      <c r="B7" s="721"/>
      <c r="C7" s="720"/>
      <c r="D7" s="485" t="s">
        <v>314</v>
      </c>
      <c r="E7" s="485" t="s">
        <v>315</v>
      </c>
      <c r="F7" s="485" t="s">
        <v>314</v>
      </c>
      <c r="G7" s="485" t="s">
        <v>315</v>
      </c>
      <c r="H7" s="485" t="s">
        <v>314</v>
      </c>
      <c r="I7" s="485" t="s">
        <v>315</v>
      </c>
      <c r="J7" s="485" t="s">
        <v>515</v>
      </c>
      <c r="K7" s="485" t="s">
        <v>516</v>
      </c>
      <c r="L7" s="485" t="s">
        <v>314</v>
      </c>
      <c r="M7" s="485" t="s">
        <v>315</v>
      </c>
      <c r="N7" s="485" t="s">
        <v>515</v>
      </c>
      <c r="O7" s="485" t="s">
        <v>516</v>
      </c>
      <c r="P7" s="485" t="s">
        <v>672</v>
      </c>
      <c r="Q7" s="577" t="s">
        <v>673</v>
      </c>
    </row>
    <row r="8" spans="1:17" ht="83.25" customHeight="1">
      <c r="A8" s="276" t="s">
        <v>295</v>
      </c>
      <c r="B8" s="575" t="s">
        <v>249</v>
      </c>
      <c r="C8" s="578">
        <v>89180205</v>
      </c>
      <c r="D8" s="278">
        <v>49599394</v>
      </c>
      <c r="E8" s="279">
        <f>+D8/C8</f>
        <v>0.55617044163556251</v>
      </c>
      <c r="F8" s="278">
        <f>+D8-14740137</f>
        <v>34859257</v>
      </c>
      <c r="G8" s="279">
        <f>+F8/C8</f>
        <v>0.39088558946461271</v>
      </c>
      <c r="H8" s="278">
        <v>38712761</v>
      </c>
      <c r="I8" s="279">
        <f>+H8/C8</f>
        <v>0.43409589605675386</v>
      </c>
      <c r="J8" s="278">
        <v>38712761</v>
      </c>
      <c r="K8" s="279">
        <f>+J8/C8</f>
        <v>0.43409589605675386</v>
      </c>
      <c r="L8" s="278">
        <v>53452898</v>
      </c>
      <c r="M8" s="279">
        <f>+L8/C8</f>
        <v>0.59938074822770371</v>
      </c>
      <c r="N8" s="278">
        <f>+L8</f>
        <v>53452898</v>
      </c>
      <c r="O8" s="279">
        <f>+N8/C8</f>
        <v>0.59938074822770371</v>
      </c>
      <c r="P8" s="278">
        <f>39857738+6839200</f>
        <v>46696938</v>
      </c>
      <c r="Q8" s="579">
        <f>+P8/L8</f>
        <v>0.87360909786406715</v>
      </c>
    </row>
    <row r="9" spans="1:17" s="89" customFormat="1" ht="82.5" customHeight="1" thickBot="1">
      <c r="A9" s="277" t="s">
        <v>293</v>
      </c>
      <c r="B9" s="576" t="s">
        <v>249</v>
      </c>
      <c r="C9" s="580">
        <v>88739589</v>
      </c>
      <c r="D9" s="581">
        <v>48307343</v>
      </c>
      <c r="E9" s="582">
        <f>+D9/C9</f>
        <v>0.54437194880404505</v>
      </c>
      <c r="F9" s="581">
        <f>+D9-23005204</f>
        <v>25302139</v>
      </c>
      <c r="G9" s="583">
        <f>+F9/C9</f>
        <v>0.285127971462658</v>
      </c>
      <c r="H9" s="581">
        <v>39091566</v>
      </c>
      <c r="I9" s="583">
        <f>+H9/C9</f>
        <v>0.44052002539700741</v>
      </c>
      <c r="J9" s="581">
        <v>39091566</v>
      </c>
      <c r="K9" s="583">
        <f>+J9/C9</f>
        <v>0.44052002539700741</v>
      </c>
      <c r="L9" s="581">
        <v>62096770</v>
      </c>
      <c r="M9" s="583">
        <f>+L9/C9</f>
        <v>0.69976400273839445</v>
      </c>
      <c r="N9" s="581">
        <f>+L9</f>
        <v>62096770</v>
      </c>
      <c r="O9" s="583">
        <f>+N9/C9</f>
        <v>0.69976400273839445</v>
      </c>
      <c r="P9" s="581">
        <f>27351989+7620935</f>
        <v>34972924</v>
      </c>
      <c r="Q9" s="584">
        <f>+P9/L9</f>
        <v>0.56320037257976541</v>
      </c>
    </row>
    <row r="44" spans="3:21">
      <c r="E44" s="88">
        <v>69409668</v>
      </c>
      <c r="G44" s="88">
        <v>13721179</v>
      </c>
      <c r="I44" s="88">
        <v>12561989</v>
      </c>
      <c r="U44" s="84">
        <v>1498906</v>
      </c>
    </row>
    <row r="45" spans="3:21" ht="47.25">
      <c r="C45" s="88" t="s">
        <v>558</v>
      </c>
      <c r="E45" s="88">
        <v>5116204</v>
      </c>
      <c r="G45" s="88">
        <v>937016</v>
      </c>
      <c r="I45" s="88">
        <v>366871</v>
      </c>
      <c r="K45" s="88">
        <v>108328</v>
      </c>
    </row>
    <row r="46" spans="3:21">
      <c r="G46" s="88">
        <v>1107935</v>
      </c>
    </row>
    <row r="47" spans="3:21">
      <c r="E47" s="88">
        <v>5820000</v>
      </c>
      <c r="G47" s="88">
        <v>1060855</v>
      </c>
    </row>
  </sheetData>
  <mergeCells count="10">
    <mergeCell ref="L6:Q6"/>
    <mergeCell ref="A1:I1"/>
    <mergeCell ref="C6:C7"/>
    <mergeCell ref="B6:B7"/>
    <mergeCell ref="A6:A7"/>
    <mergeCell ref="A4:I4"/>
    <mergeCell ref="A3:I3"/>
    <mergeCell ref="D6:E6"/>
    <mergeCell ref="F6:G6"/>
    <mergeCell ref="H6:K6"/>
  </mergeCells>
  <phoneticPr fontId="0" type="noConversion"/>
  <printOptions horizontalCentered="1"/>
  <pageMargins left="0.27559055118110237" right="0.15748031496062992" top="0.39370078740157483" bottom="0.43307086614173229" header="0.51181102362204722" footer="0.51181102362204722"/>
  <pageSetup paperSize="8" scale="5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U47"/>
  <sheetViews>
    <sheetView view="pageBreakPreview" topLeftCell="B1" zoomScale="60" zoomScaleNormal="100" workbookViewId="0">
      <selection activeCell="L8" sqref="L8"/>
    </sheetView>
  </sheetViews>
  <sheetFormatPr defaultColWidth="8.85546875" defaultRowHeight="15.75"/>
  <cols>
    <col min="1" max="1" width="12.28515625" style="36" hidden="1" customWidth="1"/>
    <col min="2" max="2" width="47.28515625" style="36" customWidth="1"/>
    <col min="3" max="3" width="20.7109375" style="70" customWidth="1"/>
    <col min="4" max="4" width="24.42578125" style="70" customWidth="1"/>
    <col min="5" max="5" width="26.140625" style="70" customWidth="1"/>
    <col min="6" max="7" width="9.140625" style="70" customWidth="1"/>
    <col min="8" max="9" width="8.85546875" style="91"/>
    <col min="10" max="10" width="8.85546875" style="36"/>
    <col min="11" max="11" width="20.42578125" style="36" customWidth="1"/>
    <col min="12" max="16384" width="8.85546875" style="36"/>
  </cols>
  <sheetData>
    <row r="1" spans="1:9" ht="40.5" customHeight="1">
      <c r="A1" s="730" t="s">
        <v>956</v>
      </c>
      <c r="B1" s="730"/>
      <c r="C1" s="730"/>
      <c r="D1" s="202"/>
      <c r="E1" s="202"/>
      <c r="F1" s="202"/>
      <c r="G1" s="202"/>
    </row>
    <row r="4" spans="1:9" ht="38.25" customHeight="1">
      <c r="A4" s="316" t="s">
        <v>417</v>
      </c>
      <c r="B4" s="731" t="s">
        <v>674</v>
      </c>
      <c r="C4" s="731"/>
      <c r="D4" s="731"/>
      <c r="E4" s="731"/>
      <c r="F4" s="316"/>
      <c r="G4" s="316"/>
    </row>
    <row r="6" spans="1:9" ht="16.5" thickBot="1">
      <c r="C6" s="92" t="s">
        <v>264</v>
      </c>
    </row>
    <row r="7" spans="1:9" ht="16.5" customHeight="1" thickBot="1">
      <c r="C7" s="367" t="s">
        <v>309</v>
      </c>
      <c r="D7" s="367" t="s">
        <v>355</v>
      </c>
      <c r="E7" s="367" t="s">
        <v>646</v>
      </c>
    </row>
    <row r="8" spans="1:9" s="38" customFormat="1" ht="35.1" customHeight="1" thickBot="1">
      <c r="B8" s="369" t="s">
        <v>70</v>
      </c>
      <c r="C8" s="366">
        <f>+'1.sz.mell.'!C108</f>
        <v>107151973</v>
      </c>
      <c r="D8" s="366">
        <f>+'1.sz.mell.'!D108</f>
        <v>89261498</v>
      </c>
      <c r="E8" s="366">
        <f>+'1.sz.mell.'!E108</f>
        <v>0</v>
      </c>
      <c r="F8" s="93"/>
      <c r="G8" s="93"/>
      <c r="H8" s="94"/>
      <c r="I8" s="94"/>
    </row>
    <row r="9" spans="1:9" ht="18.75">
      <c r="B9" s="368" t="s">
        <v>304</v>
      </c>
      <c r="C9" s="280">
        <f>+'4.a sz.mell.'!S15</f>
        <v>32120642</v>
      </c>
      <c r="D9" s="280">
        <f>+'4.a sz.mell.'!T15</f>
        <v>32120642</v>
      </c>
      <c r="E9" s="366">
        <f>+'1.sz.mell.'!E109</f>
        <v>0</v>
      </c>
    </row>
    <row r="10" spans="1:9" ht="47.25">
      <c r="B10" s="123" t="s">
        <v>476</v>
      </c>
      <c r="C10" s="280">
        <f>+'4.a sz.mell.'!S17</f>
        <v>67707822</v>
      </c>
      <c r="D10" s="280">
        <f>+'4.a sz.mell.'!T17</f>
        <v>49817347</v>
      </c>
      <c r="E10" s="280">
        <f>+'4.a sz.mell.'!U16</f>
        <v>0</v>
      </c>
    </row>
    <row r="11" spans="1:9" ht="31.5">
      <c r="B11" s="123" t="s">
        <v>475</v>
      </c>
      <c r="C11" s="280">
        <f>+'4.a sz.mell.'!S20</f>
        <v>2267425</v>
      </c>
      <c r="D11" s="280">
        <f>+'4.a sz.mell.'!T20</f>
        <v>2267425</v>
      </c>
      <c r="E11" s="280">
        <f>+'4.a sz.mell.'!U18</f>
        <v>0</v>
      </c>
    </row>
    <row r="12" spans="1:9" ht="47.25">
      <c r="B12" s="123" t="s">
        <v>477</v>
      </c>
      <c r="C12" s="280">
        <f>+'4.a sz.mell.'!S28</f>
        <v>5056084</v>
      </c>
      <c r="D12" s="280">
        <f>+'4.a sz.mell.'!T28</f>
        <v>5056084</v>
      </c>
      <c r="E12" s="280">
        <f>+'4.a sz.mell.'!U21</f>
        <v>0</v>
      </c>
    </row>
    <row r="13" spans="1:9" s="38" customFormat="1" ht="28.5" customHeight="1">
      <c r="B13" s="351" t="s">
        <v>305</v>
      </c>
      <c r="C13" s="350">
        <f>+'1.sz.mell.'!C107</f>
        <v>0</v>
      </c>
      <c r="D13" s="350">
        <f>+'1.sz.mell.'!D107</f>
        <v>0</v>
      </c>
      <c r="E13" s="280">
        <f>+'4.a sz.mell.'!U29</f>
        <v>0</v>
      </c>
      <c r="F13" s="93"/>
      <c r="G13" s="93"/>
      <c r="H13" s="94"/>
      <c r="I13" s="94"/>
    </row>
    <row r="14" spans="1:9" ht="20.25">
      <c r="B14" s="332" t="s">
        <v>177</v>
      </c>
      <c r="C14" s="333">
        <f>+C13+C8</f>
        <v>107151973</v>
      </c>
      <c r="D14" s="333">
        <f>+D13+D8</f>
        <v>89261498</v>
      </c>
      <c r="E14" s="350">
        <f>+'1.sz.mell.'!E108</f>
        <v>0</v>
      </c>
    </row>
    <row r="15" spans="1:9" ht="20.25">
      <c r="E15" s="333">
        <f>+E14+E9</f>
        <v>0</v>
      </c>
    </row>
    <row r="16" spans="1:9">
      <c r="C16" s="69">
        <f>+'4.a sz.mell.'!S66</f>
        <v>107151973</v>
      </c>
      <c r="D16" s="69">
        <f>+'4.a sz.mell.'!T66</f>
        <v>89261498</v>
      </c>
      <c r="E16" s="69">
        <f>+'4.a sz.mell.'!U66</f>
        <v>0</v>
      </c>
    </row>
    <row r="17" spans="4:4">
      <c r="D17" s="69"/>
    </row>
    <row r="44" spans="3:21">
      <c r="E44" s="70">
        <v>69409668</v>
      </c>
      <c r="G44" s="70">
        <v>13721179</v>
      </c>
      <c r="I44" s="91">
        <v>12561989</v>
      </c>
      <c r="U44" s="36">
        <v>1498906</v>
      </c>
    </row>
    <row r="45" spans="3:21">
      <c r="C45" s="70" t="s">
        <v>558</v>
      </c>
      <c r="E45" s="70">
        <v>5116204</v>
      </c>
      <c r="G45" s="70">
        <v>937016</v>
      </c>
      <c r="I45" s="91">
        <v>366871</v>
      </c>
      <c r="K45" s="36">
        <v>108328</v>
      </c>
    </row>
    <row r="46" spans="3:21">
      <c r="G46" s="70">
        <v>1107935</v>
      </c>
    </row>
    <row r="47" spans="3:21">
      <c r="E47" s="70">
        <v>5820000</v>
      </c>
      <c r="G47" s="70">
        <v>1060855</v>
      </c>
    </row>
  </sheetData>
  <mergeCells count="2">
    <mergeCell ref="A1:C1"/>
    <mergeCell ref="B4:E4"/>
  </mergeCells>
  <phoneticPr fontId="0" type="noConversion"/>
  <printOptions horizontalCentered="1"/>
  <pageMargins left="0.55118110236220474" right="0.27559055118110237" top="0.74803149606299213" bottom="0.74803149606299213" header="0.31496062992125984" footer="0.31496062992125984"/>
  <pageSetup paperSize="9" scale="79" orientation="portrait" r:id="rId1"/>
  <colBreaks count="1" manualBreakCount="1">
    <brk id="2" max="1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K58"/>
  <sheetViews>
    <sheetView zoomScaleNormal="100" workbookViewId="0">
      <selection activeCell="G4" sqref="G4"/>
    </sheetView>
  </sheetViews>
  <sheetFormatPr defaultRowHeight="15"/>
  <cols>
    <col min="1" max="1" width="27.42578125" customWidth="1"/>
    <col min="2" max="2" width="24.140625" customWidth="1"/>
    <col min="3" max="3" width="24.28515625" customWidth="1"/>
    <col min="4" max="4" width="19.28515625" customWidth="1"/>
    <col min="5" max="6" width="20.7109375" customWidth="1"/>
    <col min="7" max="7" width="16.28515625" customWidth="1"/>
  </cols>
  <sheetData>
    <row r="1" spans="1:11" ht="15.75">
      <c r="A1" s="733" t="s">
        <v>957</v>
      </c>
      <c r="B1" s="733"/>
      <c r="C1" s="733"/>
      <c r="D1" s="733"/>
      <c r="E1" s="733"/>
      <c r="F1" s="733"/>
      <c r="G1" s="733"/>
      <c r="H1" s="352"/>
      <c r="I1" s="352"/>
      <c r="J1" s="352"/>
      <c r="K1" s="95"/>
    </row>
    <row r="2" spans="1:11" ht="15.75">
      <c r="A2" s="734" t="s">
        <v>61</v>
      </c>
      <c r="B2" s="734"/>
      <c r="C2" s="734"/>
      <c r="D2" s="734"/>
      <c r="E2" s="734"/>
      <c r="F2" s="734"/>
      <c r="G2" s="734"/>
      <c r="H2" s="96"/>
      <c r="I2" s="96"/>
      <c r="J2" s="96"/>
      <c r="K2" s="95"/>
    </row>
    <row r="3" spans="1:11">
      <c r="A3" s="734"/>
      <c r="B3" s="734"/>
      <c r="C3" s="734"/>
      <c r="D3" s="734"/>
      <c r="E3" s="734"/>
      <c r="F3" s="734"/>
      <c r="G3" s="734"/>
      <c r="H3" s="417"/>
      <c r="I3" s="417"/>
      <c r="J3" s="417"/>
    </row>
    <row r="4" spans="1:11" ht="41.45" customHeight="1">
      <c r="A4" s="736" t="s">
        <v>71</v>
      </c>
      <c r="B4" s="736"/>
      <c r="C4" s="736"/>
      <c r="D4" s="736"/>
      <c r="E4" s="736"/>
      <c r="F4" s="736"/>
      <c r="G4" s="416"/>
      <c r="H4" s="416"/>
      <c r="I4" s="416"/>
      <c r="J4" s="416"/>
    </row>
    <row r="7" spans="1:11" ht="24" customHeight="1">
      <c r="A7" s="735" t="s">
        <v>395</v>
      </c>
      <c r="B7" s="735"/>
      <c r="C7" s="735"/>
      <c r="D7" s="735"/>
      <c r="E7" s="735"/>
      <c r="F7" s="735"/>
      <c r="G7" s="735"/>
      <c r="H7" s="418"/>
      <c r="I7" s="418"/>
      <c r="J7" s="418"/>
    </row>
    <row r="9" spans="1:11" ht="30">
      <c r="A9" s="403" t="s">
        <v>399</v>
      </c>
      <c r="B9" s="547">
        <v>2019</v>
      </c>
      <c r="C9" s="547">
        <v>2020</v>
      </c>
      <c r="D9" s="547">
        <v>2021</v>
      </c>
      <c r="E9" s="547">
        <v>2022</v>
      </c>
      <c r="F9" s="547" t="s">
        <v>69</v>
      </c>
    </row>
    <row r="10" spans="1:11" s="407" customFormat="1" ht="21.75" customHeight="1">
      <c r="A10" s="405" t="s">
        <v>396</v>
      </c>
      <c r="B10" s="548">
        <f>+(1496674/127)*100</f>
        <v>1178483.464566929</v>
      </c>
      <c r="C10" s="548">
        <f>((+C31+C32+C33+C34+C35+C36+C37+C38+C39+C40+C41+C42)/127)*100</f>
        <v>545413.38582677161</v>
      </c>
      <c r="D10" s="548">
        <f>((+C43+C44++C45+C46+C47+C48+C49+C50+C51+C52+C53+C54)/127)*100</f>
        <v>572774.01574803155</v>
      </c>
      <c r="E10" s="548">
        <f>((C55)/127)*100</f>
        <v>49000.787401574802</v>
      </c>
      <c r="F10" s="549">
        <f>E10+D10+C10+B10</f>
        <v>2345671.653543307</v>
      </c>
    </row>
    <row r="11" spans="1:11" s="407" customFormat="1" ht="21.75" customHeight="1">
      <c r="A11" s="405" t="s">
        <v>398</v>
      </c>
      <c r="B11" s="548">
        <f>+B10*0.27</f>
        <v>318190.53543307085</v>
      </c>
      <c r="C11" s="548">
        <f>+C10*0.27</f>
        <v>147261.61417322836</v>
      </c>
      <c r="D11" s="548">
        <f>+D10*0.27</f>
        <v>154648.98425196853</v>
      </c>
      <c r="E11" s="548">
        <f>+E10*0.27</f>
        <v>13230.212598425198</v>
      </c>
      <c r="F11" s="549">
        <f t="shared" ref="F11:F13" si="0">E11+D11+C11+B11</f>
        <v>633331.3464566929</v>
      </c>
    </row>
    <row r="12" spans="1:11" s="407" customFormat="1" ht="21.75" customHeight="1">
      <c r="A12" s="405" t="s">
        <v>397</v>
      </c>
      <c r="B12" s="548">
        <f>+D20+D21+D22+D23+D24+D25+D26+D27+D28+D29+D30</f>
        <v>84404</v>
      </c>
      <c r="C12" s="548">
        <f>+D31+D32+D33+D34+D35+D36+D37+D38+D39+D40+D41+D42</f>
        <v>57192</v>
      </c>
      <c r="D12" s="548">
        <f>+D43+D44+D45+D46+D47+D48+D49+D50+D51+D52+D53+D54</f>
        <v>22443</v>
      </c>
      <c r="E12" s="548">
        <f>+D55</f>
        <v>258</v>
      </c>
      <c r="F12" s="549">
        <f t="shared" si="0"/>
        <v>164297</v>
      </c>
    </row>
    <row r="13" spans="1:11" s="407" customFormat="1" ht="21.75" customHeight="1">
      <c r="A13" s="405" t="s">
        <v>68</v>
      </c>
      <c r="B13" s="548">
        <f>+B10+B11+B12</f>
        <v>1581078</v>
      </c>
      <c r="C13" s="548">
        <f t="shared" ref="C13" si="1">+C10+C11+C12</f>
        <v>749867</v>
      </c>
      <c r="D13" s="548">
        <f>+D10+D11+D12</f>
        <v>749866.00000000012</v>
      </c>
      <c r="E13" s="548">
        <f>+E10+E11+E12</f>
        <v>62489</v>
      </c>
      <c r="F13" s="549">
        <f t="shared" si="0"/>
        <v>3143300</v>
      </c>
    </row>
    <row r="14" spans="1:11">
      <c r="F14" s="401">
        <f>+F13-E56</f>
        <v>0</v>
      </c>
      <c r="G14" s="401"/>
    </row>
    <row r="15" spans="1:11">
      <c r="G15" s="401"/>
    </row>
    <row r="16" spans="1:11" ht="22.5" customHeight="1">
      <c r="A16" s="732" t="s">
        <v>400</v>
      </c>
      <c r="B16" s="732"/>
      <c r="C16" s="732"/>
      <c r="D16" s="732"/>
      <c r="E16" s="732"/>
      <c r="F16" s="732"/>
      <c r="G16" s="732"/>
    </row>
    <row r="18" spans="2:6" ht="27.75" customHeight="1">
      <c r="B18" s="404" t="s">
        <v>401</v>
      </c>
      <c r="C18" s="404" t="s">
        <v>402</v>
      </c>
      <c r="D18" s="404" t="s">
        <v>404</v>
      </c>
      <c r="E18" s="404" t="s">
        <v>403</v>
      </c>
      <c r="F18" s="472"/>
    </row>
    <row r="19" spans="2:6" ht="27.75" customHeight="1">
      <c r="B19" s="411" t="s">
        <v>406</v>
      </c>
      <c r="C19" s="406">
        <v>893700</v>
      </c>
      <c r="D19" s="404">
        <v>0</v>
      </c>
      <c r="E19" s="406">
        <f>+C19+D19</f>
        <v>893700</v>
      </c>
      <c r="F19" s="473"/>
    </row>
    <row r="20" spans="2:6">
      <c r="B20" s="408">
        <v>43511</v>
      </c>
      <c r="C20" s="402">
        <v>50780</v>
      </c>
      <c r="D20" s="402">
        <v>11709</v>
      </c>
      <c r="E20" s="402">
        <f>+C20+D20</f>
        <v>62489</v>
      </c>
      <c r="F20" s="474"/>
    </row>
    <row r="21" spans="2:6">
      <c r="B21" s="408">
        <v>43542</v>
      </c>
      <c r="C21" s="402">
        <v>54057</v>
      </c>
      <c r="D21" s="402">
        <v>8432</v>
      </c>
      <c r="E21" s="402">
        <f t="shared" ref="E21:E55" si="2">+C21+D21</f>
        <v>62489</v>
      </c>
      <c r="F21" s="474"/>
    </row>
    <row r="22" spans="2:6">
      <c r="B22" s="408">
        <v>43570</v>
      </c>
      <c r="C22" s="402">
        <v>54281</v>
      </c>
      <c r="D22" s="402">
        <v>8208</v>
      </c>
      <c r="E22" s="402">
        <f t="shared" si="2"/>
        <v>62489</v>
      </c>
      <c r="F22" s="474"/>
    </row>
    <row r="23" spans="2:6">
      <c r="B23" s="408">
        <v>43600</v>
      </c>
      <c r="C23" s="402">
        <v>54506</v>
      </c>
      <c r="D23" s="402">
        <v>7983</v>
      </c>
      <c r="E23" s="402">
        <f t="shared" si="2"/>
        <v>62489</v>
      </c>
      <c r="F23" s="474"/>
    </row>
    <row r="24" spans="2:6">
      <c r="B24" s="408">
        <v>43633</v>
      </c>
      <c r="C24" s="402">
        <v>55483</v>
      </c>
      <c r="D24" s="402">
        <v>7006</v>
      </c>
      <c r="E24" s="402">
        <f t="shared" si="2"/>
        <v>62489</v>
      </c>
      <c r="F24" s="474"/>
    </row>
    <row r="25" spans="2:6">
      <c r="B25" s="408">
        <v>43661</v>
      </c>
      <c r="C25" s="402">
        <v>55205</v>
      </c>
      <c r="D25" s="402">
        <v>7284</v>
      </c>
      <c r="E25" s="402">
        <f t="shared" si="2"/>
        <v>62489</v>
      </c>
      <c r="F25" s="474"/>
    </row>
    <row r="26" spans="2:6">
      <c r="B26" s="408">
        <v>43692</v>
      </c>
      <c r="C26" s="402">
        <v>54720</v>
      </c>
      <c r="D26" s="402">
        <v>7769</v>
      </c>
      <c r="E26" s="402">
        <f t="shared" si="2"/>
        <v>62489</v>
      </c>
      <c r="F26" s="474"/>
    </row>
    <row r="27" spans="2:6">
      <c r="B27" s="408">
        <v>43724</v>
      </c>
      <c r="C27" s="402">
        <v>56102</v>
      </c>
      <c r="D27" s="402">
        <v>6387</v>
      </c>
      <c r="E27" s="402">
        <f t="shared" si="2"/>
        <v>62489</v>
      </c>
      <c r="F27" s="474"/>
    </row>
    <row r="28" spans="2:6">
      <c r="B28" s="408">
        <v>43753</v>
      </c>
      <c r="C28" s="402">
        <v>55650</v>
      </c>
      <c r="D28" s="402">
        <v>6839</v>
      </c>
      <c r="E28" s="402">
        <f t="shared" si="2"/>
        <v>62489</v>
      </c>
      <c r="F28" s="474"/>
    </row>
    <row r="29" spans="2:6">
      <c r="B29" s="408">
        <v>43784</v>
      </c>
      <c r="C29" s="402">
        <v>55667</v>
      </c>
      <c r="D29" s="402">
        <v>6821</v>
      </c>
      <c r="E29" s="402">
        <f t="shared" si="2"/>
        <v>62488</v>
      </c>
      <c r="F29" s="474"/>
    </row>
    <row r="30" spans="2:6">
      <c r="B30" s="408">
        <v>43815</v>
      </c>
      <c r="C30" s="402">
        <v>56523</v>
      </c>
      <c r="D30" s="402">
        <v>5966</v>
      </c>
      <c r="E30" s="402">
        <f t="shared" si="2"/>
        <v>62489</v>
      </c>
      <c r="F30" s="474"/>
    </row>
    <row r="31" spans="2:6">
      <c r="B31" s="408">
        <v>43845</v>
      </c>
      <c r="C31" s="402">
        <v>56346</v>
      </c>
      <c r="D31" s="402">
        <v>6143</v>
      </c>
      <c r="E31" s="402">
        <f t="shared" si="2"/>
        <v>62489</v>
      </c>
      <c r="F31" s="474"/>
    </row>
    <row r="32" spans="2:6">
      <c r="B32" s="408">
        <v>43878</v>
      </c>
      <c r="C32" s="402">
        <v>56579</v>
      </c>
      <c r="D32" s="402">
        <v>5910</v>
      </c>
      <c r="E32" s="402">
        <f t="shared" si="2"/>
        <v>62489</v>
      </c>
      <c r="F32" s="474"/>
    </row>
    <row r="33" spans="2:6">
      <c r="B33" s="408">
        <v>43906</v>
      </c>
      <c r="C33" s="402">
        <v>56997</v>
      </c>
      <c r="D33" s="402">
        <v>5492</v>
      </c>
      <c r="E33" s="402">
        <f t="shared" si="2"/>
        <v>62489</v>
      </c>
      <c r="F33" s="474"/>
    </row>
    <row r="34" spans="2:6">
      <c r="B34" s="408">
        <v>43936</v>
      </c>
      <c r="C34" s="402">
        <v>56699</v>
      </c>
      <c r="D34" s="402">
        <v>5790</v>
      </c>
      <c r="E34" s="402">
        <f t="shared" si="2"/>
        <v>62489</v>
      </c>
      <c r="F34" s="474"/>
    </row>
    <row r="35" spans="2:6">
      <c r="B35" s="408">
        <v>43966</v>
      </c>
      <c r="C35" s="402">
        <v>57788</v>
      </c>
      <c r="D35" s="402">
        <v>4701</v>
      </c>
      <c r="E35" s="402">
        <f t="shared" si="2"/>
        <v>62489</v>
      </c>
      <c r="F35" s="474"/>
    </row>
    <row r="36" spans="2:6">
      <c r="B36" s="408">
        <v>43997</v>
      </c>
      <c r="C36" s="402">
        <v>57684</v>
      </c>
      <c r="D36" s="402">
        <v>4805</v>
      </c>
      <c r="E36" s="402">
        <f t="shared" si="2"/>
        <v>62489</v>
      </c>
      <c r="F36" s="474"/>
    </row>
    <row r="37" spans="2:6">
      <c r="B37" s="408">
        <v>44027</v>
      </c>
      <c r="C37" s="402">
        <v>57916</v>
      </c>
      <c r="D37" s="402">
        <v>4573</v>
      </c>
      <c r="E37" s="402">
        <f t="shared" si="2"/>
        <v>62489</v>
      </c>
      <c r="F37" s="474"/>
    </row>
    <row r="38" spans="2:6">
      <c r="B38" s="408">
        <v>44060</v>
      </c>
      <c r="C38" s="402">
        <v>58003</v>
      </c>
      <c r="D38" s="402">
        <v>4486</v>
      </c>
      <c r="E38" s="402">
        <f t="shared" si="2"/>
        <v>62489</v>
      </c>
      <c r="F38" s="474"/>
    </row>
    <row r="39" spans="2:6">
      <c r="B39" s="408">
        <v>44089</v>
      </c>
      <c r="C39" s="402">
        <v>58381</v>
      </c>
      <c r="D39" s="402">
        <v>4108</v>
      </c>
      <c r="E39" s="402">
        <f t="shared" si="2"/>
        <v>62489</v>
      </c>
      <c r="F39" s="474"/>
    </row>
    <row r="40" spans="2:6">
      <c r="B40" s="408">
        <v>44119</v>
      </c>
      <c r="C40" s="402">
        <v>58227</v>
      </c>
      <c r="D40" s="402">
        <v>4261</v>
      </c>
      <c r="E40" s="402">
        <f t="shared" si="2"/>
        <v>62488</v>
      </c>
      <c r="F40" s="474"/>
    </row>
    <row r="41" spans="2:6">
      <c r="B41" s="408">
        <v>44151</v>
      </c>
      <c r="C41" s="402">
        <v>58970</v>
      </c>
      <c r="D41" s="402">
        <v>3519</v>
      </c>
      <c r="E41" s="402">
        <f t="shared" si="2"/>
        <v>62489</v>
      </c>
      <c r="F41" s="474"/>
    </row>
    <row r="42" spans="2:6">
      <c r="B42" s="408">
        <v>44180</v>
      </c>
      <c r="C42" s="402">
        <v>59085</v>
      </c>
      <c r="D42" s="402">
        <v>3404</v>
      </c>
      <c r="E42" s="402">
        <f t="shared" si="2"/>
        <v>62489</v>
      </c>
      <c r="F42" s="474"/>
    </row>
    <row r="43" spans="2:6">
      <c r="B43" s="408">
        <v>44211</v>
      </c>
      <c r="C43" s="402">
        <v>59111</v>
      </c>
      <c r="D43" s="402">
        <v>3378</v>
      </c>
      <c r="E43" s="402">
        <f t="shared" si="2"/>
        <v>62489</v>
      </c>
      <c r="F43" s="474"/>
    </row>
    <row r="44" spans="2:6">
      <c r="B44" s="408">
        <v>44242</v>
      </c>
      <c r="C44" s="402">
        <v>59657</v>
      </c>
      <c r="D44" s="402">
        <v>2832</v>
      </c>
      <c r="E44" s="402">
        <f t="shared" si="2"/>
        <v>62489</v>
      </c>
      <c r="F44" s="474"/>
    </row>
    <row r="45" spans="2:6">
      <c r="B45" s="408">
        <v>44271</v>
      </c>
      <c r="C45" s="402">
        <v>59708</v>
      </c>
      <c r="D45" s="402">
        <v>2780</v>
      </c>
      <c r="E45" s="402">
        <f t="shared" si="2"/>
        <v>62488</v>
      </c>
      <c r="F45" s="474"/>
    </row>
    <row r="46" spans="2:6">
      <c r="B46" s="408">
        <v>44301</v>
      </c>
      <c r="C46" s="402">
        <v>59956</v>
      </c>
      <c r="D46" s="402">
        <v>2533</v>
      </c>
      <c r="E46" s="402">
        <f t="shared" si="2"/>
        <v>62489</v>
      </c>
      <c r="F46" s="474"/>
    </row>
    <row r="47" spans="2:6">
      <c r="B47" s="408">
        <v>44333</v>
      </c>
      <c r="C47" s="402">
        <v>60352</v>
      </c>
      <c r="D47" s="402">
        <v>2137</v>
      </c>
      <c r="E47" s="402">
        <f t="shared" si="2"/>
        <v>62489</v>
      </c>
      <c r="F47" s="474"/>
    </row>
    <row r="48" spans="2:6">
      <c r="B48" s="408">
        <v>44362</v>
      </c>
      <c r="C48" s="402">
        <v>60520</v>
      </c>
      <c r="D48" s="402">
        <v>1969</v>
      </c>
      <c r="E48" s="402">
        <f t="shared" si="2"/>
        <v>62489</v>
      </c>
      <c r="F48" s="474"/>
    </row>
    <row r="49" spans="2:6">
      <c r="B49" s="408">
        <v>44392</v>
      </c>
      <c r="C49" s="402">
        <v>60648</v>
      </c>
      <c r="D49" s="402">
        <v>1841</v>
      </c>
      <c r="E49" s="402">
        <f t="shared" si="2"/>
        <v>62489</v>
      </c>
      <c r="F49" s="474"/>
    </row>
    <row r="50" spans="2:6">
      <c r="B50" s="408">
        <v>44424</v>
      </c>
      <c r="C50" s="402">
        <v>61056</v>
      </c>
      <c r="D50" s="402">
        <v>1433</v>
      </c>
      <c r="E50" s="402">
        <f t="shared" si="2"/>
        <v>62489</v>
      </c>
      <c r="F50" s="474"/>
    </row>
    <row r="51" spans="2:6">
      <c r="B51" s="408">
        <v>44454</v>
      </c>
      <c r="C51" s="402">
        <v>61251</v>
      </c>
      <c r="D51" s="402">
        <v>1238</v>
      </c>
      <c r="E51" s="402">
        <f t="shared" si="2"/>
        <v>62489</v>
      </c>
      <c r="F51" s="474"/>
    </row>
    <row r="52" spans="2:6">
      <c r="B52" s="408">
        <v>44484</v>
      </c>
      <c r="C52" s="402">
        <v>61430</v>
      </c>
      <c r="D52" s="402">
        <v>1058</v>
      </c>
      <c r="E52" s="402">
        <f t="shared" si="2"/>
        <v>62488</v>
      </c>
      <c r="F52" s="474"/>
    </row>
    <row r="53" spans="2:6">
      <c r="B53" s="408">
        <v>44515</v>
      </c>
      <c r="C53" s="402">
        <v>61743</v>
      </c>
      <c r="D53" s="402">
        <v>746</v>
      </c>
      <c r="E53" s="402">
        <f t="shared" si="2"/>
        <v>62489</v>
      </c>
      <c r="F53" s="474"/>
    </row>
    <row r="54" spans="2:6">
      <c r="B54" s="408">
        <v>44545</v>
      </c>
      <c r="C54" s="402">
        <v>61991</v>
      </c>
      <c r="D54" s="402">
        <v>498</v>
      </c>
      <c r="E54" s="402">
        <f t="shared" si="2"/>
        <v>62489</v>
      </c>
      <c r="F54" s="474"/>
    </row>
    <row r="55" spans="2:6">
      <c r="B55" s="408">
        <v>44576</v>
      </c>
      <c r="C55" s="402">
        <v>62231</v>
      </c>
      <c r="D55" s="402">
        <v>258</v>
      </c>
      <c r="E55" s="402">
        <f t="shared" si="2"/>
        <v>62489</v>
      </c>
      <c r="F55" s="474"/>
    </row>
    <row r="56" spans="2:6" ht="30.75" customHeight="1">
      <c r="B56" s="409" t="s">
        <v>405</v>
      </c>
      <c r="C56" s="410">
        <f>SUM(C19:C55)</f>
        <v>2979003</v>
      </c>
      <c r="D56" s="410">
        <f>SUM(D19:D55)</f>
        <v>164297</v>
      </c>
      <c r="E56" s="410">
        <f>SUM(E19:E55)</f>
        <v>3143300</v>
      </c>
      <c r="F56" s="475"/>
    </row>
    <row r="58" spans="2:6">
      <c r="C58" s="401"/>
    </row>
  </sheetData>
  <mergeCells count="5">
    <mergeCell ref="A16:G16"/>
    <mergeCell ref="A1:G1"/>
    <mergeCell ref="A2:G3"/>
    <mergeCell ref="A7:G7"/>
    <mergeCell ref="A4:F4"/>
  </mergeCells>
  <phoneticPr fontId="0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V50"/>
  <sheetViews>
    <sheetView view="pageBreakPreview" zoomScale="60" zoomScaleNormal="100" workbookViewId="0">
      <selection activeCell="M7" sqref="M7"/>
    </sheetView>
  </sheetViews>
  <sheetFormatPr defaultColWidth="8.85546875" defaultRowHeight="15"/>
  <cols>
    <col min="1" max="1" width="8.85546875" style="36"/>
    <col min="2" max="2" width="8.85546875" style="38" customWidth="1"/>
    <col min="3" max="3" width="45.5703125" style="94" customWidth="1"/>
    <col min="4" max="4" width="16.28515625" style="98" customWidth="1"/>
    <col min="5" max="6" width="21.42578125" style="38" customWidth="1"/>
    <col min="7" max="7" width="16.85546875" style="38" customWidth="1"/>
    <col min="8" max="8" width="10.140625" style="38" bestFit="1" customWidth="1"/>
    <col min="9" max="9" width="12.7109375" style="38" customWidth="1"/>
    <col min="10" max="11" width="8.85546875" style="36"/>
    <col min="12" max="12" width="20.42578125" style="36" customWidth="1"/>
    <col min="13" max="16384" width="8.85546875" style="36"/>
  </cols>
  <sheetData>
    <row r="1" spans="1:9" ht="15.75">
      <c r="A1" s="733" t="s">
        <v>958</v>
      </c>
      <c r="B1" s="733"/>
      <c r="C1" s="733"/>
      <c r="D1" s="733"/>
      <c r="E1" s="733"/>
      <c r="F1" s="561"/>
      <c r="G1" s="352"/>
    </row>
    <row r="2" spans="1:9" ht="15.75">
      <c r="C2" s="97"/>
    </row>
    <row r="3" spans="1:9" ht="42" customHeight="1">
      <c r="A3" s="709" t="s">
        <v>418</v>
      </c>
      <c r="B3" s="709"/>
      <c r="C3" s="709"/>
      <c r="D3" s="709"/>
      <c r="E3" s="709"/>
      <c r="F3" s="560"/>
      <c r="G3" s="243"/>
    </row>
    <row r="4" spans="1:9" ht="24.75" customHeight="1"/>
    <row r="5" spans="1:9" ht="25.5" customHeight="1">
      <c r="C5" s="737" t="s">
        <v>76</v>
      </c>
      <c r="D5" s="737"/>
      <c r="E5" s="737"/>
      <c r="F5" s="737"/>
      <c r="G5" s="586"/>
    </row>
    <row r="6" spans="1:9" ht="17.25" customHeight="1">
      <c r="C6" s="99"/>
      <c r="D6" s="223"/>
      <c r="F6" s="223" t="s">
        <v>258</v>
      </c>
    </row>
    <row r="7" spans="1:9" ht="17.25" customHeight="1">
      <c r="C7" s="79" t="s">
        <v>77</v>
      </c>
      <c r="D7" s="80" t="s">
        <v>309</v>
      </c>
      <c r="E7" s="80" t="s">
        <v>355</v>
      </c>
      <c r="F7" s="585" t="s">
        <v>646</v>
      </c>
      <c r="I7" s="36"/>
    </row>
    <row r="8" spans="1:9" ht="17.25" customHeight="1">
      <c r="C8" s="78" t="s">
        <v>78</v>
      </c>
      <c r="D8" s="281">
        <v>110000</v>
      </c>
      <c r="E8" s="281">
        <v>110000</v>
      </c>
      <c r="F8" s="281">
        <v>116455</v>
      </c>
      <c r="I8" s="36"/>
    </row>
    <row r="9" spans="1:9" ht="17.25" customHeight="1">
      <c r="C9" s="78" t="s">
        <v>478</v>
      </c>
      <c r="D9" s="281">
        <v>150000</v>
      </c>
      <c r="E9" s="281">
        <v>150000</v>
      </c>
      <c r="F9" s="281">
        <v>0</v>
      </c>
      <c r="I9" s="36"/>
    </row>
    <row r="10" spans="1:9" ht="17.25" customHeight="1">
      <c r="C10" s="78" t="s">
        <v>479</v>
      </c>
      <c r="D10" s="281">
        <v>10000</v>
      </c>
      <c r="E10" s="281">
        <v>20000</v>
      </c>
      <c r="F10" s="281">
        <v>20000</v>
      </c>
      <c r="I10" s="36"/>
    </row>
    <row r="11" spans="1:9" ht="17.25" customHeight="1">
      <c r="C11" s="78" t="s">
        <v>621</v>
      </c>
      <c r="D11" s="281">
        <v>0</v>
      </c>
      <c r="E11" s="281">
        <v>10000</v>
      </c>
      <c r="F11" s="281">
        <v>10000</v>
      </c>
      <c r="I11" s="36"/>
    </row>
    <row r="12" spans="1:9" ht="17.25" customHeight="1">
      <c r="C12" s="78" t="s">
        <v>619</v>
      </c>
      <c r="D12" s="281">
        <v>0</v>
      </c>
      <c r="E12" s="281">
        <v>10000</v>
      </c>
      <c r="F12" s="281">
        <v>10000</v>
      </c>
      <c r="I12" s="36"/>
    </row>
    <row r="13" spans="1:9" ht="17.25" customHeight="1">
      <c r="C13" s="78" t="s">
        <v>620</v>
      </c>
      <c r="D13" s="281">
        <v>0</v>
      </c>
      <c r="E13" s="281">
        <v>50000</v>
      </c>
      <c r="F13" s="281">
        <v>50000</v>
      </c>
      <c r="I13" s="36"/>
    </row>
    <row r="14" spans="1:9" ht="17.25" customHeight="1">
      <c r="C14" s="78" t="s">
        <v>79</v>
      </c>
      <c r="D14" s="281">
        <v>140000</v>
      </c>
      <c r="E14" s="281">
        <v>140000</v>
      </c>
      <c r="F14" s="281">
        <v>134750</v>
      </c>
      <c r="I14" s="36"/>
    </row>
    <row r="15" spans="1:9" ht="17.25" customHeight="1">
      <c r="C15" s="78" t="s">
        <v>80</v>
      </c>
      <c r="D15" s="281">
        <v>200000</v>
      </c>
      <c r="E15" s="281">
        <v>200000</v>
      </c>
      <c r="F15" s="281">
        <v>0</v>
      </c>
      <c r="I15" s="36"/>
    </row>
    <row r="16" spans="1:9" ht="17.25" customHeight="1">
      <c r="C16" s="78" t="s">
        <v>251</v>
      </c>
      <c r="D16" s="281">
        <v>2400000</v>
      </c>
      <c r="E16" s="281">
        <f>1900000+29442</f>
        <v>1929442</v>
      </c>
      <c r="F16" s="281">
        <v>130000</v>
      </c>
      <c r="I16" s="36"/>
    </row>
    <row r="17" spans="3:9" ht="17.25" customHeight="1">
      <c r="C17" s="78" t="s">
        <v>617</v>
      </c>
      <c r="D17" s="281">
        <v>0</v>
      </c>
      <c r="E17" s="281">
        <v>8932904</v>
      </c>
      <c r="F17" s="281">
        <v>8932904</v>
      </c>
      <c r="I17" s="36"/>
    </row>
    <row r="18" spans="3:9" ht="17.25" customHeight="1">
      <c r="C18" s="78" t="s">
        <v>480</v>
      </c>
      <c r="D18" s="281">
        <v>1500000</v>
      </c>
      <c r="E18" s="281">
        <v>2000000</v>
      </c>
      <c r="F18" s="281">
        <v>2000000</v>
      </c>
      <c r="I18" s="36"/>
    </row>
    <row r="19" spans="3:9" ht="17.25" customHeight="1">
      <c r="C19" s="78" t="s">
        <v>481</v>
      </c>
      <c r="D19" s="281">
        <v>20000</v>
      </c>
      <c r="E19" s="281">
        <v>20000</v>
      </c>
      <c r="F19" s="281">
        <v>20000</v>
      </c>
      <c r="I19" s="36"/>
    </row>
    <row r="20" spans="3:9" ht="17.25" customHeight="1">
      <c r="C20" s="78" t="s">
        <v>252</v>
      </c>
      <c r="D20" s="281">
        <v>79255883</v>
      </c>
      <c r="E20" s="281">
        <f>80816358-560475</f>
        <v>80255883</v>
      </c>
      <c r="F20" s="281">
        <f>+'4.a sz.mell.'!O24-F27-F14</f>
        <v>78100181</v>
      </c>
      <c r="I20" s="36"/>
    </row>
    <row r="21" spans="3:9" ht="17.25" customHeight="1">
      <c r="C21" s="78" t="s">
        <v>279</v>
      </c>
      <c r="D21" s="281">
        <v>200000</v>
      </c>
      <c r="E21" s="281">
        <v>200000</v>
      </c>
      <c r="F21" s="281">
        <v>171500</v>
      </c>
      <c r="I21" s="36"/>
    </row>
    <row r="22" spans="3:9" ht="17.25" customHeight="1">
      <c r="C22" s="78" t="s">
        <v>280</v>
      </c>
      <c r="D22" s="281">
        <v>61250</v>
      </c>
      <c r="E22" s="281">
        <v>61250</v>
      </c>
      <c r="F22" s="281">
        <v>61250</v>
      </c>
      <c r="I22" s="36"/>
    </row>
    <row r="23" spans="3:9" ht="17.25" customHeight="1">
      <c r="C23" s="78" t="s">
        <v>281</v>
      </c>
      <c r="D23" s="281">
        <v>20000</v>
      </c>
      <c r="E23" s="281">
        <v>20000</v>
      </c>
      <c r="F23" s="281">
        <v>19192</v>
      </c>
      <c r="I23" s="36"/>
    </row>
    <row r="24" spans="3:9" ht="17.25" customHeight="1">
      <c r="C24" s="213" t="s">
        <v>282</v>
      </c>
      <c r="D24" s="281">
        <v>500000</v>
      </c>
      <c r="E24" s="281">
        <v>500000</v>
      </c>
      <c r="F24" s="281">
        <v>100000</v>
      </c>
      <c r="I24" s="36"/>
    </row>
    <row r="25" spans="3:9" ht="40.5" customHeight="1">
      <c r="C25" s="213" t="s">
        <v>557</v>
      </c>
      <c r="D25" s="281">
        <v>0</v>
      </c>
      <c r="E25" s="281">
        <v>490000</v>
      </c>
      <c r="F25" s="281">
        <v>490000</v>
      </c>
      <c r="I25" s="36"/>
    </row>
    <row r="26" spans="3:9" ht="56.25" customHeight="1">
      <c r="C26" s="213" t="s">
        <v>618</v>
      </c>
      <c r="D26" s="281">
        <v>0</v>
      </c>
      <c r="E26" s="281">
        <v>108328</v>
      </c>
      <c r="F26" s="281">
        <v>108328</v>
      </c>
      <c r="I26" s="36"/>
    </row>
    <row r="27" spans="3:9" ht="41.25" customHeight="1">
      <c r="C27" s="213" t="s">
        <v>556</v>
      </c>
      <c r="D27" s="281">
        <v>0</v>
      </c>
      <c r="E27" s="281">
        <v>560475</v>
      </c>
      <c r="F27" s="281">
        <v>560475</v>
      </c>
      <c r="I27" s="36"/>
    </row>
    <row r="28" spans="3:9" ht="17.25" customHeight="1">
      <c r="C28" s="100" t="s">
        <v>56</v>
      </c>
      <c r="D28" s="214">
        <f>SUM(D8:D24)</f>
        <v>84567133</v>
      </c>
      <c r="E28" s="214">
        <f>SUM(E8:E27)</f>
        <v>95768282</v>
      </c>
      <c r="F28" s="214">
        <f>SUM(F8:F27)</f>
        <v>91035035</v>
      </c>
      <c r="G28" s="42">
        <f>+'1.sz.mell.'!C103+'1.sz.mell.'!C104</f>
        <v>84567133</v>
      </c>
      <c r="H28" s="42">
        <f>+'1.sz.mell.'!D103+'1.sz.mell.'!D104</f>
        <v>95768282</v>
      </c>
      <c r="I28" s="42">
        <f>+'1.sz.mell.'!E103+'1.sz.mell.'!E104</f>
        <v>91035035</v>
      </c>
    </row>
    <row r="29" spans="3:9" ht="30" customHeight="1">
      <c r="C29" s="101"/>
      <c r="D29" s="215"/>
      <c r="E29" s="486"/>
      <c r="F29" s="486"/>
      <c r="H29" s="42">
        <f>+H28-E28</f>
        <v>0</v>
      </c>
      <c r="I29" s="42">
        <f>+F28-I28</f>
        <v>0</v>
      </c>
    </row>
    <row r="30" spans="3:9" ht="25.5" customHeight="1">
      <c r="C30" s="102" t="s">
        <v>81</v>
      </c>
      <c r="D30" s="216">
        <v>0</v>
      </c>
      <c r="E30" s="216">
        <v>0</v>
      </c>
      <c r="F30" s="216">
        <v>0</v>
      </c>
      <c r="I30" s="36"/>
    </row>
    <row r="31" spans="3:9" ht="24.75" customHeight="1">
      <c r="C31" s="100" t="s">
        <v>56</v>
      </c>
      <c r="D31" s="214">
        <v>0</v>
      </c>
      <c r="E31" s="214">
        <v>0</v>
      </c>
      <c r="F31" s="214">
        <v>0</v>
      </c>
      <c r="I31" s="36"/>
    </row>
    <row r="32" spans="3:9" ht="18" customHeight="1">
      <c r="C32" s="103"/>
      <c r="D32" s="38"/>
      <c r="E32" s="492"/>
      <c r="F32" s="492"/>
      <c r="I32" s="36"/>
    </row>
    <row r="33" spans="3:22" ht="18" customHeight="1">
      <c r="C33" s="104" t="s">
        <v>82</v>
      </c>
      <c r="D33" s="214">
        <f>SUM(D28,D31)</f>
        <v>84567133</v>
      </c>
      <c r="E33" s="214">
        <f>SUM(E28,E31)</f>
        <v>95768282</v>
      </c>
      <c r="F33" s="214">
        <f>SUM(F28,F31)</f>
        <v>91035035</v>
      </c>
      <c r="I33" s="36"/>
    </row>
    <row r="34" spans="3:22" ht="18" customHeight="1"/>
    <row r="35" spans="3:22">
      <c r="E35" s="42"/>
      <c r="F35" s="42"/>
    </row>
    <row r="47" spans="3:22">
      <c r="E47" s="38">
        <v>69409668</v>
      </c>
      <c r="H47" s="38">
        <v>13721179</v>
      </c>
      <c r="J47" s="36">
        <v>12561989</v>
      </c>
      <c r="V47" s="36">
        <v>1498906</v>
      </c>
    </row>
    <row r="48" spans="3:22">
      <c r="C48" s="94" t="s">
        <v>558</v>
      </c>
      <c r="E48" s="38">
        <v>5116204</v>
      </c>
      <c r="H48" s="38">
        <v>937016</v>
      </c>
      <c r="J48" s="36">
        <v>366871</v>
      </c>
      <c r="L48" s="36">
        <v>108328</v>
      </c>
    </row>
    <row r="49" spans="5:8">
      <c r="H49" s="38">
        <v>1107935</v>
      </c>
    </row>
    <row r="50" spans="5:8">
      <c r="E50" s="38">
        <v>5820000</v>
      </c>
      <c r="H50" s="38">
        <v>1060855</v>
      </c>
    </row>
  </sheetData>
  <mergeCells count="3">
    <mergeCell ref="A3:E3"/>
    <mergeCell ref="A1:E1"/>
    <mergeCell ref="C5:F5"/>
  </mergeCells>
  <phoneticPr fontId="0" type="noConversion"/>
  <pageMargins left="0.75" right="0.75" top="0.75" bottom="1" header="0.5" footer="0.5"/>
  <pageSetup paperSize="9" scale="7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G39"/>
  <sheetViews>
    <sheetView view="pageBreakPreview" zoomScaleNormal="100" zoomScaleSheetLayoutView="100" workbookViewId="0">
      <selection activeCell="G4" sqref="G4"/>
    </sheetView>
  </sheetViews>
  <sheetFormatPr defaultRowHeight="15.75"/>
  <cols>
    <col min="1" max="1" width="11.140625" style="84" customWidth="1"/>
    <col min="2" max="2" width="64.140625" style="110" customWidth="1"/>
    <col min="3" max="3" width="16.85546875" style="105" customWidth="1"/>
    <col min="4" max="4" width="16.85546875" style="69" customWidth="1"/>
    <col min="5" max="5" width="22" style="70" customWidth="1"/>
    <col min="6" max="7" width="9.140625" style="70"/>
    <col min="8" max="16384" width="9.140625" style="84"/>
  </cols>
  <sheetData>
    <row r="1" spans="1:7">
      <c r="A1" s="733" t="s">
        <v>959</v>
      </c>
      <c r="B1" s="733"/>
      <c r="C1" s="733"/>
      <c r="D1" s="733"/>
      <c r="F1" s="96"/>
    </row>
    <row r="2" spans="1:7">
      <c r="B2" s="67"/>
    </row>
    <row r="3" spans="1:7" s="107" customFormat="1" ht="33" customHeight="1">
      <c r="A3" s="709" t="s">
        <v>61</v>
      </c>
      <c r="B3" s="709"/>
      <c r="C3" s="709"/>
      <c r="D3" s="709"/>
      <c r="E3" s="106"/>
    </row>
    <row r="4" spans="1:7" s="107" customFormat="1" ht="42" customHeight="1">
      <c r="A4" s="709" t="s">
        <v>419</v>
      </c>
      <c r="B4" s="709"/>
      <c r="C4" s="709"/>
      <c r="D4" s="709"/>
      <c r="E4" s="106"/>
    </row>
    <row r="5" spans="1:7">
      <c r="B5" s="108"/>
      <c r="C5" s="109"/>
    </row>
    <row r="6" spans="1:7">
      <c r="C6" s="105" t="s">
        <v>258</v>
      </c>
      <c r="D6" s="105" t="s">
        <v>258</v>
      </c>
      <c r="E6" s="105" t="s">
        <v>258</v>
      </c>
    </row>
    <row r="7" spans="1:7" s="111" customFormat="1" ht="36" customHeight="1">
      <c r="B7" s="112" t="s">
        <v>83</v>
      </c>
      <c r="C7" s="310" t="s">
        <v>471</v>
      </c>
      <c r="D7" s="310" t="s">
        <v>514</v>
      </c>
      <c r="E7" s="310" t="s">
        <v>646</v>
      </c>
      <c r="F7" s="64"/>
      <c r="G7" s="64"/>
    </row>
    <row r="8" spans="1:7" s="83" customFormat="1" ht="19.5" customHeight="1">
      <c r="B8" s="115" t="s">
        <v>84</v>
      </c>
      <c r="C8" s="353">
        <f>+'1.sz.mell.'!C60</f>
        <v>14000000</v>
      </c>
      <c r="D8" s="353">
        <f>+'1.sz.mell.'!D60</f>
        <v>14000000</v>
      </c>
      <c r="E8" s="353">
        <f>+'1.sz.mell.'!E60</f>
        <v>17244231</v>
      </c>
      <c r="F8" s="93"/>
      <c r="G8" s="93"/>
    </row>
    <row r="9" spans="1:7" s="111" customFormat="1" ht="15" customHeight="1">
      <c r="B9" s="48" t="s">
        <v>85</v>
      </c>
      <c r="C9" s="341">
        <v>14000000</v>
      </c>
      <c r="D9" s="341">
        <v>14000000</v>
      </c>
      <c r="E9" s="341">
        <f>+E8</f>
        <v>17244231</v>
      </c>
      <c r="F9" s="64"/>
      <c r="G9" s="64"/>
    </row>
    <row r="10" spans="1:7" s="111" customFormat="1" ht="15" customHeight="1">
      <c r="B10" s="116"/>
      <c r="C10" s="244"/>
      <c r="D10" s="527"/>
      <c r="E10" s="244"/>
      <c r="F10" s="64"/>
      <c r="G10" s="64"/>
    </row>
    <row r="11" spans="1:7" s="111" customFormat="1" ht="15" customHeight="1">
      <c r="B11" s="116" t="s">
        <v>86</v>
      </c>
      <c r="C11" s="340">
        <f>1259796+550930+1252547+1252547</f>
        <v>4315820</v>
      </c>
      <c r="D11" s="340">
        <f>1259796+550930+1252547+1252547</f>
        <v>4315820</v>
      </c>
      <c r="E11" s="340">
        <f>862*258+12744*516+229*230+516*460</f>
        <v>7088330</v>
      </c>
      <c r="F11" s="64"/>
      <c r="G11" s="64"/>
    </row>
    <row r="12" spans="1:7" s="111" customFormat="1" ht="15" customHeight="1">
      <c r="B12" s="48" t="s">
        <v>87</v>
      </c>
      <c r="C12" s="341">
        <f>SUM(C11)</f>
        <v>4315820</v>
      </c>
      <c r="D12" s="341">
        <f>SUM(D11)</f>
        <v>4315820</v>
      </c>
      <c r="E12" s="341">
        <f>SUM(E11)</f>
        <v>7088330</v>
      </c>
      <c r="F12" s="64"/>
      <c r="G12" s="64"/>
    </row>
    <row r="13" spans="1:7" s="111" customFormat="1" ht="15" customHeight="1">
      <c r="B13" s="117"/>
      <c r="C13" s="246"/>
      <c r="D13" s="528"/>
      <c r="E13" s="246"/>
      <c r="F13" s="64"/>
      <c r="G13" s="64"/>
    </row>
    <row r="14" spans="1:7" s="111" customFormat="1" ht="32.25" customHeight="1">
      <c r="B14" s="112" t="s">
        <v>88</v>
      </c>
      <c r="C14" s="113">
        <v>0</v>
      </c>
      <c r="D14" s="113">
        <v>0</v>
      </c>
      <c r="E14" s="113">
        <v>0</v>
      </c>
      <c r="F14" s="64"/>
      <c r="G14" s="64"/>
    </row>
    <row r="15" spans="1:7" s="111" customFormat="1" ht="19.5" customHeight="1">
      <c r="B15" s="116" t="s">
        <v>482</v>
      </c>
      <c r="C15" s="247"/>
      <c r="D15" s="343"/>
      <c r="E15" s="247"/>
      <c r="F15" s="64"/>
      <c r="G15" s="64"/>
    </row>
    <row r="16" spans="1:7" s="111" customFormat="1" ht="15" customHeight="1">
      <c r="B16" s="116"/>
      <c r="C16" s="244"/>
      <c r="D16" s="527"/>
      <c r="E16" s="244"/>
      <c r="F16" s="64"/>
      <c r="G16" s="64"/>
    </row>
    <row r="17" spans="2:7" s="119" customFormat="1" ht="34.5" customHeight="1">
      <c r="B17" s="112" t="s">
        <v>89</v>
      </c>
      <c r="C17" s="248"/>
      <c r="D17" s="344"/>
      <c r="E17" s="344"/>
      <c r="F17" s="114"/>
      <c r="G17" s="114"/>
    </row>
    <row r="18" spans="2:7" s="111" customFormat="1" ht="15" customHeight="1">
      <c r="B18" s="117" t="s">
        <v>187</v>
      </c>
      <c r="C18" s="340">
        <f>+'1.sz.mell.'!C51</f>
        <v>7700000</v>
      </c>
      <c r="D18" s="340">
        <f>+'1.sz.mell.'!D51</f>
        <v>7700000</v>
      </c>
      <c r="E18" s="340">
        <f>+'1.sz.mell.'!E51</f>
        <v>7645347</v>
      </c>
      <c r="F18" s="64"/>
      <c r="G18" s="64"/>
    </row>
    <row r="19" spans="2:7" s="121" customFormat="1" ht="15" customHeight="1">
      <c r="B19" s="116" t="s">
        <v>90</v>
      </c>
      <c r="C19" s="340">
        <v>0</v>
      </c>
      <c r="D19" s="340">
        <v>0</v>
      </c>
      <c r="E19" s="340">
        <v>0</v>
      </c>
      <c r="F19" s="120"/>
      <c r="G19" s="120"/>
    </row>
    <row r="20" spans="2:7" s="119" customFormat="1" ht="15" customHeight="1">
      <c r="B20" s="48" t="s">
        <v>85</v>
      </c>
      <c r="C20" s="341">
        <f>+C18</f>
        <v>7700000</v>
      </c>
      <c r="D20" s="341">
        <f>+D18</f>
        <v>7700000</v>
      </c>
      <c r="E20" s="341">
        <f>+E18</f>
        <v>7645347</v>
      </c>
      <c r="F20" s="114"/>
      <c r="G20" s="114"/>
    </row>
    <row r="21" spans="2:7" s="111" customFormat="1" ht="15" customHeight="1">
      <c r="B21" s="116"/>
      <c r="C21" s="245"/>
      <c r="D21" s="340"/>
      <c r="E21" s="340"/>
      <c r="F21" s="64"/>
      <c r="G21" s="64"/>
    </row>
    <row r="22" spans="2:7" s="111" customFormat="1" ht="15" customHeight="1">
      <c r="B22" s="48" t="s">
        <v>91</v>
      </c>
      <c r="C22" s="249"/>
      <c r="D22" s="529"/>
      <c r="E22" s="529"/>
      <c r="F22" s="64"/>
      <c r="G22" s="64"/>
    </row>
    <row r="23" spans="2:7" s="111" customFormat="1" ht="15" customHeight="1">
      <c r="B23" s="116" t="s">
        <v>92</v>
      </c>
      <c r="C23" s="340">
        <v>0</v>
      </c>
      <c r="D23" s="340">
        <v>0</v>
      </c>
      <c r="E23" s="340">
        <v>0</v>
      </c>
      <c r="F23" s="64"/>
      <c r="G23" s="64"/>
    </row>
    <row r="24" spans="2:7" s="111" customFormat="1" ht="15" customHeight="1">
      <c r="B24" s="116" t="s">
        <v>93</v>
      </c>
      <c r="C24" s="340">
        <v>0</v>
      </c>
      <c r="D24" s="340">
        <v>0</v>
      </c>
      <c r="E24" s="340">
        <v>0</v>
      </c>
      <c r="F24" s="64"/>
      <c r="G24" s="64"/>
    </row>
    <row r="25" spans="2:7" s="122" customFormat="1" ht="15" customHeight="1">
      <c r="B25" s="48" t="s">
        <v>85</v>
      </c>
      <c r="C25" s="341">
        <f>+'1.sz.mell.'!C55</f>
        <v>6000000</v>
      </c>
      <c r="D25" s="341">
        <f>+'1.sz.mell.'!D55</f>
        <v>6000000</v>
      </c>
      <c r="E25" s="341">
        <f>+'1.sz.mell.'!E55</f>
        <v>6275173</v>
      </c>
      <c r="F25" s="118"/>
      <c r="G25" s="118"/>
    </row>
    <row r="26" spans="2:7" s="111" customFormat="1" ht="15" customHeight="1">
      <c r="B26" s="48" t="s">
        <v>87</v>
      </c>
      <c r="C26" s="341">
        <v>0</v>
      </c>
      <c r="D26" s="341">
        <v>0</v>
      </c>
      <c r="E26" s="341">
        <v>0</v>
      </c>
      <c r="F26" s="64"/>
      <c r="G26" s="64"/>
    </row>
    <row r="27" spans="2:7" s="111" customFormat="1" ht="15" customHeight="1">
      <c r="B27" s="116"/>
      <c r="C27" s="245"/>
      <c r="D27" s="340"/>
      <c r="E27" s="340"/>
      <c r="F27" s="64"/>
      <c r="G27" s="64"/>
    </row>
    <row r="28" spans="2:7" s="111" customFormat="1" ht="36.75" customHeight="1">
      <c r="B28" s="112" t="s">
        <v>94</v>
      </c>
      <c r="C28" s="342"/>
      <c r="D28" s="342"/>
      <c r="E28" s="342"/>
      <c r="F28" s="64"/>
      <c r="G28" s="64"/>
    </row>
    <row r="29" spans="2:7" s="111" customFormat="1" ht="15" customHeight="1">
      <c r="B29" s="116" t="s">
        <v>95</v>
      </c>
      <c r="C29" s="343">
        <v>0</v>
      </c>
      <c r="D29" s="343">
        <v>0</v>
      </c>
      <c r="E29" s="343">
        <v>0</v>
      </c>
      <c r="F29" s="64"/>
      <c r="G29" s="64"/>
    </row>
    <row r="30" spans="2:7" s="111" customFormat="1" ht="15" customHeight="1">
      <c r="B30" s="116" t="s">
        <v>96</v>
      </c>
      <c r="C30" s="343">
        <v>0</v>
      </c>
      <c r="D30" s="343">
        <v>0</v>
      </c>
      <c r="E30" s="343">
        <v>0</v>
      </c>
      <c r="F30" s="64"/>
      <c r="G30" s="64"/>
    </row>
    <row r="31" spans="2:7" s="111" customFormat="1" ht="15" customHeight="1">
      <c r="B31" s="48" t="s">
        <v>87</v>
      </c>
      <c r="C31" s="113">
        <v>0</v>
      </c>
      <c r="D31" s="113">
        <v>0</v>
      </c>
      <c r="E31" s="113">
        <v>0</v>
      </c>
      <c r="F31" s="64"/>
      <c r="G31" s="64"/>
    </row>
    <row r="32" spans="2:7" s="111" customFormat="1" ht="15" customHeight="1">
      <c r="B32" s="116"/>
      <c r="C32" s="340"/>
      <c r="D32" s="340"/>
      <c r="E32" s="340"/>
      <c r="F32" s="64"/>
      <c r="G32" s="64"/>
    </row>
    <row r="33" spans="2:7" s="111" customFormat="1" ht="21" customHeight="1">
      <c r="B33" s="48" t="s">
        <v>97</v>
      </c>
      <c r="C33" s="344"/>
      <c r="D33" s="344"/>
      <c r="E33" s="344"/>
      <c r="F33" s="64"/>
      <c r="G33" s="64"/>
    </row>
    <row r="34" spans="2:7" s="111" customFormat="1" ht="15" customHeight="1">
      <c r="B34" s="116" t="s">
        <v>98</v>
      </c>
      <c r="C34" s="343">
        <v>0</v>
      </c>
      <c r="D34" s="343">
        <v>0</v>
      </c>
      <c r="E34" s="343">
        <v>0</v>
      </c>
      <c r="F34" s="64"/>
      <c r="G34" s="64"/>
    </row>
    <row r="35" spans="2:7" s="111" customFormat="1" ht="15" customHeight="1">
      <c r="B35" s="116" t="s">
        <v>90</v>
      </c>
      <c r="C35" s="343">
        <v>0</v>
      </c>
      <c r="D35" s="343">
        <v>0</v>
      </c>
      <c r="E35" s="343">
        <v>0</v>
      </c>
      <c r="F35" s="64"/>
      <c r="G35" s="64"/>
    </row>
    <row r="36" spans="2:7" s="122" customFormat="1" ht="15" customHeight="1">
      <c r="B36" s="48" t="s">
        <v>85</v>
      </c>
      <c r="C36" s="342">
        <v>0</v>
      </c>
      <c r="D36" s="342">
        <v>0</v>
      </c>
      <c r="E36" s="342">
        <v>0</v>
      </c>
      <c r="F36" s="118"/>
      <c r="G36" s="118"/>
    </row>
    <row r="37" spans="2:7" ht="15" customHeight="1">
      <c r="B37" s="112" t="s">
        <v>87</v>
      </c>
      <c r="C37" s="342">
        <v>0</v>
      </c>
      <c r="D37" s="342">
        <v>0</v>
      </c>
      <c r="E37" s="342">
        <v>0</v>
      </c>
    </row>
    <row r="38" spans="2:7" ht="15" customHeight="1">
      <c r="B38" s="123"/>
      <c r="C38" s="245"/>
      <c r="D38" s="340"/>
      <c r="E38" s="340"/>
    </row>
    <row r="39" spans="2:7" s="89" customFormat="1" ht="15" customHeight="1">
      <c r="B39" s="112" t="s">
        <v>99</v>
      </c>
      <c r="C39" s="354">
        <f>SUM(C12,C26,C31,C37)</f>
        <v>4315820</v>
      </c>
      <c r="D39" s="354">
        <f>SUM(D12,D26,D31,D37)</f>
        <v>4315820</v>
      </c>
      <c r="E39" s="354">
        <f>SUM(E12,E26,E31,E37)</f>
        <v>7088330</v>
      </c>
      <c r="F39" s="82"/>
      <c r="G39" s="82"/>
    </row>
  </sheetData>
  <mergeCells count="3">
    <mergeCell ref="A1:D1"/>
    <mergeCell ref="A3:D3"/>
    <mergeCell ref="A4:D4"/>
  </mergeCells>
  <phoneticPr fontId="0" type="noConversion"/>
  <pageMargins left="0.33" right="0.22" top="0.53" bottom="0.5" header="0.51181102362204722" footer="0.51181102362204722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H33"/>
  <sheetViews>
    <sheetView view="pageBreakPreview" zoomScale="60" zoomScaleNormal="100" workbookViewId="0">
      <selection activeCell="O7" sqref="O7"/>
    </sheetView>
  </sheetViews>
  <sheetFormatPr defaultColWidth="8.85546875" defaultRowHeight="12.75"/>
  <cols>
    <col min="1" max="3" width="8.85546875" style="36"/>
    <col min="4" max="4" width="66.5703125" style="36" bestFit="1" customWidth="1"/>
    <col min="5" max="5" width="13" style="124" customWidth="1"/>
    <col min="6" max="6" width="16.85546875" style="36" customWidth="1"/>
    <col min="7" max="7" width="18.7109375" style="36" customWidth="1"/>
    <col min="8" max="8" width="21.5703125" style="36" customWidth="1"/>
    <col min="9" max="16384" width="8.85546875" style="36"/>
  </cols>
  <sheetData>
    <row r="1" spans="1:8" ht="15.75">
      <c r="A1" s="733" t="s">
        <v>960</v>
      </c>
      <c r="B1" s="733"/>
      <c r="C1" s="733"/>
      <c r="D1" s="733"/>
      <c r="E1" s="733"/>
      <c r="F1" s="733"/>
      <c r="G1" s="733"/>
      <c r="H1" s="352"/>
    </row>
    <row r="3" spans="1:8" ht="48.75" customHeight="1">
      <c r="A3" s="739" t="s">
        <v>420</v>
      </c>
      <c r="B3" s="739"/>
      <c r="C3" s="739"/>
      <c r="D3" s="739"/>
      <c r="E3" s="739"/>
      <c r="F3" s="739"/>
      <c r="G3" s="739"/>
      <c r="H3" s="330"/>
    </row>
    <row r="4" spans="1:8" ht="18.75">
      <c r="D4" s="738" t="s">
        <v>38</v>
      </c>
      <c r="F4" s="317"/>
    </row>
    <row r="5" spans="1:8" ht="37.5">
      <c r="D5" s="738"/>
      <c r="F5" s="318" t="s">
        <v>517</v>
      </c>
      <c r="G5" s="318" t="s">
        <v>518</v>
      </c>
      <c r="H5" s="318" t="s">
        <v>677</v>
      </c>
    </row>
    <row r="6" spans="1:8" ht="18.75">
      <c r="D6" s="319" t="s">
        <v>100</v>
      </c>
      <c r="F6" s="320"/>
      <c r="G6" s="320"/>
      <c r="H6" s="320"/>
    </row>
    <row r="7" spans="1:8" ht="18.75">
      <c r="D7" s="321" t="s">
        <v>50</v>
      </c>
      <c r="F7" s="322">
        <v>0</v>
      </c>
      <c r="G7" s="322">
        <v>0</v>
      </c>
      <c r="H7" s="322">
        <v>0</v>
      </c>
    </row>
    <row r="8" spans="1:8" ht="18.75">
      <c r="D8" s="319" t="s">
        <v>101</v>
      </c>
      <c r="F8" s="323">
        <v>0</v>
      </c>
      <c r="G8" s="323">
        <v>0</v>
      </c>
      <c r="H8" s="323">
        <v>0</v>
      </c>
    </row>
    <row r="9" spans="1:8" ht="18.75">
      <c r="D9" s="319"/>
      <c r="F9" s="323"/>
      <c r="G9" s="323"/>
      <c r="H9" s="565"/>
    </row>
    <row r="10" spans="1:8" ht="18.75">
      <c r="D10" s="324" t="s">
        <v>39</v>
      </c>
      <c r="F10" s="325"/>
      <c r="G10" s="325"/>
      <c r="H10" s="325"/>
    </row>
    <row r="11" spans="1:8" ht="18.75">
      <c r="D11" s="319" t="s">
        <v>102</v>
      </c>
      <c r="F11" s="320"/>
      <c r="G11" s="320"/>
      <c r="H11" s="320"/>
    </row>
    <row r="12" spans="1:8" ht="18.75">
      <c r="D12" s="321" t="s">
        <v>178</v>
      </c>
      <c r="F12" s="320">
        <f>+'4.a sz.mell.'!P36</f>
        <v>567000</v>
      </c>
      <c r="G12" s="320">
        <f>+'4.a sz.mell.'!Q36</f>
        <v>567000</v>
      </c>
      <c r="H12" s="320">
        <v>566400</v>
      </c>
    </row>
    <row r="13" spans="1:8" ht="18.75">
      <c r="D13" s="321" t="s">
        <v>179</v>
      </c>
      <c r="F13" s="320">
        <f>+'4.a sz.mell.'!P37</f>
        <v>800000</v>
      </c>
      <c r="G13" s="320">
        <f>+'4.a sz.mell.'!Q37</f>
        <v>800000</v>
      </c>
      <c r="H13" s="320">
        <f>+'4.a sz.mell.'!R37</f>
        <v>240000</v>
      </c>
    </row>
    <row r="14" spans="1:8" ht="18.75">
      <c r="D14" s="321" t="s">
        <v>49</v>
      </c>
      <c r="F14" s="320">
        <v>700000</v>
      </c>
      <c r="G14" s="320">
        <v>700000</v>
      </c>
      <c r="H14" s="320">
        <v>461122</v>
      </c>
    </row>
    <row r="15" spans="1:8" ht="18.75">
      <c r="D15" s="321" t="s">
        <v>283</v>
      </c>
      <c r="F15" s="320">
        <v>1700000</v>
      </c>
      <c r="G15" s="320">
        <v>1700000</v>
      </c>
      <c r="H15" s="320">
        <v>1172900</v>
      </c>
    </row>
    <row r="16" spans="1:8" ht="18.75">
      <c r="D16" s="319" t="s">
        <v>103</v>
      </c>
      <c r="F16" s="323">
        <f>SUM(F12:F15)</f>
        <v>3767000</v>
      </c>
      <c r="G16" s="323">
        <f>SUM(G12:G15)</f>
        <v>3767000</v>
      </c>
      <c r="H16" s="323">
        <f>SUM(H12:H15)</f>
        <v>2440422</v>
      </c>
    </row>
    <row r="17" spans="4:8" ht="18.75">
      <c r="D17" s="319"/>
      <c r="F17" s="323"/>
      <c r="G17" s="323"/>
      <c r="H17" s="323"/>
    </row>
    <row r="18" spans="4:8" ht="18.75">
      <c r="D18" s="319" t="s">
        <v>104</v>
      </c>
      <c r="F18" s="323">
        <f>SUM(F8,F16)</f>
        <v>3767000</v>
      </c>
      <c r="G18" s="323">
        <f>SUM(G8,G16)</f>
        <v>3767000</v>
      </c>
      <c r="H18" s="323">
        <f>SUM(H8,H16)</f>
        <v>2440422</v>
      </c>
    </row>
    <row r="19" spans="4:8" ht="18">
      <c r="D19" s="312"/>
      <c r="F19" s="326"/>
      <c r="G19" s="326"/>
      <c r="H19" s="326"/>
    </row>
    <row r="20" spans="4:8" ht="18.75">
      <c r="D20" s="327" t="s">
        <v>105</v>
      </c>
      <c r="F20" s="326"/>
      <c r="G20" s="326"/>
      <c r="H20" s="326"/>
    </row>
    <row r="21" spans="4:8" ht="18.75">
      <c r="D21" s="327" t="s">
        <v>106</v>
      </c>
      <c r="F21" s="328">
        <v>0</v>
      </c>
      <c r="G21" s="328">
        <v>0</v>
      </c>
      <c r="H21" s="328">
        <v>0</v>
      </c>
    </row>
    <row r="22" spans="4:8" ht="18.75">
      <c r="D22" s="329" t="s">
        <v>107</v>
      </c>
      <c r="F22" s="328">
        <f>+F12+F13</f>
        <v>1367000</v>
      </c>
      <c r="G22" s="328">
        <f>+G12+G13</f>
        <v>1367000</v>
      </c>
      <c r="H22" s="328">
        <f>+H12+H13</f>
        <v>806400</v>
      </c>
    </row>
    <row r="23" spans="4:8" ht="18">
      <c r="D23" s="312"/>
      <c r="E23" s="326"/>
      <c r="G23" s="487"/>
    </row>
    <row r="24" spans="4:8">
      <c r="D24" s="125"/>
    </row>
    <row r="25" spans="4:8">
      <c r="D25" s="81"/>
    </row>
    <row r="26" spans="4:8">
      <c r="D26" s="81"/>
    </row>
    <row r="27" spans="4:8">
      <c r="D27" s="81"/>
    </row>
    <row r="28" spans="4:8">
      <c r="D28" s="81"/>
    </row>
    <row r="29" spans="4:8">
      <c r="D29" s="81"/>
    </row>
    <row r="32" spans="4:8">
      <c r="D32" s="165"/>
      <c r="E32" s="166"/>
    </row>
    <row r="33" spans="4:5">
      <c r="D33" s="167"/>
      <c r="E33" s="168"/>
    </row>
  </sheetData>
  <mergeCells count="3">
    <mergeCell ref="D4:D5"/>
    <mergeCell ref="A3:G3"/>
    <mergeCell ref="A1:G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U49"/>
  <sheetViews>
    <sheetView view="pageBreakPreview" zoomScale="60" zoomScaleNormal="100" workbookViewId="0">
      <selection activeCell="K3" sqref="K3"/>
    </sheetView>
  </sheetViews>
  <sheetFormatPr defaultRowHeight="15"/>
  <cols>
    <col min="1" max="1" width="36" customWidth="1"/>
    <col min="2" max="2" width="17.28515625" bestFit="1" customWidth="1"/>
    <col min="3" max="3" width="17.28515625" customWidth="1"/>
    <col min="4" max="4" width="17.28515625" bestFit="1" customWidth="1"/>
    <col min="5" max="5" width="17.28515625" customWidth="1"/>
    <col min="6" max="7" width="19" customWidth="1"/>
    <col min="8" max="8" width="18.28515625" customWidth="1"/>
    <col min="9" max="9" width="16.28515625" customWidth="1"/>
    <col min="11" max="11" width="20.42578125" customWidth="1"/>
  </cols>
  <sheetData>
    <row r="1" spans="1:11" ht="15.75">
      <c r="A1" s="733" t="s">
        <v>961</v>
      </c>
      <c r="B1" s="733"/>
      <c r="C1" s="733"/>
      <c r="D1" s="733"/>
      <c r="E1" s="733"/>
      <c r="F1" s="733"/>
      <c r="G1" s="733"/>
      <c r="H1" s="733"/>
      <c r="I1" s="164"/>
      <c r="J1" s="164"/>
      <c r="K1" s="164"/>
    </row>
    <row r="2" spans="1:11" ht="15.75">
      <c r="A2" s="96"/>
      <c r="B2" s="96"/>
      <c r="C2" s="96"/>
      <c r="D2" s="96"/>
      <c r="E2" s="96"/>
      <c r="F2" s="96"/>
      <c r="G2" s="96"/>
      <c r="H2" s="96"/>
      <c r="I2" s="164"/>
      <c r="J2" s="164"/>
      <c r="K2" s="164"/>
    </row>
    <row r="3" spans="1:11" ht="30" customHeight="1">
      <c r="A3" s="740" t="s">
        <v>157</v>
      </c>
      <c r="B3" s="740"/>
      <c r="C3" s="740"/>
      <c r="D3" s="740"/>
      <c r="E3" s="740"/>
      <c r="F3" s="740"/>
      <c r="G3" s="740"/>
      <c r="H3" s="740"/>
      <c r="I3" s="183"/>
      <c r="J3" s="183"/>
      <c r="K3" s="183"/>
    </row>
    <row r="4" spans="1:11" ht="30" customHeight="1">
      <c r="A4" s="183"/>
      <c r="B4" s="183"/>
      <c r="C4" s="355"/>
      <c r="D4" s="183"/>
      <c r="E4" s="396"/>
      <c r="F4" s="183"/>
      <c r="G4" s="396"/>
      <c r="H4" s="183"/>
      <c r="I4" s="183"/>
      <c r="J4" s="183"/>
      <c r="K4" s="183"/>
    </row>
    <row r="5" spans="1:11" ht="30" customHeight="1" thickBot="1">
      <c r="E5" s="95" t="s">
        <v>258</v>
      </c>
    </row>
    <row r="6" spans="1:11" ht="30" customHeight="1" thickBot="1">
      <c r="A6" s="219" t="s">
        <v>63</v>
      </c>
      <c r="B6" s="741">
        <v>2019</v>
      </c>
      <c r="C6" s="742"/>
      <c r="D6" s="743"/>
      <c r="E6" s="427">
        <v>2020</v>
      </c>
      <c r="F6" s="427">
        <v>2021</v>
      </c>
      <c r="G6" s="427">
        <v>2022</v>
      </c>
    </row>
    <row r="7" spans="1:11" ht="30" customHeight="1" thickBot="1">
      <c r="A7" s="370"/>
      <c r="B7" s="413" t="s">
        <v>309</v>
      </c>
      <c r="C7" s="413" t="s">
        <v>355</v>
      </c>
      <c r="D7" s="413" t="s">
        <v>646</v>
      </c>
      <c r="E7" s="413" t="s">
        <v>309</v>
      </c>
      <c r="F7" s="413" t="s">
        <v>309</v>
      </c>
      <c r="G7" s="413" t="s">
        <v>309</v>
      </c>
    </row>
    <row r="8" spans="1:11" ht="15" customHeight="1">
      <c r="A8" s="169" t="s">
        <v>150</v>
      </c>
      <c r="B8" s="414">
        <f>+'1.sz.mell.'!C38</f>
        <v>313537069</v>
      </c>
      <c r="C8" s="414">
        <f>+'1.sz.mell.'!D38</f>
        <v>348735140</v>
      </c>
      <c r="D8" s="414">
        <f>+'1.sz.mell.'!E38</f>
        <v>320083581</v>
      </c>
      <c r="E8" s="414">
        <v>310000000</v>
      </c>
      <c r="F8" s="414">
        <v>315000000</v>
      </c>
      <c r="G8" s="412">
        <v>320000000</v>
      </c>
    </row>
    <row r="9" spans="1:11" ht="30" customHeight="1">
      <c r="A9" s="170" t="s">
        <v>151</v>
      </c>
      <c r="B9" s="282">
        <f>+'1.sz.mell.'!C50</f>
        <v>25974368</v>
      </c>
      <c r="C9" s="282">
        <f>+'1.sz.mell.'!D50</f>
        <v>84437683</v>
      </c>
      <c r="D9" s="282">
        <f>+'1.sz.mell.'!E50</f>
        <v>81193163</v>
      </c>
      <c r="E9" s="282">
        <v>34000000</v>
      </c>
      <c r="F9" s="282">
        <v>38000000</v>
      </c>
      <c r="G9" s="285">
        <v>42000000</v>
      </c>
    </row>
    <row r="10" spans="1:11" ht="15" customHeight="1">
      <c r="A10" s="171" t="s">
        <v>72</v>
      </c>
      <c r="B10" s="282">
        <f>+'1.sz.mell.'!C57</f>
        <v>59270000</v>
      </c>
      <c r="C10" s="282">
        <f>+'1.sz.mell.'!D57</f>
        <v>59270000</v>
      </c>
      <c r="D10" s="282">
        <f>+'1.sz.mell.'!E57</f>
        <v>82020727</v>
      </c>
      <c r="E10" s="282">
        <v>53000000</v>
      </c>
      <c r="F10" s="282">
        <v>55000000</v>
      </c>
      <c r="G10" s="285">
        <v>57000000</v>
      </c>
    </row>
    <row r="11" spans="1:11" ht="15" customHeight="1">
      <c r="A11" s="171" t="s">
        <v>73</v>
      </c>
      <c r="B11" s="282">
        <f>+'1.sz.mell.'!C68</f>
        <v>55885000</v>
      </c>
      <c r="C11" s="282">
        <f>+'1.sz.mell.'!D68</f>
        <v>60741442</v>
      </c>
      <c r="D11" s="282">
        <f>+'1.sz.mell.'!E68</f>
        <v>63589598</v>
      </c>
      <c r="E11" s="282">
        <v>48000000</v>
      </c>
      <c r="F11" s="282">
        <v>46000000</v>
      </c>
      <c r="G11" s="285">
        <v>45000000</v>
      </c>
    </row>
    <row r="12" spans="1:11" ht="15" customHeight="1">
      <c r="A12" s="171" t="s">
        <v>152</v>
      </c>
      <c r="B12" s="282">
        <f>+'1.sz.mell.'!C70</f>
        <v>140000</v>
      </c>
      <c r="C12" s="282">
        <f>+'1.sz.mell.'!D70</f>
        <v>140000</v>
      </c>
      <c r="D12" s="282">
        <f>+'1.sz.mell.'!E70</f>
        <v>0</v>
      </c>
      <c r="E12" s="282">
        <v>0</v>
      </c>
      <c r="F12" s="282">
        <v>0</v>
      </c>
      <c r="G12" s="285">
        <v>0</v>
      </c>
    </row>
    <row r="13" spans="1:11" ht="15" customHeight="1">
      <c r="A13" s="171" t="s">
        <v>622</v>
      </c>
      <c r="B13" s="282">
        <f>+'4 b.sz.mell.'!M62</f>
        <v>0</v>
      </c>
      <c r="C13" s="282">
        <f>+'4 b.sz.mell.'!N62</f>
        <v>87000</v>
      </c>
      <c r="D13" s="282">
        <f>+'4 b.sz.mell.'!O62</f>
        <v>537000</v>
      </c>
      <c r="E13" s="282">
        <v>0</v>
      </c>
      <c r="F13" s="282">
        <v>0</v>
      </c>
      <c r="G13" s="285">
        <v>0</v>
      </c>
    </row>
    <row r="14" spans="1:11" ht="15" customHeight="1">
      <c r="A14" s="171" t="s">
        <v>581</v>
      </c>
      <c r="B14" s="282">
        <f>+'4 b.sz.mell.'!Y62</f>
        <v>0</v>
      </c>
      <c r="C14" s="282">
        <f>+'4 b.sz.mell.'!Z62</f>
        <v>10751039</v>
      </c>
      <c r="D14" s="282">
        <f>+'4 b.sz.mell.'!AA62</f>
        <v>10751039</v>
      </c>
      <c r="E14" s="282"/>
      <c r="F14" s="282"/>
      <c r="G14" s="285"/>
    </row>
    <row r="15" spans="1:11" ht="15" customHeight="1">
      <c r="A15" s="171" t="s">
        <v>7</v>
      </c>
      <c r="B15" s="282">
        <v>0</v>
      </c>
      <c r="C15" s="282">
        <v>0</v>
      </c>
      <c r="D15" s="282">
        <v>0</v>
      </c>
      <c r="E15" s="282">
        <v>0</v>
      </c>
      <c r="F15" s="282">
        <v>0</v>
      </c>
      <c r="G15" s="285">
        <v>0</v>
      </c>
    </row>
    <row r="16" spans="1:11" ht="15" customHeight="1">
      <c r="A16" s="171" t="s">
        <v>153</v>
      </c>
      <c r="B16" s="282">
        <f>+'1.sz.mell.'!C81</f>
        <v>108818441</v>
      </c>
      <c r="C16" s="282">
        <f>+'1.sz.mell.'!D81</f>
        <v>135971539</v>
      </c>
      <c r="D16" s="282">
        <f>+'1.sz.mell.'!E81</f>
        <v>103877480</v>
      </c>
      <c r="E16" s="282">
        <v>500000</v>
      </c>
      <c r="F16" s="282">
        <v>200000</v>
      </c>
      <c r="G16" s="285">
        <v>0</v>
      </c>
    </row>
    <row r="17" spans="1:8" ht="15" customHeight="1" thickBot="1">
      <c r="A17" s="172" t="s">
        <v>154</v>
      </c>
      <c r="B17" s="283">
        <f>+'1.sz.mell.'!C87</f>
        <v>416948898</v>
      </c>
      <c r="C17" s="283">
        <f>+'1.sz.mell.'!D87</f>
        <v>420153306</v>
      </c>
      <c r="D17" s="283">
        <f>+'1.sz.mell.'!E87</f>
        <v>420153306</v>
      </c>
      <c r="E17" s="283">
        <v>120000000</v>
      </c>
      <c r="F17" s="283">
        <v>80000000</v>
      </c>
      <c r="G17" s="286">
        <v>75000000</v>
      </c>
    </row>
    <row r="18" spans="1:8" ht="15" customHeight="1" thickBot="1">
      <c r="A18" s="173" t="s">
        <v>141</v>
      </c>
      <c r="B18" s="284">
        <f>SUM(B8:B17)</f>
        <v>980573776</v>
      </c>
      <c r="C18" s="284">
        <f>SUM(C8:C17)</f>
        <v>1120287149</v>
      </c>
      <c r="D18" s="284">
        <f>SUM(D8:D17)</f>
        <v>1082205894</v>
      </c>
      <c r="E18" s="284">
        <f t="shared" ref="E18:G18" si="0">SUM(E8:E17)</f>
        <v>565500000</v>
      </c>
      <c r="F18" s="284">
        <f t="shared" si="0"/>
        <v>534200000</v>
      </c>
      <c r="G18" s="284">
        <f t="shared" si="0"/>
        <v>539000000</v>
      </c>
    </row>
    <row r="19" spans="1:8" ht="30" customHeight="1" thickBot="1">
      <c r="B19" s="250"/>
      <c r="C19" s="250"/>
      <c r="D19" s="250"/>
      <c r="E19" s="250"/>
      <c r="F19" s="250"/>
      <c r="G19" s="250"/>
    </row>
    <row r="20" spans="1:8" ht="15" customHeight="1">
      <c r="A20" s="169" t="s">
        <v>17</v>
      </c>
      <c r="B20" s="287">
        <f>+'1.sz.mell.'!C96</f>
        <v>212285909</v>
      </c>
      <c r="C20" s="287">
        <f>+'1.sz.mell.'!D96</f>
        <v>265281635</v>
      </c>
      <c r="D20" s="287">
        <f>+'1.sz.mell.'!E96</f>
        <v>251524307</v>
      </c>
      <c r="E20" s="292">
        <v>176000000</v>
      </c>
      <c r="F20" s="293">
        <v>179000000</v>
      </c>
      <c r="G20" s="294">
        <v>181000000</v>
      </c>
    </row>
    <row r="21" spans="1:8" ht="15" customHeight="1">
      <c r="A21" s="171" t="s">
        <v>155</v>
      </c>
      <c r="B21" s="288">
        <f>+'1.sz.mell.'!C97</f>
        <v>39599062</v>
      </c>
      <c r="C21" s="288">
        <f>+'1.sz.mell.'!D97</f>
        <v>47167608</v>
      </c>
      <c r="D21" s="288">
        <f>+'1.sz.mell.'!E97</f>
        <v>43907020</v>
      </c>
      <c r="E21" s="295">
        <v>35000000</v>
      </c>
      <c r="F21" s="296">
        <v>37000000</v>
      </c>
      <c r="G21" s="297">
        <v>39000000</v>
      </c>
    </row>
    <row r="22" spans="1:8" ht="15" customHeight="1">
      <c r="A22" s="171" t="s">
        <v>19</v>
      </c>
      <c r="B22" s="288">
        <f>+'1.sz.mell.'!C98</f>
        <v>243566668</v>
      </c>
      <c r="C22" s="288">
        <f>+'1.sz.mell.'!D98</f>
        <v>267750183</v>
      </c>
      <c r="D22" s="288">
        <f>+'1.sz.mell.'!E98</f>
        <v>180777593</v>
      </c>
      <c r="E22" s="295">
        <f>16000000+137000000-E27</f>
        <v>152476284</v>
      </c>
      <c r="F22" s="296">
        <f>13000000+140000000-F27</f>
        <v>152449986</v>
      </c>
      <c r="G22" s="297">
        <f>150000000-G27</f>
        <v>149471743</v>
      </c>
    </row>
    <row r="23" spans="1:8" ht="15" customHeight="1">
      <c r="A23" s="171" t="s">
        <v>408</v>
      </c>
      <c r="B23" s="288">
        <f>+'1.sz.mell.'!C100</f>
        <v>0</v>
      </c>
      <c r="C23" s="288">
        <f>+'1.sz.mell.'!D100</f>
        <v>0</v>
      </c>
      <c r="D23" s="288">
        <f>+'1.sz.mell.'!E100</f>
        <v>0</v>
      </c>
      <c r="E23" s="295">
        <v>0</v>
      </c>
      <c r="F23" s="296">
        <v>0</v>
      </c>
      <c r="G23" s="297">
        <v>0</v>
      </c>
    </row>
    <row r="24" spans="1:8" ht="15" customHeight="1">
      <c r="A24" s="171" t="s">
        <v>144</v>
      </c>
      <c r="B24" s="288">
        <f>+'1.sz.mell.'!C99</f>
        <v>4767000</v>
      </c>
      <c r="C24" s="288">
        <f>+'1.sz.mell.'!D99</f>
        <v>4767000</v>
      </c>
      <c r="D24" s="288">
        <f>+'1.sz.mell.'!E99</f>
        <v>2440422</v>
      </c>
      <c r="E24" s="295">
        <v>4000000</v>
      </c>
      <c r="F24" s="296">
        <v>5000000</v>
      </c>
      <c r="G24" s="297">
        <v>6000000</v>
      </c>
    </row>
    <row r="25" spans="1:8" ht="15" customHeight="1">
      <c r="A25" s="171" t="s">
        <v>74</v>
      </c>
      <c r="B25" s="288">
        <f>+'1.sz.mell.'!C103+'1.sz.mell.'!C104</f>
        <v>84567133</v>
      </c>
      <c r="C25" s="288">
        <f>+'1.sz.mell.'!D103+'1.sz.mell.'!D104</f>
        <v>95768282</v>
      </c>
      <c r="D25" s="288">
        <f>+'1.sz.mell.'!E103+'1.sz.mell.'!E104</f>
        <v>91035035</v>
      </c>
      <c r="E25" s="295">
        <v>76000000</v>
      </c>
      <c r="F25" s="296">
        <v>78000000</v>
      </c>
      <c r="G25" s="297">
        <v>82000000</v>
      </c>
    </row>
    <row r="26" spans="1:8" ht="15" customHeight="1">
      <c r="A26" s="171" t="s">
        <v>271</v>
      </c>
      <c r="B26" s="288">
        <f>+'1.sz.mell.'!C101</f>
        <v>10420711</v>
      </c>
      <c r="C26" s="288">
        <f>+'1.sz.mell.'!D101</f>
        <v>10420711</v>
      </c>
      <c r="D26" s="288">
        <f>+'1.sz.mell.'!E101</f>
        <v>10420711</v>
      </c>
      <c r="E26" s="295">
        <v>0</v>
      </c>
      <c r="F26" s="296">
        <v>0</v>
      </c>
      <c r="G26" s="297">
        <v>0</v>
      </c>
    </row>
    <row r="27" spans="1:8" ht="15" customHeight="1">
      <c r="A27" s="171" t="s">
        <v>407</v>
      </c>
      <c r="B27" s="288">
        <f>+'1.sz.mell.'!C102</f>
        <v>1643568</v>
      </c>
      <c r="C27" s="288">
        <f>+'1.sz.mell.'!D102</f>
        <v>898197</v>
      </c>
      <c r="D27" s="288">
        <f>+'1.sz.mell.'!E102</f>
        <v>742256</v>
      </c>
      <c r="E27" s="415">
        <v>523716</v>
      </c>
      <c r="F27" s="296">
        <v>550014</v>
      </c>
      <c r="G27" s="297">
        <v>528257</v>
      </c>
    </row>
    <row r="28" spans="1:8" ht="15" customHeight="1">
      <c r="A28" s="171" t="s">
        <v>75</v>
      </c>
      <c r="B28" s="288">
        <f>+'1.sz.mell.'!C107+'1.sz.mell.'!C108</f>
        <v>107151973</v>
      </c>
      <c r="C28" s="288">
        <f>+'1.sz.mell.'!D107+'1.sz.mell.'!D108</f>
        <v>89261498</v>
      </c>
      <c r="D28" s="288">
        <f>+'1.sz.mell.'!E107+'1.sz.mell.'!E108</f>
        <v>0</v>
      </c>
      <c r="E28" s="295">
        <v>5000000</v>
      </c>
      <c r="F28" s="296">
        <v>5000000</v>
      </c>
      <c r="G28" s="297">
        <v>5000000</v>
      </c>
    </row>
    <row r="29" spans="1:8" ht="15" customHeight="1" thickBot="1">
      <c r="A29" s="172" t="s">
        <v>58</v>
      </c>
      <c r="B29" s="289">
        <f>+'1.sz.mell.'!C113</f>
        <v>276571752</v>
      </c>
      <c r="C29" s="289">
        <f>+'1.sz.mell.'!D113</f>
        <v>183472035</v>
      </c>
      <c r="D29" s="289">
        <f>+'1.sz.mell.'!E113</f>
        <v>116862350</v>
      </c>
      <c r="E29" s="298">
        <v>116500000</v>
      </c>
      <c r="F29" s="299">
        <v>77200000</v>
      </c>
      <c r="G29" s="300">
        <v>76000000</v>
      </c>
    </row>
    <row r="30" spans="1:8" ht="43.5" customHeight="1" thickBot="1">
      <c r="A30" s="533" t="s">
        <v>554</v>
      </c>
      <c r="B30" s="530">
        <v>0</v>
      </c>
      <c r="C30" s="530">
        <v>155500000</v>
      </c>
      <c r="D30" s="530">
        <v>155500000</v>
      </c>
      <c r="E30" s="531">
        <v>0</v>
      </c>
      <c r="F30" s="532">
        <v>0</v>
      </c>
      <c r="G30" s="300">
        <v>0</v>
      </c>
    </row>
    <row r="31" spans="1:8" ht="15" customHeight="1" thickBot="1">
      <c r="A31" s="173" t="s">
        <v>148</v>
      </c>
      <c r="B31" s="290">
        <f>SUM(B20:B30)</f>
        <v>980573776</v>
      </c>
      <c r="C31" s="290">
        <f t="shared" ref="C31:G31" si="1">SUM(C20:C30)</f>
        <v>1120287149</v>
      </c>
      <c r="D31" s="290">
        <f t="shared" ref="D31" si="2">SUM(D20:D30)</f>
        <v>853209694</v>
      </c>
      <c r="E31" s="290">
        <f t="shared" si="1"/>
        <v>565500000</v>
      </c>
      <c r="F31" s="290">
        <f t="shared" si="1"/>
        <v>534200000</v>
      </c>
      <c r="G31" s="290">
        <f t="shared" si="1"/>
        <v>539000000</v>
      </c>
    </row>
    <row r="32" spans="1:8" ht="30" customHeight="1">
      <c r="C32" s="291">
        <f>+C18-C31</f>
        <v>0</v>
      </c>
      <c r="D32" s="291"/>
      <c r="E32" s="291"/>
      <c r="F32" s="291"/>
      <c r="G32" s="291"/>
      <c r="H32" s="291"/>
    </row>
    <row r="46" spans="3:21">
      <c r="E46">
        <v>69409668</v>
      </c>
      <c r="G46">
        <v>13721179</v>
      </c>
      <c r="I46">
        <v>12561989</v>
      </c>
      <c r="U46">
        <v>1498906</v>
      </c>
    </row>
    <row r="47" spans="3:21">
      <c r="C47" t="s">
        <v>558</v>
      </c>
      <c r="E47">
        <v>5116204</v>
      </c>
      <c r="G47">
        <v>937016</v>
      </c>
      <c r="I47">
        <v>366871</v>
      </c>
      <c r="K47">
        <v>108328</v>
      </c>
    </row>
    <row r="48" spans="3:21">
      <c r="G48">
        <v>1107935</v>
      </c>
    </row>
    <row r="49" spans="5:7">
      <c r="E49">
        <v>5820000</v>
      </c>
      <c r="G49">
        <v>1060855</v>
      </c>
    </row>
  </sheetData>
  <mergeCells count="3">
    <mergeCell ref="A1:H1"/>
    <mergeCell ref="A3:H3"/>
    <mergeCell ref="B6:D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B1:K27"/>
  <sheetViews>
    <sheetView view="pageBreakPreview" zoomScale="60" zoomScaleNormal="100" workbookViewId="0">
      <selection activeCell="N13" sqref="N13"/>
    </sheetView>
  </sheetViews>
  <sheetFormatPr defaultRowHeight="15"/>
  <cols>
    <col min="1" max="1" width="5.5703125" customWidth="1"/>
    <col min="2" max="2" width="46.7109375" customWidth="1"/>
    <col min="3" max="3" width="12.28515625" customWidth="1"/>
    <col min="4" max="4" width="13.85546875" customWidth="1"/>
    <col min="5" max="6" width="12.28515625" customWidth="1"/>
    <col min="7" max="7" width="11.85546875" customWidth="1"/>
    <col min="8" max="8" width="11.7109375" customWidth="1"/>
    <col min="9" max="9" width="14" customWidth="1"/>
  </cols>
  <sheetData>
    <row r="1" spans="2:11">
      <c r="B1" s="744" t="s">
        <v>962</v>
      </c>
      <c r="C1" s="745"/>
      <c r="D1" s="745"/>
      <c r="E1" s="745"/>
      <c r="F1" s="745"/>
      <c r="G1" s="745"/>
      <c r="H1" s="745"/>
    </row>
    <row r="3" spans="2:11">
      <c r="B3" s="734" t="s">
        <v>149</v>
      </c>
      <c r="C3" s="734"/>
      <c r="D3" s="734"/>
      <c r="E3" s="734"/>
      <c r="F3" s="734"/>
      <c r="G3" s="734"/>
      <c r="H3" s="734"/>
      <c r="I3" s="595"/>
    </row>
    <row r="4" spans="2:11" ht="30" customHeight="1">
      <c r="B4" s="746" t="s">
        <v>678</v>
      </c>
      <c r="C4" s="747"/>
      <c r="D4" s="747"/>
      <c r="E4" s="747"/>
      <c r="F4" s="747"/>
      <c r="G4" s="747"/>
      <c r="H4" s="747"/>
      <c r="I4" s="596"/>
      <c r="J4" s="596"/>
    </row>
    <row r="5" spans="2:11" ht="30" customHeight="1">
      <c r="B5" s="597"/>
      <c r="C5" s="596"/>
      <c r="D5" s="596"/>
      <c r="E5" s="596"/>
      <c r="F5" s="596"/>
      <c r="G5" s="596"/>
      <c r="H5" s="596"/>
      <c r="I5" s="596"/>
      <c r="J5" s="596"/>
    </row>
    <row r="6" spans="2:11">
      <c r="B6" s="595"/>
      <c r="C6" s="595"/>
      <c r="D6" s="595"/>
      <c r="E6" s="595"/>
      <c r="F6" s="595"/>
      <c r="G6" s="595"/>
      <c r="H6" s="595"/>
      <c r="I6" s="598" t="s">
        <v>258</v>
      </c>
      <c r="K6" s="595"/>
    </row>
    <row r="7" spans="2:11">
      <c r="B7" s="599"/>
      <c r="C7" s="748">
        <v>2019</v>
      </c>
      <c r="D7" s="749"/>
      <c r="E7" s="750"/>
      <c r="F7" s="600">
        <v>2020</v>
      </c>
      <c r="G7" s="600">
        <v>2021</v>
      </c>
      <c r="H7" s="600">
        <v>2022</v>
      </c>
      <c r="I7" s="600">
        <v>2023</v>
      </c>
    </row>
    <row r="8" spans="2:11">
      <c r="B8" s="601"/>
      <c r="C8" s="413" t="s">
        <v>309</v>
      </c>
      <c r="D8" s="413" t="s">
        <v>514</v>
      </c>
      <c r="E8" s="413" t="s">
        <v>695</v>
      </c>
      <c r="F8" s="413" t="s">
        <v>309</v>
      </c>
      <c r="G8" s="413" t="s">
        <v>309</v>
      </c>
      <c r="H8" s="413" t="s">
        <v>309</v>
      </c>
      <c r="I8" s="413" t="s">
        <v>309</v>
      </c>
    </row>
    <row r="9" spans="2:11">
      <c r="B9" s="602" t="s">
        <v>679</v>
      </c>
      <c r="C9" s="603"/>
      <c r="D9" s="603"/>
      <c r="E9" s="603"/>
      <c r="F9" s="604"/>
      <c r="G9" s="604"/>
      <c r="H9" s="604"/>
      <c r="I9" s="604"/>
    </row>
    <row r="10" spans="2:11">
      <c r="B10" s="599" t="s">
        <v>680</v>
      </c>
      <c r="C10" s="605">
        <f>+'1.sz.mell.'!C51+'1.sz.mell.'!C52</f>
        <v>49200000</v>
      </c>
      <c r="D10" s="605">
        <f>+'1.sz.mell.'!D51+'1.sz.mell.'!D52</f>
        <v>49200000</v>
      </c>
      <c r="E10" s="605">
        <f>+'1.sz.mell.'!E51+'1.sz.mell.'!E52</f>
        <v>69993814</v>
      </c>
      <c r="F10" s="605">
        <v>45000000</v>
      </c>
      <c r="G10" s="605">
        <v>45000000</v>
      </c>
      <c r="H10" s="605">
        <v>40000000</v>
      </c>
      <c r="I10" s="605">
        <v>40000000</v>
      </c>
    </row>
    <row r="11" spans="2:11" ht="45">
      <c r="B11" s="606" t="s">
        <v>681</v>
      </c>
      <c r="C11" s="607">
        <f>+'1.sz.mell.'!C82+'1.sz.mell.'!C83+'1.sz.mell.'!C84</f>
        <v>0</v>
      </c>
      <c r="D11" s="607">
        <f>+'1.sz.mell.'!D82+'1.sz.mell.'!D83+'1.sz.mell.'!D84</f>
        <v>87000</v>
      </c>
      <c r="E11" s="607">
        <f>+'1.sz.mell.'!E82+'1.sz.mell.'!E83+'1.sz.mell.'!E84</f>
        <v>537000</v>
      </c>
      <c r="F11" s="607">
        <v>0</v>
      </c>
      <c r="G11" s="607">
        <v>0</v>
      </c>
      <c r="H11" s="607">
        <v>0</v>
      </c>
      <c r="I11" s="607">
        <v>0</v>
      </c>
    </row>
    <row r="12" spans="2:11" ht="16.5" customHeight="1">
      <c r="B12" s="606" t="s">
        <v>682</v>
      </c>
      <c r="C12" s="605">
        <f>+'4 b.sz.mell.'!D18+'4 b.sz.mell.'!D16</f>
        <v>13500000</v>
      </c>
      <c r="D12" s="605">
        <f>+'4 b.sz.mell.'!E18+'4 b.sz.mell.'!E16</f>
        <v>18461442</v>
      </c>
      <c r="E12" s="605">
        <f>+'4 b.sz.mell.'!F18+'4 b.sz.mell.'!F16</f>
        <v>18461486</v>
      </c>
      <c r="F12" s="605">
        <v>11000000</v>
      </c>
      <c r="G12" s="605">
        <v>11000000</v>
      </c>
      <c r="H12" s="605">
        <v>11000000</v>
      </c>
      <c r="I12" s="605">
        <v>11000000</v>
      </c>
    </row>
    <row r="13" spans="2:11" ht="45" customHeight="1">
      <c r="B13" s="606" t="s">
        <v>683</v>
      </c>
      <c r="C13" s="607">
        <v>0</v>
      </c>
      <c r="D13" s="607">
        <v>0</v>
      </c>
      <c r="E13" s="607">
        <v>0</v>
      </c>
      <c r="F13" s="607">
        <v>0</v>
      </c>
      <c r="G13" s="607">
        <v>0</v>
      </c>
      <c r="H13" s="607">
        <v>0</v>
      </c>
      <c r="I13" s="607">
        <v>0</v>
      </c>
    </row>
    <row r="14" spans="2:11">
      <c r="B14" s="606" t="s">
        <v>684</v>
      </c>
      <c r="C14" s="605">
        <f>+'1.sz.mell.'!C53</f>
        <v>100000</v>
      </c>
      <c r="D14" s="605">
        <f>+'1.sz.mell.'!D53</f>
        <v>100000</v>
      </c>
      <c r="E14" s="605">
        <f>+'1.sz.mell.'!E53</f>
        <v>365617</v>
      </c>
      <c r="F14" s="605">
        <f>+'[1]2.sz.mell.'!D39</f>
        <v>0</v>
      </c>
      <c r="G14" s="605">
        <f>+'[1]2.sz.mell.'!E39</f>
        <v>0</v>
      </c>
      <c r="H14" s="605">
        <f>+'[1]2.sz.mell.'!F39</f>
        <v>0</v>
      </c>
      <c r="I14" s="605">
        <f>+'[1]2.sz.mell.'!G39</f>
        <v>0</v>
      </c>
    </row>
    <row r="15" spans="2:11" ht="15" customHeight="1">
      <c r="B15" s="606" t="s">
        <v>685</v>
      </c>
      <c r="C15" s="605">
        <v>0</v>
      </c>
      <c r="D15" s="605">
        <v>0</v>
      </c>
      <c r="E15" s="605">
        <v>0</v>
      </c>
      <c r="F15" s="605">
        <v>0</v>
      </c>
      <c r="G15" s="605">
        <v>0</v>
      </c>
      <c r="H15" s="605">
        <v>0</v>
      </c>
      <c r="I15" s="605">
        <v>0</v>
      </c>
    </row>
    <row r="16" spans="2:11">
      <c r="B16" s="608" t="s">
        <v>686</v>
      </c>
      <c r="C16" s="605">
        <f t="shared" ref="C16:I16" si="0">SUM(C10:C15)</f>
        <v>62800000</v>
      </c>
      <c r="D16" s="605">
        <f t="shared" ref="D16" si="1">SUM(D10:D15)</f>
        <v>67848442</v>
      </c>
      <c r="E16" s="605">
        <f t="shared" ref="E16" si="2">SUM(E10:E15)</f>
        <v>89357917</v>
      </c>
      <c r="F16" s="605">
        <f t="shared" si="0"/>
        <v>56000000</v>
      </c>
      <c r="G16" s="605">
        <f t="shared" si="0"/>
        <v>56000000</v>
      </c>
      <c r="H16" s="605">
        <f t="shared" si="0"/>
        <v>51000000</v>
      </c>
      <c r="I16" s="605">
        <f t="shared" si="0"/>
        <v>51000000</v>
      </c>
    </row>
    <row r="17" spans="2:9">
      <c r="B17" s="606"/>
      <c r="C17" s="605"/>
      <c r="D17" s="605"/>
      <c r="E17" s="605"/>
      <c r="F17" s="605"/>
      <c r="G17" s="605"/>
      <c r="H17" s="605"/>
      <c r="I17" s="605"/>
    </row>
    <row r="18" spans="2:9">
      <c r="B18" s="599"/>
      <c r="C18" s="605"/>
      <c r="D18" s="605"/>
      <c r="E18" s="605"/>
      <c r="F18" s="605"/>
      <c r="G18" s="605"/>
      <c r="H18" s="605"/>
      <c r="I18" s="605"/>
    </row>
    <row r="19" spans="2:9">
      <c r="B19" s="602" t="s">
        <v>687</v>
      </c>
      <c r="C19" s="605"/>
      <c r="D19" s="605"/>
      <c r="E19" s="605"/>
      <c r="F19" s="605"/>
      <c r="G19" s="605"/>
      <c r="H19" s="605"/>
      <c r="I19" s="605"/>
    </row>
    <row r="20" spans="2:9">
      <c r="B20" s="606" t="s">
        <v>688</v>
      </c>
      <c r="C20" s="605">
        <v>0</v>
      </c>
      <c r="D20" s="605">
        <v>0</v>
      </c>
      <c r="E20" s="605">
        <v>0</v>
      </c>
      <c r="F20" s="605">
        <v>0</v>
      </c>
      <c r="G20" s="605">
        <v>0</v>
      </c>
      <c r="H20" s="605">
        <v>0</v>
      </c>
      <c r="I20" s="605">
        <v>0</v>
      </c>
    </row>
    <row r="21" spans="2:9">
      <c r="B21" s="606" t="s">
        <v>689</v>
      </c>
      <c r="C21" s="605">
        <v>0</v>
      </c>
      <c r="D21" s="605">
        <v>0</v>
      </c>
      <c r="E21" s="605">
        <v>0</v>
      </c>
      <c r="F21" s="605">
        <v>0</v>
      </c>
      <c r="G21" s="605">
        <v>0</v>
      </c>
      <c r="H21" s="605">
        <v>0</v>
      </c>
      <c r="I21" s="605">
        <v>0</v>
      </c>
    </row>
    <row r="22" spans="2:9">
      <c r="B22" s="606" t="s">
        <v>690</v>
      </c>
      <c r="C22" s="605">
        <v>0</v>
      </c>
      <c r="D22" s="605">
        <v>0</v>
      </c>
      <c r="E22" s="605">
        <v>0</v>
      </c>
      <c r="F22" s="605">
        <v>0</v>
      </c>
      <c r="G22" s="605">
        <v>0</v>
      </c>
      <c r="H22" s="605">
        <v>0</v>
      </c>
      <c r="I22" s="605">
        <v>0</v>
      </c>
    </row>
    <row r="23" spans="2:9">
      <c r="B23" s="606" t="s">
        <v>691</v>
      </c>
      <c r="C23" s="605">
        <f>+'1.sz.mell.'!C102</f>
        <v>1643568</v>
      </c>
      <c r="D23" s="605">
        <f>+'1.sz.mell.'!D102</f>
        <v>898197</v>
      </c>
      <c r="E23" s="605">
        <f>+'1.sz.mell.'!E102</f>
        <v>742256</v>
      </c>
      <c r="F23" s="605">
        <f>+'[1]14.sz.mell.'!C13</f>
        <v>749867</v>
      </c>
      <c r="G23" s="605">
        <f>+'[1]14.sz.mell.'!D13</f>
        <v>749866.00000000012</v>
      </c>
      <c r="H23" s="605">
        <f>+'[1]14.sz.mell.'!E13</f>
        <v>62489</v>
      </c>
      <c r="I23" s="605">
        <v>0</v>
      </c>
    </row>
    <row r="24" spans="2:9" ht="30.75" customHeight="1">
      <c r="B24" s="606" t="s">
        <v>692</v>
      </c>
      <c r="C24" s="607">
        <v>0</v>
      </c>
      <c r="D24" s="607">
        <v>0</v>
      </c>
      <c r="E24" s="607">
        <v>0</v>
      </c>
      <c r="F24" s="607">
        <v>0</v>
      </c>
      <c r="G24" s="607">
        <v>0</v>
      </c>
      <c r="H24" s="607">
        <v>0</v>
      </c>
      <c r="I24" s="607">
        <v>0</v>
      </c>
    </row>
    <row r="25" spans="2:9" ht="30">
      <c r="B25" s="606" t="s">
        <v>693</v>
      </c>
      <c r="C25" s="607">
        <v>0</v>
      </c>
      <c r="D25" s="607">
        <v>0</v>
      </c>
      <c r="E25" s="607">
        <v>0</v>
      </c>
      <c r="F25" s="607">
        <v>0</v>
      </c>
      <c r="G25" s="607">
        <v>0</v>
      </c>
      <c r="H25" s="607">
        <v>0</v>
      </c>
      <c r="I25" s="607">
        <v>0</v>
      </c>
    </row>
    <row r="26" spans="2:9" ht="18.75" customHeight="1">
      <c r="B26" s="606" t="s">
        <v>694</v>
      </c>
      <c r="C26" s="605">
        <f>+'[1]13.sz.mell'!B10</f>
        <v>1908000</v>
      </c>
      <c r="D26" s="605">
        <f>+C26</f>
        <v>1908000</v>
      </c>
      <c r="E26" s="605">
        <f>+C26</f>
        <v>1908000</v>
      </c>
      <c r="F26" s="605">
        <f>+'[1]13.sz.mell'!C10</f>
        <v>1900000</v>
      </c>
      <c r="G26" s="605">
        <f>+'[1]13.sz.mell'!D10</f>
        <v>1850000</v>
      </c>
      <c r="H26" s="605">
        <f>+'[1]13.sz.mell'!E10</f>
        <v>1800000</v>
      </c>
      <c r="I26" s="605">
        <f>+'[1]13.sz.mell'!F10</f>
        <v>1750000</v>
      </c>
    </row>
    <row r="27" spans="2:9">
      <c r="B27" s="608" t="s">
        <v>686</v>
      </c>
      <c r="C27" s="605">
        <f t="shared" ref="C27:I27" si="3">SUM(C20:C26)</f>
        <v>3551568</v>
      </c>
      <c r="D27" s="605">
        <f t="shared" ref="D27" si="4">SUM(D20:D26)</f>
        <v>2806197</v>
      </c>
      <c r="E27" s="605">
        <f t="shared" ref="E27" si="5">SUM(E20:E26)</f>
        <v>2650256</v>
      </c>
      <c r="F27" s="605">
        <f t="shared" si="3"/>
        <v>2649867</v>
      </c>
      <c r="G27" s="605">
        <f t="shared" si="3"/>
        <v>2599866</v>
      </c>
      <c r="H27" s="605">
        <f t="shared" si="3"/>
        <v>1862489</v>
      </c>
      <c r="I27" s="605">
        <f t="shared" si="3"/>
        <v>1750000</v>
      </c>
    </row>
  </sheetData>
  <mergeCells count="4">
    <mergeCell ref="B1:H1"/>
    <mergeCell ref="B3:H3"/>
    <mergeCell ref="B4:H4"/>
    <mergeCell ref="C7:E7"/>
  </mergeCells>
  <pageMargins left="0.11811023622047245" right="0.11811023622047245" top="0.74803149606299213" bottom="0.74803149606299213" header="0.31496062992125984" footer="0.31496062992125984"/>
  <pageSetup paperSize="9" scale="7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W20"/>
  <sheetViews>
    <sheetView view="pageBreakPreview" zoomScale="70" zoomScaleNormal="70" zoomScaleSheetLayoutView="70" workbookViewId="0">
      <selection activeCell="K17" sqref="K17"/>
    </sheetView>
  </sheetViews>
  <sheetFormatPr defaultColWidth="8.85546875" defaultRowHeight="12.75"/>
  <cols>
    <col min="1" max="1" width="29.28515625" style="36" customWidth="1"/>
    <col min="2" max="2" width="22.7109375" style="36" customWidth="1"/>
    <col min="3" max="3" width="23.7109375" style="36" customWidth="1"/>
    <col min="4" max="4" width="22.5703125" style="36" customWidth="1"/>
    <col min="5" max="5" width="23" style="36" customWidth="1"/>
    <col min="6" max="6" width="22.140625" style="36" customWidth="1"/>
    <col min="7" max="8" width="17" style="36" customWidth="1"/>
    <col min="9" max="9" width="17" style="36" bestFit="1" customWidth="1"/>
    <col min="10" max="10" width="22.140625" style="36" customWidth="1"/>
    <col min="11" max="11" width="17" style="36" bestFit="1" customWidth="1"/>
    <col min="12" max="21" width="22" style="36" bestFit="1" customWidth="1"/>
    <col min="22" max="22" width="21.5703125" style="36" bestFit="1" customWidth="1"/>
    <col min="23" max="23" width="10.42578125" style="36" customWidth="1"/>
    <col min="24" max="16384" width="8.85546875" style="36"/>
  </cols>
  <sheetData>
    <row r="1" spans="1:23" ht="15.75">
      <c r="A1" s="637" t="s">
        <v>963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  <c r="M1" s="637"/>
      <c r="N1" s="637"/>
      <c r="O1" s="202"/>
      <c r="P1" s="202"/>
      <c r="Q1" s="202"/>
      <c r="R1" s="202"/>
      <c r="S1" s="202"/>
      <c r="T1" s="202"/>
      <c r="U1" s="202"/>
      <c r="V1" s="202"/>
      <c r="W1" s="609"/>
    </row>
    <row r="2" spans="1:23" ht="20.25" customHeight="1">
      <c r="A2" s="751" t="s">
        <v>696</v>
      </c>
      <c r="B2" s="751"/>
      <c r="C2" s="751"/>
      <c r="D2" s="751"/>
      <c r="E2" s="751"/>
      <c r="F2" s="751"/>
      <c r="G2" s="751"/>
      <c r="H2" s="751"/>
      <c r="I2" s="751"/>
      <c r="J2" s="751"/>
      <c r="K2" s="751"/>
      <c r="L2" s="751"/>
      <c r="M2" s="751"/>
      <c r="N2" s="751"/>
      <c r="O2" s="610"/>
      <c r="P2" s="610"/>
      <c r="Q2" s="610"/>
      <c r="R2" s="610"/>
      <c r="S2" s="610"/>
      <c r="T2" s="610"/>
      <c r="U2" s="610"/>
      <c r="V2" s="610"/>
      <c r="W2" s="610"/>
    </row>
    <row r="3" spans="1:23" ht="15.75" thickBo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611"/>
      <c r="N3" s="611" t="s">
        <v>258</v>
      </c>
      <c r="O3" s="611"/>
      <c r="P3" s="611"/>
      <c r="Q3" s="611"/>
      <c r="R3" s="611"/>
      <c r="S3" s="611"/>
      <c r="T3" s="611"/>
      <c r="U3" s="611"/>
      <c r="W3" s="90"/>
    </row>
    <row r="4" spans="1:23" ht="15.75">
      <c r="A4" s="752" t="s">
        <v>697</v>
      </c>
      <c r="B4" s="612"/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2"/>
      <c r="N4" s="612"/>
    </row>
    <row r="5" spans="1:23" ht="16.5" thickBot="1">
      <c r="A5" s="753"/>
      <c r="B5" s="613" t="s">
        <v>720</v>
      </c>
      <c r="C5" s="613" t="s">
        <v>721</v>
      </c>
      <c r="D5" s="613" t="s">
        <v>722</v>
      </c>
      <c r="E5" s="613" t="s">
        <v>698</v>
      </c>
      <c r="F5" s="613" t="s">
        <v>699</v>
      </c>
      <c r="G5" s="613" t="s">
        <v>700</v>
      </c>
      <c r="H5" s="613" t="s">
        <v>701</v>
      </c>
      <c r="I5" s="613" t="s">
        <v>702</v>
      </c>
      <c r="J5" s="613" t="s">
        <v>703</v>
      </c>
      <c r="K5" s="613" t="s">
        <v>704</v>
      </c>
      <c r="L5" s="613" t="s">
        <v>705</v>
      </c>
      <c r="M5" s="613" t="s">
        <v>706</v>
      </c>
      <c r="N5" s="613" t="s">
        <v>707</v>
      </c>
      <c r="O5" s="613" t="s">
        <v>708</v>
      </c>
      <c r="P5" s="613">
        <v>2031</v>
      </c>
    </row>
    <row r="6" spans="1:23" ht="36">
      <c r="A6" s="614" t="s">
        <v>709</v>
      </c>
      <c r="B6" s="615">
        <f>+'1.sz.mell.'!C51+'1.sz.mell.'!C52</f>
        <v>49200000</v>
      </c>
      <c r="C6" s="615">
        <f>+'1.sz.mell.'!D51+'1.sz.mell.'!D52</f>
        <v>49200000</v>
      </c>
      <c r="D6" s="615">
        <f>+'1.sz.mell.'!E51+'1.sz.mell.'!E52</f>
        <v>69993814</v>
      </c>
      <c r="E6" s="615">
        <v>45000000</v>
      </c>
      <c r="F6" s="615">
        <v>40000000</v>
      </c>
      <c r="G6" s="615">
        <v>40000000</v>
      </c>
      <c r="H6" s="615">
        <v>40000000</v>
      </c>
      <c r="I6" s="615">
        <v>40000000</v>
      </c>
      <c r="J6" s="615">
        <v>40000000</v>
      </c>
      <c r="K6" s="615">
        <v>40000000</v>
      </c>
      <c r="L6" s="615">
        <v>40000000</v>
      </c>
      <c r="M6" s="615">
        <v>40000000</v>
      </c>
      <c r="N6" s="615">
        <v>40000000</v>
      </c>
      <c r="O6" s="615">
        <v>40000000</v>
      </c>
      <c r="P6" s="615">
        <v>40000000</v>
      </c>
    </row>
    <row r="7" spans="1:23" ht="54">
      <c r="A7" s="616" t="s">
        <v>710</v>
      </c>
      <c r="B7" s="617">
        <f>+'4 b.sz.mell.'!D16+'4 b.sz.mell.'!D18</f>
        <v>13500000</v>
      </c>
      <c r="C7" s="617">
        <f>+'4 b.sz.mell.'!E16+'4 b.sz.mell.'!E18</f>
        <v>18461442</v>
      </c>
      <c r="D7" s="617">
        <f>+'4 b.sz.mell.'!F16+'4 b.sz.mell.'!F18</f>
        <v>18461486</v>
      </c>
      <c r="E7" s="617">
        <v>4500000</v>
      </c>
      <c r="F7" s="617">
        <v>4500000</v>
      </c>
      <c r="G7" s="617">
        <v>4500000</v>
      </c>
      <c r="H7" s="617">
        <v>4500000</v>
      </c>
      <c r="I7" s="617">
        <v>4500000</v>
      </c>
      <c r="J7" s="617">
        <v>4500000</v>
      </c>
      <c r="K7" s="617">
        <v>4500000</v>
      </c>
      <c r="L7" s="617">
        <v>4500000</v>
      </c>
      <c r="M7" s="617">
        <v>4500000</v>
      </c>
      <c r="N7" s="617">
        <v>4500000</v>
      </c>
      <c r="O7" s="617">
        <v>4500000</v>
      </c>
      <c r="P7" s="617">
        <v>4500000</v>
      </c>
    </row>
    <row r="8" spans="1:23" ht="36.75" thickBot="1">
      <c r="A8" s="618" t="s">
        <v>711</v>
      </c>
      <c r="B8" s="619">
        <f>+'1.sz.mell.'!C53</f>
        <v>100000</v>
      </c>
      <c r="C8" s="619">
        <f>+'1.sz.mell.'!D53</f>
        <v>100000</v>
      </c>
      <c r="D8" s="619">
        <f>+'1.sz.mell.'!E53</f>
        <v>365617</v>
      </c>
      <c r="E8" s="619">
        <v>500000</v>
      </c>
      <c r="F8" s="619">
        <v>500000</v>
      </c>
      <c r="G8" s="619">
        <v>500000</v>
      </c>
      <c r="H8" s="619">
        <v>500000</v>
      </c>
      <c r="I8" s="619">
        <v>500000</v>
      </c>
      <c r="J8" s="619">
        <v>500000</v>
      </c>
      <c r="K8" s="619">
        <v>500000</v>
      </c>
      <c r="L8" s="619">
        <v>500000</v>
      </c>
      <c r="M8" s="619">
        <v>500000</v>
      </c>
      <c r="N8" s="619">
        <v>500000</v>
      </c>
      <c r="O8" s="619">
        <v>500000</v>
      </c>
      <c r="P8" s="619">
        <v>500000</v>
      </c>
    </row>
    <row r="9" spans="1:23" ht="18.75" thickBot="1">
      <c r="A9" s="620" t="s">
        <v>69</v>
      </c>
      <c r="B9" s="621">
        <f>SUM(B6:B8)</f>
        <v>62800000</v>
      </c>
      <c r="C9" s="621">
        <f t="shared" ref="C9:D9" si="0">SUM(C6:C8)</f>
        <v>67761442</v>
      </c>
      <c r="D9" s="621">
        <f t="shared" si="0"/>
        <v>88820917</v>
      </c>
      <c r="E9" s="621">
        <f t="shared" ref="E9:P9" si="1">SUM(E6:E8)</f>
        <v>50000000</v>
      </c>
      <c r="F9" s="621">
        <f t="shared" si="1"/>
        <v>45000000</v>
      </c>
      <c r="G9" s="621">
        <f t="shared" si="1"/>
        <v>45000000</v>
      </c>
      <c r="H9" s="621">
        <f t="shared" si="1"/>
        <v>45000000</v>
      </c>
      <c r="I9" s="621">
        <f t="shared" si="1"/>
        <v>45000000</v>
      </c>
      <c r="J9" s="621">
        <f t="shared" si="1"/>
        <v>45000000</v>
      </c>
      <c r="K9" s="621">
        <f t="shared" si="1"/>
        <v>45000000</v>
      </c>
      <c r="L9" s="621">
        <f t="shared" si="1"/>
        <v>45000000</v>
      </c>
      <c r="M9" s="621">
        <f t="shared" si="1"/>
        <v>45000000</v>
      </c>
      <c r="N9" s="621">
        <f t="shared" si="1"/>
        <v>45000000</v>
      </c>
      <c r="O9" s="621">
        <f t="shared" si="1"/>
        <v>45000000</v>
      </c>
      <c r="P9" s="621">
        <f t="shared" si="1"/>
        <v>45000000</v>
      </c>
    </row>
    <row r="10" spans="1:23" ht="228" thickBot="1">
      <c r="A10" s="622" t="s">
        <v>712</v>
      </c>
      <c r="B10" s="756">
        <v>1908000</v>
      </c>
      <c r="C10" s="757"/>
      <c r="D10" s="758"/>
      <c r="E10" s="623">
        <v>1900000</v>
      </c>
      <c r="F10" s="623">
        <v>1850000</v>
      </c>
      <c r="G10" s="623">
        <v>1800000</v>
      </c>
      <c r="H10" s="623">
        <v>1750000</v>
      </c>
      <c r="I10" s="623">
        <v>1700000</v>
      </c>
      <c r="J10" s="623">
        <v>1650000</v>
      </c>
      <c r="K10" s="623">
        <v>1600000</v>
      </c>
      <c r="L10" s="623">
        <v>1550000</v>
      </c>
      <c r="M10" s="623">
        <v>1500000</v>
      </c>
      <c r="N10" s="623">
        <v>1450000</v>
      </c>
      <c r="O10" s="623">
        <v>1400000</v>
      </c>
      <c r="P10" s="623">
        <v>1350000</v>
      </c>
    </row>
    <row r="13" spans="1:23" ht="13.5" thickBot="1">
      <c r="C13" s="624"/>
      <c r="D13" s="624"/>
      <c r="E13" s="624"/>
      <c r="F13" s="624"/>
      <c r="G13" s="624"/>
      <c r="H13" s="624"/>
    </row>
    <row r="14" spans="1:23" ht="15.75">
      <c r="A14" s="752" t="s">
        <v>697</v>
      </c>
      <c r="B14" s="612"/>
      <c r="C14" s="612"/>
      <c r="D14" s="612"/>
      <c r="E14" s="612"/>
      <c r="F14" s="612"/>
      <c r="G14" s="612"/>
      <c r="H14" s="625"/>
      <c r="I14" s="754" t="s">
        <v>68</v>
      </c>
    </row>
    <row r="15" spans="1:23" ht="16.5" thickBot="1">
      <c r="A15" s="753"/>
      <c r="B15" s="613" t="s">
        <v>713</v>
      </c>
      <c r="C15" s="613" t="s">
        <v>714</v>
      </c>
      <c r="D15" s="613" t="s">
        <v>715</v>
      </c>
      <c r="E15" s="613" t="s">
        <v>716</v>
      </c>
      <c r="F15" s="613" t="s">
        <v>717</v>
      </c>
      <c r="G15" s="613" t="s">
        <v>718</v>
      </c>
      <c r="H15" s="613" t="s">
        <v>719</v>
      </c>
      <c r="I15" s="755"/>
    </row>
    <row r="16" spans="1:23" ht="36">
      <c r="A16" s="614" t="s">
        <v>709</v>
      </c>
      <c r="B16" s="615">
        <v>40000000</v>
      </c>
      <c r="C16" s="615">
        <v>40000000</v>
      </c>
      <c r="D16" s="615">
        <v>40000000</v>
      </c>
      <c r="E16" s="615">
        <v>40000000</v>
      </c>
      <c r="F16" s="615">
        <v>40000000</v>
      </c>
      <c r="G16" s="615">
        <v>40000000</v>
      </c>
      <c r="H16" s="615">
        <v>40000000</v>
      </c>
      <c r="I16" s="626">
        <f>SUM(B6:P6)+B16+C16+D16+E16+F16+G16+H16</f>
        <v>933393814</v>
      </c>
    </row>
    <row r="17" spans="1:9" ht="54">
      <c r="A17" s="616" t="s">
        <v>710</v>
      </c>
      <c r="B17" s="617">
        <v>4500000</v>
      </c>
      <c r="C17" s="617">
        <v>4500000</v>
      </c>
      <c r="D17" s="617">
        <v>4500000</v>
      </c>
      <c r="E17" s="617">
        <v>4500000</v>
      </c>
      <c r="F17" s="617">
        <v>4500000</v>
      </c>
      <c r="G17" s="617">
        <v>4500000</v>
      </c>
      <c r="H17" s="617">
        <v>4500000</v>
      </c>
      <c r="I17" s="626">
        <f>SUM(B7:P7)+G17+F17+E17+D17+C17+B17+H17</f>
        <v>135922928</v>
      </c>
    </row>
    <row r="18" spans="1:9" ht="36.75" thickBot="1">
      <c r="A18" s="618" t="s">
        <v>711</v>
      </c>
      <c r="B18" s="619">
        <v>500000</v>
      </c>
      <c r="C18" s="619">
        <v>500000</v>
      </c>
      <c r="D18" s="619">
        <v>500000</v>
      </c>
      <c r="E18" s="619">
        <v>500000</v>
      </c>
      <c r="F18" s="619">
        <v>500000</v>
      </c>
      <c r="G18" s="619">
        <v>500000</v>
      </c>
      <c r="H18" s="619">
        <v>500000</v>
      </c>
      <c r="I18" s="626">
        <f>SUM(B8:P8)+H18+G18+F18+E18+D18+C18+B18</f>
        <v>10065617</v>
      </c>
    </row>
    <row r="19" spans="1:9" ht="18.75" thickBot="1">
      <c r="A19" s="620" t="s">
        <v>69</v>
      </c>
      <c r="B19" s="621">
        <f t="shared" ref="B19:H19" si="2">SUM(B16:B18)</f>
        <v>45000000</v>
      </c>
      <c r="C19" s="621">
        <f t="shared" si="2"/>
        <v>45000000</v>
      </c>
      <c r="D19" s="621">
        <f t="shared" si="2"/>
        <v>45000000</v>
      </c>
      <c r="E19" s="621">
        <f t="shared" si="2"/>
        <v>45000000</v>
      </c>
      <c r="F19" s="621">
        <f t="shared" si="2"/>
        <v>45000000</v>
      </c>
      <c r="G19" s="621">
        <f t="shared" si="2"/>
        <v>45000000</v>
      </c>
      <c r="H19" s="621">
        <f t="shared" si="2"/>
        <v>45000000</v>
      </c>
      <c r="I19" s="626">
        <f>+I16+I17+I18</f>
        <v>1079382359</v>
      </c>
    </row>
    <row r="20" spans="1:9" ht="228" thickBot="1">
      <c r="A20" s="622" t="s">
        <v>712</v>
      </c>
      <c r="B20" s="623">
        <v>1300000</v>
      </c>
      <c r="C20" s="623">
        <v>1250000</v>
      </c>
      <c r="D20" s="623">
        <v>1200000</v>
      </c>
      <c r="E20" s="623">
        <v>1150000</v>
      </c>
      <c r="F20" s="623">
        <v>1100000</v>
      </c>
      <c r="G20" s="623">
        <v>1050000</v>
      </c>
      <c r="H20" s="623">
        <v>1000000</v>
      </c>
      <c r="I20" s="626">
        <f>SUM(B10:P10)+H20+G20+F20+E20+D20+C20+B20</f>
        <v>29458000</v>
      </c>
    </row>
  </sheetData>
  <mergeCells count="6">
    <mergeCell ref="A1:N1"/>
    <mergeCell ref="A2:N2"/>
    <mergeCell ref="A4:A5"/>
    <mergeCell ref="A14:A15"/>
    <mergeCell ref="I14:I15"/>
    <mergeCell ref="B10:D10"/>
  </mergeCells>
  <pageMargins left="0.11811023622047245" right="0.11811023622047245" top="0.35433070866141736" bottom="0.35433070866141736" header="0.31496062992125984" footer="0.31496062992125984"/>
  <pageSetup paperSize="8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U48"/>
  <sheetViews>
    <sheetView view="pageBreakPreview" zoomScale="140" zoomScaleNormal="140" zoomScaleSheetLayoutView="140" workbookViewId="0">
      <selection activeCell="A3" sqref="A3:D3"/>
    </sheetView>
  </sheetViews>
  <sheetFormatPr defaultRowHeight="15.75"/>
  <cols>
    <col min="1" max="1" width="1" style="2" customWidth="1"/>
    <col min="2" max="2" width="42.5703125" style="2" customWidth="1"/>
    <col min="3" max="4" width="13.5703125" style="2" customWidth="1"/>
    <col min="5" max="5" width="17.28515625" style="2" customWidth="1"/>
    <col min="6" max="6" width="15" style="2" customWidth="1"/>
    <col min="7" max="7" width="14.7109375" style="2" customWidth="1"/>
    <col min="8" max="10" width="9.140625" style="2"/>
    <col min="11" max="11" width="20.42578125" style="2" customWidth="1"/>
    <col min="12" max="16384" width="9.140625" style="2"/>
  </cols>
  <sheetData>
    <row r="1" spans="1:16" ht="22.5" customHeight="1">
      <c r="A1" s="649" t="s">
        <v>946</v>
      </c>
      <c r="B1" s="649"/>
      <c r="C1" s="649"/>
      <c r="D1" s="649"/>
      <c r="E1" s="1"/>
      <c r="F1" s="1"/>
    </row>
    <row r="2" spans="1:16">
      <c r="B2" s="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32.25" customHeight="1">
      <c r="A3" s="652" t="s">
        <v>424</v>
      </c>
      <c r="B3" s="652"/>
      <c r="C3" s="652"/>
      <c r="D3" s="652"/>
      <c r="E3" s="221"/>
      <c r="F3" s="180"/>
    </row>
    <row r="4" spans="1:16">
      <c r="B4" s="650"/>
      <c r="C4" s="650"/>
      <c r="D4" s="650"/>
    </row>
    <row r="5" spans="1:16">
      <c r="C5" s="651"/>
      <c r="D5" s="651"/>
    </row>
    <row r="6" spans="1:16" s="4" customFormat="1" ht="21" customHeight="1">
      <c r="B6" s="647" t="s">
        <v>0</v>
      </c>
      <c r="C6" s="648"/>
      <c r="D6" s="648"/>
      <c r="E6" s="648"/>
      <c r="F6" s="648"/>
      <c r="G6" s="648"/>
    </row>
    <row r="7" spans="1:16" s="4" customFormat="1" ht="42" customHeight="1">
      <c r="B7" s="426" t="s">
        <v>1</v>
      </c>
      <c r="C7" s="534" t="s">
        <v>259</v>
      </c>
      <c r="D7" s="534" t="s">
        <v>286</v>
      </c>
      <c r="E7" s="534" t="s">
        <v>425</v>
      </c>
      <c r="F7" s="534" t="s">
        <v>490</v>
      </c>
      <c r="G7" s="534" t="s">
        <v>644</v>
      </c>
    </row>
    <row r="8" spans="1:16" s="5" customFormat="1" ht="15" customHeight="1">
      <c r="B8" s="6" t="s">
        <v>2</v>
      </c>
      <c r="C8" s="228">
        <v>37599000</v>
      </c>
      <c r="D8" s="228">
        <v>51891000</v>
      </c>
      <c r="E8" s="228">
        <f>+'1.sz.mell.'!C68</f>
        <v>55885000</v>
      </c>
      <c r="F8" s="228">
        <f>+'1.sz.mell.'!D68+'1.sz.mell.'!D70</f>
        <v>60881442</v>
      </c>
      <c r="G8" s="228">
        <f>+'1.sz.mell.'!E68+'1.sz.mell.'!E70</f>
        <v>63589598</v>
      </c>
    </row>
    <row r="9" spans="1:16" s="5" customFormat="1" ht="15" customHeight="1">
      <c r="B9" s="6" t="s">
        <v>262</v>
      </c>
      <c r="C9" s="228">
        <v>42850000</v>
      </c>
      <c r="D9" s="228">
        <v>59270000</v>
      </c>
      <c r="E9" s="228">
        <f>+'1.sz.mell.'!C57</f>
        <v>59270000</v>
      </c>
      <c r="F9" s="228">
        <f>+'1.sz.mell.'!D57</f>
        <v>59270000</v>
      </c>
      <c r="G9" s="228">
        <f>+'1.sz.mell.'!E57</f>
        <v>82020727</v>
      </c>
    </row>
    <row r="10" spans="1:16" s="5" customFormat="1" ht="15" customHeight="1">
      <c r="B10" s="7" t="s">
        <v>257</v>
      </c>
      <c r="C10" s="229">
        <v>277309685</v>
      </c>
      <c r="D10" s="347">
        <f>268051083+318000</f>
        <v>268369083</v>
      </c>
      <c r="E10" s="347">
        <f>+'1.sz.mell.'!C38+'1.sz.mell.'!C70</f>
        <v>313677069</v>
      </c>
      <c r="F10" s="347">
        <f>+'1.sz.mell.'!D38</f>
        <v>348735140</v>
      </c>
      <c r="G10" s="347">
        <f>+'1.sz.mell.'!E38</f>
        <v>320083581</v>
      </c>
    </row>
    <row r="11" spans="1:16" s="5" customFormat="1" ht="15" customHeight="1">
      <c r="B11" s="7" t="s">
        <v>263</v>
      </c>
      <c r="C11" s="229">
        <v>33400115</v>
      </c>
      <c r="D11" s="347">
        <f>24579725</f>
        <v>24579725</v>
      </c>
      <c r="E11" s="347">
        <f>+'1.sz.mell.'!C50</f>
        <v>25974368</v>
      </c>
      <c r="F11" s="347">
        <f>+'1.sz.mell.'!D50</f>
        <v>84437683</v>
      </c>
      <c r="G11" s="347">
        <f>+'1.sz.mell.'!E50</f>
        <v>81193163</v>
      </c>
    </row>
    <row r="12" spans="1:16" s="5" customFormat="1" ht="15" customHeight="1">
      <c r="B12" s="7" t="s">
        <v>3</v>
      </c>
      <c r="C12" s="229">
        <v>12600000</v>
      </c>
      <c r="D12" s="229">
        <v>13848000</v>
      </c>
      <c r="E12" s="229">
        <f>+'1.sz.mell.'!C39</f>
        <v>14981900</v>
      </c>
      <c r="F12" s="229">
        <f>+'1.sz.mell.'!D39</f>
        <v>16629400</v>
      </c>
      <c r="G12" s="229">
        <f>+'1.sz.mell.'!E39</f>
        <v>16069400</v>
      </c>
    </row>
    <row r="13" spans="1:16" s="5" customFormat="1" ht="15" customHeight="1">
      <c r="B13" s="8" t="s">
        <v>4</v>
      </c>
      <c r="C13" s="230">
        <v>47523000</v>
      </c>
      <c r="D13" s="230">
        <v>81549342</v>
      </c>
      <c r="E13" s="230">
        <f>+'1.sz.mell.'!C86-'2.sz.mell.'!E24</f>
        <v>215097476</v>
      </c>
      <c r="F13" s="230">
        <f>+'1.sz.mell.'!D86-'2.sz.mell.'!F24</f>
        <v>218301884</v>
      </c>
      <c r="G13" s="230">
        <f>+'1.sz.mell.'!E86-'2.sz.mell.'!G24</f>
        <v>274138502</v>
      </c>
    </row>
    <row r="14" spans="1:16" s="5" customFormat="1" ht="15" customHeight="1">
      <c r="B14" s="15" t="s">
        <v>284</v>
      </c>
      <c r="C14" s="230">
        <v>0</v>
      </c>
      <c r="D14" s="230">
        <v>0</v>
      </c>
      <c r="E14" s="230">
        <v>0</v>
      </c>
      <c r="F14" s="230">
        <v>10751039</v>
      </c>
      <c r="G14" s="230">
        <v>10751039</v>
      </c>
    </row>
    <row r="15" spans="1:16" s="5" customFormat="1" ht="15" customHeight="1">
      <c r="B15" s="8" t="s">
        <v>5</v>
      </c>
      <c r="C15" s="230">
        <v>0</v>
      </c>
      <c r="D15" s="230">
        <v>0</v>
      </c>
      <c r="E15" s="230">
        <v>0</v>
      </c>
      <c r="F15" s="230">
        <v>0</v>
      </c>
      <c r="G15" s="230">
        <v>0</v>
      </c>
    </row>
    <row r="16" spans="1:16" s="5" customFormat="1" ht="15" customHeight="1" thickBot="1">
      <c r="B16" s="8" t="s">
        <v>586</v>
      </c>
      <c r="C16" s="230"/>
      <c r="D16" s="230"/>
      <c r="E16" s="230">
        <f>+'4 b.sz.mell.'!M62</f>
        <v>0</v>
      </c>
      <c r="F16" s="230">
        <f>+'4 b.sz.mell.'!N62</f>
        <v>87000</v>
      </c>
      <c r="G16" s="230">
        <f>+'4 b.sz.mell.'!O62</f>
        <v>537000</v>
      </c>
    </row>
    <row r="17" spans="2:7" s="9" customFormat="1" ht="15" customHeight="1" thickBot="1">
      <c r="B17" s="10" t="s">
        <v>6</v>
      </c>
      <c r="C17" s="231">
        <f>C8+C9+C10+C11+C13+C15</f>
        <v>438681800</v>
      </c>
      <c r="D17" s="231">
        <f>D8+D9+D10+D11+D13+D15</f>
        <v>485659150</v>
      </c>
      <c r="E17" s="231">
        <f>E8+E9+E10+E11+E13+E15</f>
        <v>669903913</v>
      </c>
      <c r="F17" s="231">
        <f>F8+F9+F10+F11+F13+F15+F14+F16</f>
        <v>782464188</v>
      </c>
      <c r="G17" s="231">
        <f>G8+G9+G10+G11+G13+G15+G14+G16</f>
        <v>832313610</v>
      </c>
    </row>
    <row r="18" spans="2:7" s="5" customFormat="1" ht="15" customHeight="1">
      <c r="B18" s="11" t="s">
        <v>7</v>
      </c>
      <c r="C18" s="227">
        <v>1500000</v>
      </c>
      <c r="D18" s="227">
        <v>0</v>
      </c>
      <c r="E18" s="227">
        <v>0</v>
      </c>
      <c r="F18" s="227">
        <v>0</v>
      </c>
      <c r="G18" s="227">
        <v>0</v>
      </c>
    </row>
    <row r="19" spans="2:7" s="5" customFormat="1" ht="15" customHeight="1">
      <c r="B19" s="7" t="s">
        <v>8</v>
      </c>
      <c r="C19" s="228">
        <v>0</v>
      </c>
      <c r="D19" s="228">
        <v>0</v>
      </c>
      <c r="E19" s="228">
        <v>0</v>
      </c>
      <c r="F19" s="228">
        <v>0</v>
      </c>
      <c r="G19" s="228">
        <v>0</v>
      </c>
    </row>
    <row r="20" spans="2:7" s="5" customFormat="1" ht="15" customHeight="1">
      <c r="B20" s="7" t="s">
        <v>9</v>
      </c>
      <c r="C20" s="229">
        <v>60200000</v>
      </c>
      <c r="D20" s="229"/>
      <c r="E20" s="229"/>
      <c r="F20" s="229"/>
      <c r="G20" s="229"/>
    </row>
    <row r="21" spans="2:7" s="5" customFormat="1" ht="15" customHeight="1">
      <c r="B21" s="7" t="s">
        <v>10</v>
      </c>
      <c r="C21" s="229">
        <v>0</v>
      </c>
      <c r="D21" s="229">
        <f>246525100+32758134</f>
        <v>279283234</v>
      </c>
      <c r="E21" s="229">
        <f>+'1.sz.mell.'!C81</f>
        <v>108818441</v>
      </c>
      <c r="F21" s="229">
        <f>+'1.sz.mell.'!D81</f>
        <v>135971539</v>
      </c>
      <c r="G21" s="229">
        <f>+'1.sz.mell.'!E81</f>
        <v>103877480</v>
      </c>
    </row>
    <row r="22" spans="2:7" s="5" customFormat="1" ht="15" customHeight="1">
      <c r="B22" s="7" t="s">
        <v>11</v>
      </c>
      <c r="C22" s="229">
        <v>200000</v>
      </c>
      <c r="D22" s="229">
        <v>0</v>
      </c>
      <c r="E22" s="229">
        <v>0</v>
      </c>
      <c r="F22" s="229">
        <v>0</v>
      </c>
      <c r="G22" s="229">
        <v>0</v>
      </c>
    </row>
    <row r="23" spans="2:7" s="5" customFormat="1" ht="15" customHeight="1">
      <c r="B23" s="7" t="s">
        <v>12</v>
      </c>
      <c r="C23" s="229">
        <v>0</v>
      </c>
      <c r="D23" s="229">
        <v>0</v>
      </c>
      <c r="E23" s="229">
        <v>0</v>
      </c>
      <c r="F23" s="229">
        <v>0</v>
      </c>
      <c r="G23" s="229">
        <v>0</v>
      </c>
    </row>
    <row r="24" spans="2:7" s="5" customFormat="1" ht="15" customHeight="1" thickBot="1">
      <c r="B24" s="8" t="s">
        <v>13</v>
      </c>
      <c r="C24" s="230">
        <v>23480000</v>
      </c>
      <c r="D24" s="230">
        <v>83953371</v>
      </c>
      <c r="E24" s="230">
        <v>201851422</v>
      </c>
      <c r="F24" s="230">
        <v>201851422</v>
      </c>
      <c r="G24" s="230">
        <f>222081812-78000-8532092-5306099-2108925-4909997-8481000-4279265-42035790-335840</f>
        <v>146014804</v>
      </c>
    </row>
    <row r="25" spans="2:7" s="9" customFormat="1" ht="15" customHeight="1" thickBot="1">
      <c r="B25" s="10" t="s">
        <v>14</v>
      </c>
      <c r="C25" s="231">
        <f>SUM(C18:C24)</f>
        <v>85380000</v>
      </c>
      <c r="D25" s="231">
        <f>SUM(D18:D24)</f>
        <v>363236605</v>
      </c>
      <c r="E25" s="231">
        <f>SUM(E18:E24)</f>
        <v>310669863</v>
      </c>
      <c r="F25" s="231">
        <f>SUM(F18:F24)</f>
        <v>337822961</v>
      </c>
      <c r="G25" s="231">
        <f>SUM(G18:G24)</f>
        <v>249892284</v>
      </c>
    </row>
    <row r="26" spans="2:7" s="9" customFormat="1" ht="15" customHeight="1" thickBot="1">
      <c r="B26" s="12" t="s">
        <v>15</v>
      </c>
      <c r="C26" s="232">
        <f>SUM(C17,C25)</f>
        <v>524061800</v>
      </c>
      <c r="D26" s="232">
        <f>+D25+D17</f>
        <v>848895755</v>
      </c>
      <c r="E26" s="232">
        <f>+E25+E17</f>
        <v>980573776</v>
      </c>
      <c r="F26" s="232">
        <f>+F25+F17</f>
        <v>1120287149</v>
      </c>
      <c r="G26" s="232">
        <f>+G25+G17</f>
        <v>1082205894</v>
      </c>
    </row>
    <row r="27" spans="2:7" s="9" customFormat="1" ht="15" customHeight="1">
      <c r="B27" s="217"/>
      <c r="C27" s="218"/>
      <c r="D27" s="218"/>
      <c r="F27" s="518"/>
    </row>
    <row r="28" spans="2:7" s="4" customFormat="1" ht="15" customHeight="1"/>
    <row r="29" spans="2:7" s="4" customFormat="1" ht="15" customHeight="1">
      <c r="C29" s="651"/>
      <c r="D29" s="651"/>
    </row>
    <row r="30" spans="2:7" s="4" customFormat="1" ht="21" customHeight="1">
      <c r="B30" s="647" t="s">
        <v>16</v>
      </c>
      <c r="C30" s="648"/>
      <c r="D30" s="648"/>
      <c r="E30" s="648"/>
      <c r="F30" s="648"/>
      <c r="G30" s="648"/>
    </row>
    <row r="31" spans="2:7" s="4" customFormat="1" ht="38.25">
      <c r="B31" s="426" t="s">
        <v>1</v>
      </c>
      <c r="C31" s="534" t="s">
        <v>259</v>
      </c>
      <c r="D31" s="534" t="s">
        <v>286</v>
      </c>
      <c r="E31" s="534" t="s">
        <v>426</v>
      </c>
      <c r="F31" s="534" t="s">
        <v>585</v>
      </c>
      <c r="G31" s="534" t="s">
        <v>644</v>
      </c>
    </row>
    <row r="32" spans="2:7" s="4" customFormat="1" ht="15" customHeight="1">
      <c r="B32" s="535" t="s">
        <v>17</v>
      </c>
      <c r="C32" s="536">
        <v>168006000</v>
      </c>
      <c r="D32" s="536">
        <v>172604200</v>
      </c>
      <c r="E32" s="536">
        <f>+'4.a sz.mell.'!D66</f>
        <v>212285909</v>
      </c>
      <c r="F32" s="536">
        <f>+'4.a sz.mell.'!E66</f>
        <v>265281635</v>
      </c>
      <c r="G32" s="536">
        <f>+'4.a sz.mell.'!F66</f>
        <v>251524307</v>
      </c>
    </row>
    <row r="33" spans="2:21" s="4" customFormat="1" ht="15" customHeight="1">
      <c r="B33" s="14" t="s">
        <v>18</v>
      </c>
      <c r="C33" s="234">
        <v>35676000</v>
      </c>
      <c r="D33" s="234">
        <v>32695500</v>
      </c>
      <c r="E33" s="234">
        <f>+'4.a sz.mell.'!G66</f>
        <v>39599062</v>
      </c>
      <c r="F33" s="234">
        <f>+'4.a sz.mell.'!H66</f>
        <v>47167608</v>
      </c>
      <c r="G33" s="234">
        <f>+'4.a sz.mell.'!I66</f>
        <v>43907020</v>
      </c>
    </row>
    <row r="34" spans="2:21" s="4" customFormat="1" ht="15" customHeight="1">
      <c r="B34" s="14" t="s">
        <v>19</v>
      </c>
      <c r="C34" s="234">
        <v>135888000</v>
      </c>
      <c r="D34" s="234">
        <v>135629000</v>
      </c>
      <c r="E34" s="234">
        <f>+'4.a sz.mell.'!J66</f>
        <v>243566668</v>
      </c>
      <c r="F34" s="234">
        <f>+'4.a sz.mell.'!K66</f>
        <v>267750183</v>
      </c>
      <c r="G34" s="234">
        <f>+'4.a sz.mell.'!L66</f>
        <v>180777593</v>
      </c>
    </row>
    <row r="35" spans="2:21" s="4" customFormat="1" ht="15" customHeight="1">
      <c r="B35" s="14" t="s">
        <v>20</v>
      </c>
      <c r="C35" s="234">
        <v>74910000</v>
      </c>
      <c r="D35" s="234">
        <f>72104709+2880000</f>
        <v>74984709</v>
      </c>
      <c r="E35" s="234">
        <f>+'1.sz.mell.'!C103+'1.sz.mell.'!C104</f>
        <v>84567133</v>
      </c>
      <c r="F35" s="234">
        <f>'1.sz.mell.'!D103+'1.sz.mell.'!D104+'1.sz.mell.'!D105</f>
        <v>251268282</v>
      </c>
      <c r="G35" s="234">
        <f>'1.sz.mell.'!E103+'1.sz.mell.'!E104+'1.sz.mell.'!E105</f>
        <v>246535035</v>
      </c>
    </row>
    <row r="36" spans="2:21" s="4" customFormat="1" ht="15" customHeight="1">
      <c r="B36" s="15" t="s">
        <v>260</v>
      </c>
      <c r="C36" s="234">
        <v>3000000</v>
      </c>
      <c r="D36" s="234">
        <v>3781000</v>
      </c>
      <c r="E36" s="234">
        <f>+'4.a sz.mell.'!P66</f>
        <v>4767000</v>
      </c>
      <c r="F36" s="234">
        <f>+'4.a sz.mell.'!Q66</f>
        <v>4767000</v>
      </c>
      <c r="G36" s="234">
        <f>+'4.a sz.mell.'!R66</f>
        <v>2440422</v>
      </c>
    </row>
    <row r="37" spans="2:21" s="4" customFormat="1" ht="15" customHeight="1">
      <c r="B37" s="15" t="s">
        <v>390</v>
      </c>
      <c r="C37" s="235">
        <v>0</v>
      </c>
      <c r="D37" s="235">
        <v>0</v>
      </c>
      <c r="E37" s="235">
        <f>+'1.sz.mell.'!C100</f>
        <v>0</v>
      </c>
      <c r="F37" s="235">
        <f>+'1.sz.mell.'!D100</f>
        <v>0</v>
      </c>
      <c r="G37" s="235">
        <f>+'1.sz.mell.'!E100</f>
        <v>0</v>
      </c>
    </row>
    <row r="38" spans="2:21" s="4" customFormat="1" ht="15" customHeight="1">
      <c r="B38" s="15" t="s">
        <v>261</v>
      </c>
      <c r="C38" s="235">
        <v>9097933</v>
      </c>
      <c r="D38" s="235">
        <v>9649634</v>
      </c>
      <c r="E38" s="235">
        <f>+'4.a sz.mell.'!V66</f>
        <v>10420711</v>
      </c>
      <c r="F38" s="235">
        <f>+'4.a sz.mell.'!W66</f>
        <v>10420711</v>
      </c>
      <c r="G38" s="235">
        <f>+'4.a sz.mell.'!X66</f>
        <v>10420711</v>
      </c>
    </row>
    <row r="39" spans="2:21" s="4" customFormat="1" ht="15" customHeight="1">
      <c r="B39" s="15" t="s">
        <v>391</v>
      </c>
      <c r="C39" s="235">
        <v>0</v>
      </c>
      <c r="D39" s="235">
        <v>0</v>
      </c>
      <c r="E39" s="235">
        <f>+'1.sz.mell.'!C102</f>
        <v>1643568</v>
      </c>
      <c r="F39" s="235">
        <f>+'1.sz.mell.'!D102</f>
        <v>898197</v>
      </c>
      <c r="G39" s="235">
        <f>+'1.sz.mell.'!E102</f>
        <v>742256</v>
      </c>
    </row>
    <row r="40" spans="2:21" s="4" customFormat="1" ht="15" customHeight="1">
      <c r="B40" s="15" t="s">
        <v>21</v>
      </c>
      <c r="C40" s="235">
        <v>2000000</v>
      </c>
      <c r="D40" s="235">
        <v>1415952</v>
      </c>
      <c r="E40" s="235">
        <f>+'1.sz.mell.'!C107</f>
        <v>0</v>
      </c>
      <c r="F40" s="235">
        <f>+'1.sz.mell.'!D107</f>
        <v>0</v>
      </c>
      <c r="G40" s="235">
        <f>+'1.sz.mell.'!E107</f>
        <v>0</v>
      </c>
    </row>
    <row r="41" spans="2:21" s="4" customFormat="1" ht="15" customHeight="1" thickBot="1">
      <c r="B41" s="15" t="s">
        <v>22</v>
      </c>
      <c r="C41" s="236">
        <v>1000867</v>
      </c>
      <c r="D41" s="236">
        <v>90687347</v>
      </c>
      <c r="E41" s="236">
        <f>+'1.sz.mell.'!C108</f>
        <v>107151973</v>
      </c>
      <c r="F41" s="236">
        <f>+'1.sz.mell.'!D108</f>
        <v>89261498</v>
      </c>
      <c r="G41" s="236">
        <f>+'1.sz.mell.'!E108</f>
        <v>0</v>
      </c>
    </row>
    <row r="42" spans="2:21" s="4" customFormat="1" ht="15" customHeight="1" thickBot="1">
      <c r="B42" s="16" t="s">
        <v>23</v>
      </c>
      <c r="C42" s="237">
        <f>SUM(C32:C41)</f>
        <v>429578800</v>
      </c>
      <c r="D42" s="237">
        <f>SUM(D32:D41)</f>
        <v>521447342</v>
      </c>
      <c r="E42" s="237">
        <f>SUM(E32:E41)</f>
        <v>704002024</v>
      </c>
      <c r="F42" s="237">
        <f>SUM(F32:F41)</f>
        <v>936815114</v>
      </c>
      <c r="G42" s="237">
        <f>SUM(G32:G41)</f>
        <v>736347344</v>
      </c>
    </row>
    <row r="43" spans="2:21" s="4" customFormat="1" ht="15" customHeight="1">
      <c r="B43" s="13" t="s">
        <v>24</v>
      </c>
      <c r="C43" s="233">
        <v>86864000</v>
      </c>
      <c r="D43" s="233">
        <v>50435066</v>
      </c>
      <c r="E43" s="233">
        <f>+'4.a sz.mell.'!AE66</f>
        <v>42859926</v>
      </c>
      <c r="F43" s="233">
        <f>+'4.a sz.mell.'!AF66</f>
        <v>114431181</v>
      </c>
      <c r="G43" s="233">
        <f>+'4.a sz.mell.'!AG66</f>
        <v>67772685</v>
      </c>
    </row>
    <row r="44" spans="2:21" s="4" customFormat="1" ht="15" customHeight="1">
      <c r="B44" s="14" t="s">
        <v>243</v>
      </c>
      <c r="C44" s="234">
        <v>7619000</v>
      </c>
      <c r="D44" s="234">
        <v>277013347</v>
      </c>
      <c r="E44" s="234">
        <f>+'4.a sz.mell.'!AB66</f>
        <v>233711826</v>
      </c>
      <c r="F44" s="234">
        <f>+'4.a sz.mell.'!AC66</f>
        <v>69040854</v>
      </c>
      <c r="G44" s="234">
        <f>+'4.a sz.mell.'!AD66</f>
        <v>49089665</v>
      </c>
    </row>
    <row r="45" spans="2:21" s="4" customFormat="1" ht="15" customHeight="1" thickBot="1">
      <c r="B45" s="15" t="s">
        <v>242</v>
      </c>
      <c r="C45" s="235">
        <v>0</v>
      </c>
      <c r="D45" s="235">
        <v>0</v>
      </c>
      <c r="E45" s="235">
        <v>69409668</v>
      </c>
      <c r="F45" s="235">
        <v>0</v>
      </c>
      <c r="G45" s="235">
        <v>0</v>
      </c>
      <c r="I45" s="4">
        <v>12561989</v>
      </c>
      <c r="U45" s="4">
        <v>1498906</v>
      </c>
    </row>
    <row r="46" spans="2:21" s="4" customFormat="1" ht="15" customHeight="1" thickBot="1">
      <c r="B46" s="16" t="s">
        <v>25</v>
      </c>
      <c r="C46" s="237" t="s">
        <v>558</v>
      </c>
      <c r="D46" s="237">
        <f>SUM(D43:D45)</f>
        <v>327448413</v>
      </c>
      <c r="E46" s="237">
        <v>5116204</v>
      </c>
      <c r="F46" s="237">
        <f>SUM(F43:F45)</f>
        <v>183472035</v>
      </c>
      <c r="G46" s="237">
        <f>SUM(G43:G45)</f>
        <v>116862350</v>
      </c>
      <c r="I46" s="4">
        <v>366871</v>
      </c>
      <c r="K46" s="4">
        <v>108328</v>
      </c>
    </row>
    <row r="47" spans="2:21" s="18" customFormat="1" ht="18.75" customHeight="1" thickBot="1">
      <c r="B47" s="17" t="s">
        <v>26</v>
      </c>
      <c r="C47" s="238">
        <f>SUM(C42,C46)</f>
        <v>429578800</v>
      </c>
      <c r="D47" s="238">
        <f>SUM(D42,D46)</f>
        <v>848895755</v>
      </c>
      <c r="E47" s="238">
        <f>SUM(E42,E46)</f>
        <v>709118228</v>
      </c>
      <c r="F47" s="238">
        <f>SUM(F42,F46)</f>
        <v>1120287149</v>
      </c>
      <c r="G47" s="238">
        <f>SUM(G42,G46)</f>
        <v>853209694</v>
      </c>
    </row>
    <row r="48" spans="2:21">
      <c r="E48" s="400">
        <v>5820000</v>
      </c>
      <c r="G48" s="2">
        <v>1060855</v>
      </c>
    </row>
  </sheetData>
  <mergeCells count="7">
    <mergeCell ref="B30:G30"/>
    <mergeCell ref="A1:D1"/>
    <mergeCell ref="B4:D4"/>
    <mergeCell ref="C5:D5"/>
    <mergeCell ref="C29:D29"/>
    <mergeCell ref="A3:D3"/>
    <mergeCell ref="B6:G6"/>
  </mergeCells>
  <phoneticPr fontId="0" type="noConversion"/>
  <printOptions horizontalCentered="1"/>
  <pageMargins left="0.43307086614173229" right="0.15748031496062992" top="0.51181102362204722" bottom="0.39370078740157483" header="0.55118110236220474" footer="0.51181102362204722"/>
  <pageSetup paperSize="9" scale="82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O24"/>
  <sheetViews>
    <sheetView workbookViewId="0">
      <pane ySplit="6" topLeftCell="A7" activePane="bottomLeft" state="frozen"/>
      <selection activeCell="P46" sqref="O46:P46"/>
      <selection pane="bottomLeft" activeCell="G27" sqref="G27"/>
    </sheetView>
  </sheetViews>
  <sheetFormatPr defaultRowHeight="12.75"/>
  <cols>
    <col min="1" max="1" width="8.140625" style="36" customWidth="1"/>
    <col min="2" max="2" width="41" style="36" customWidth="1"/>
    <col min="3" max="9" width="21.42578125" style="36" customWidth="1"/>
    <col min="10" max="16384" width="9.140625" style="36"/>
  </cols>
  <sheetData>
    <row r="1" spans="1:15" ht="15.75">
      <c r="A1" s="637" t="s">
        <v>964</v>
      </c>
      <c r="B1" s="637"/>
      <c r="C1" s="637"/>
      <c r="D1" s="637"/>
      <c r="E1" s="637"/>
      <c r="F1" s="637"/>
      <c r="G1" s="637"/>
      <c r="H1" s="637"/>
      <c r="I1" s="637"/>
      <c r="J1" s="202"/>
      <c r="K1" s="202"/>
      <c r="L1" s="202"/>
      <c r="M1" s="202"/>
      <c r="N1" s="202"/>
      <c r="O1" s="202"/>
    </row>
    <row r="2" spans="1:15">
      <c r="A2" s="637"/>
      <c r="B2" s="637"/>
      <c r="C2" s="637"/>
      <c r="D2" s="637"/>
      <c r="E2" s="637"/>
      <c r="F2" s="637"/>
      <c r="G2" s="637"/>
      <c r="H2" s="637"/>
      <c r="I2" s="637"/>
    </row>
    <row r="4" spans="1:15" ht="33.75" customHeight="1">
      <c r="A4" s="759" t="s">
        <v>941</v>
      </c>
      <c r="B4" s="760"/>
      <c r="C4" s="760"/>
      <c r="D4" s="760"/>
      <c r="E4" s="760"/>
      <c r="F4" s="760"/>
      <c r="G4" s="760"/>
      <c r="H4" s="760"/>
      <c r="I4" s="760"/>
    </row>
    <row r="5" spans="1:15" ht="60">
      <c r="A5" s="633" t="s">
        <v>766</v>
      </c>
      <c r="B5" s="633" t="s">
        <v>63</v>
      </c>
      <c r="C5" s="633" t="s">
        <v>765</v>
      </c>
      <c r="D5" s="633" t="s">
        <v>764</v>
      </c>
      <c r="E5" s="633" t="s">
        <v>763</v>
      </c>
      <c r="F5" s="633" t="s">
        <v>762</v>
      </c>
      <c r="G5" s="633" t="s">
        <v>761</v>
      </c>
      <c r="H5" s="633" t="s">
        <v>760</v>
      </c>
      <c r="I5" s="633" t="s">
        <v>759</v>
      </c>
    </row>
    <row r="6" spans="1:15" ht="15">
      <c r="A6" s="633">
        <v>1</v>
      </c>
      <c r="B6" s="633">
        <v>2</v>
      </c>
      <c r="C6" s="633">
        <v>3</v>
      </c>
      <c r="D6" s="633">
        <v>4</v>
      </c>
      <c r="E6" s="633">
        <v>5</v>
      </c>
      <c r="F6" s="633">
        <v>6</v>
      </c>
      <c r="G6" s="633">
        <v>7</v>
      </c>
      <c r="H6" s="633">
        <v>8</v>
      </c>
      <c r="I6" s="633">
        <v>9</v>
      </c>
    </row>
    <row r="7" spans="1:15" ht="25.5">
      <c r="A7" s="627" t="s">
        <v>758</v>
      </c>
      <c r="B7" s="628" t="s">
        <v>757</v>
      </c>
      <c r="C7" s="629">
        <v>7628516</v>
      </c>
      <c r="D7" s="629">
        <v>2355055137</v>
      </c>
      <c r="E7" s="629">
        <v>123525271</v>
      </c>
      <c r="F7" s="629">
        <v>0</v>
      </c>
      <c r="G7" s="629">
        <v>7468800</v>
      </c>
      <c r="H7" s="629">
        <v>1215236859</v>
      </c>
      <c r="I7" s="629">
        <v>3708914583</v>
      </c>
    </row>
    <row r="8" spans="1:15" ht="25.5">
      <c r="A8" s="630" t="s">
        <v>756</v>
      </c>
      <c r="B8" s="631" t="s">
        <v>755</v>
      </c>
      <c r="C8" s="632">
        <v>97200</v>
      </c>
      <c r="D8" s="632">
        <v>0</v>
      </c>
      <c r="E8" s="632">
        <v>0</v>
      </c>
      <c r="F8" s="632">
        <v>0</v>
      </c>
      <c r="G8" s="632">
        <v>39373122</v>
      </c>
      <c r="H8" s="632">
        <v>0</v>
      </c>
      <c r="I8" s="632">
        <v>39470322</v>
      </c>
    </row>
    <row r="9" spans="1:15">
      <c r="A9" s="630" t="s">
        <v>754</v>
      </c>
      <c r="B9" s="631" t="s">
        <v>753</v>
      </c>
      <c r="C9" s="632">
        <v>0</v>
      </c>
      <c r="D9" s="632">
        <v>0</v>
      </c>
      <c r="E9" s="632">
        <v>0</v>
      </c>
      <c r="F9" s="632">
        <v>0</v>
      </c>
      <c r="G9" s="632">
        <v>59540668</v>
      </c>
      <c r="H9" s="632">
        <v>0</v>
      </c>
      <c r="I9" s="632">
        <v>59540668</v>
      </c>
    </row>
    <row r="10" spans="1:15">
      <c r="A10" s="630" t="s">
        <v>752</v>
      </c>
      <c r="B10" s="631" t="s">
        <v>751</v>
      </c>
      <c r="C10" s="632">
        <v>0</v>
      </c>
      <c r="D10" s="632">
        <v>0</v>
      </c>
      <c r="E10" s="632">
        <v>218500</v>
      </c>
      <c r="F10" s="632">
        <v>0</v>
      </c>
      <c r="G10" s="632">
        <v>0</v>
      </c>
      <c r="H10" s="632">
        <v>0</v>
      </c>
      <c r="I10" s="632">
        <v>218500</v>
      </c>
    </row>
    <row r="11" spans="1:15">
      <c r="A11" s="630" t="s">
        <v>750</v>
      </c>
      <c r="B11" s="631" t="s">
        <v>749</v>
      </c>
      <c r="C11" s="632">
        <v>735868</v>
      </c>
      <c r="D11" s="632">
        <v>1243938466</v>
      </c>
      <c r="E11" s="632">
        <v>124176140</v>
      </c>
      <c r="F11" s="632">
        <v>0</v>
      </c>
      <c r="G11" s="632">
        <v>124001</v>
      </c>
      <c r="H11" s="632">
        <v>0</v>
      </c>
      <c r="I11" s="632">
        <v>1368974475</v>
      </c>
    </row>
    <row r="12" spans="1:15">
      <c r="A12" s="627" t="s">
        <v>748</v>
      </c>
      <c r="B12" s="628" t="s">
        <v>747</v>
      </c>
      <c r="C12" s="629">
        <v>833068</v>
      </c>
      <c r="D12" s="629">
        <v>1243938466</v>
      </c>
      <c r="E12" s="629">
        <v>124394640</v>
      </c>
      <c r="F12" s="629">
        <v>0</v>
      </c>
      <c r="G12" s="629">
        <v>99037791</v>
      </c>
      <c r="H12" s="629">
        <v>0</v>
      </c>
      <c r="I12" s="629">
        <v>1468203965</v>
      </c>
    </row>
    <row r="13" spans="1:15">
      <c r="A13" s="630" t="s">
        <v>746</v>
      </c>
      <c r="B13" s="631" t="s">
        <v>745</v>
      </c>
      <c r="C13" s="632">
        <v>0</v>
      </c>
      <c r="D13" s="632">
        <v>110587</v>
      </c>
      <c r="E13" s="632">
        <v>0</v>
      </c>
      <c r="F13" s="632">
        <v>0</v>
      </c>
      <c r="G13" s="632">
        <v>0</v>
      </c>
      <c r="H13" s="632">
        <v>0</v>
      </c>
      <c r="I13" s="632">
        <v>110587</v>
      </c>
    </row>
    <row r="14" spans="1:15">
      <c r="A14" s="630" t="s">
        <v>744</v>
      </c>
      <c r="B14" s="631" t="s">
        <v>743</v>
      </c>
      <c r="C14" s="632">
        <v>0</v>
      </c>
      <c r="D14" s="632">
        <v>0</v>
      </c>
      <c r="E14" s="632">
        <v>10000</v>
      </c>
      <c r="F14" s="632">
        <v>0</v>
      </c>
      <c r="G14" s="632">
        <v>0</v>
      </c>
      <c r="H14" s="632">
        <v>0</v>
      </c>
      <c r="I14" s="632">
        <v>10000</v>
      </c>
    </row>
    <row r="15" spans="1:15">
      <c r="A15" s="630" t="s">
        <v>742</v>
      </c>
      <c r="B15" s="631" t="s">
        <v>741</v>
      </c>
      <c r="C15" s="632">
        <v>709468</v>
      </c>
      <c r="D15" s="632">
        <v>3705786</v>
      </c>
      <c r="E15" s="632">
        <v>54606271</v>
      </c>
      <c r="F15" s="632">
        <v>0</v>
      </c>
      <c r="G15" s="632">
        <v>99006092</v>
      </c>
      <c r="H15" s="632">
        <v>1215236859</v>
      </c>
      <c r="I15" s="632">
        <v>1373264476</v>
      </c>
    </row>
    <row r="16" spans="1:15">
      <c r="A16" s="627" t="s">
        <v>740</v>
      </c>
      <c r="B16" s="628" t="s">
        <v>739</v>
      </c>
      <c r="C16" s="629">
        <v>709468</v>
      </c>
      <c r="D16" s="629">
        <v>3816373</v>
      </c>
      <c r="E16" s="629">
        <v>54616271</v>
      </c>
      <c r="F16" s="629">
        <v>0</v>
      </c>
      <c r="G16" s="629">
        <v>99006092</v>
      </c>
      <c r="H16" s="629">
        <v>1215236859</v>
      </c>
      <c r="I16" s="629">
        <v>1373385063</v>
      </c>
    </row>
    <row r="17" spans="1:9">
      <c r="A17" s="627" t="s">
        <v>738</v>
      </c>
      <c r="B17" s="628" t="s">
        <v>737</v>
      </c>
      <c r="C17" s="629">
        <v>7752116</v>
      </c>
      <c r="D17" s="629">
        <v>3595177230</v>
      </c>
      <c r="E17" s="629">
        <v>193303640</v>
      </c>
      <c r="F17" s="629">
        <v>0</v>
      </c>
      <c r="G17" s="629">
        <v>7500499</v>
      </c>
      <c r="H17" s="629">
        <v>0</v>
      </c>
      <c r="I17" s="629">
        <v>3803733485</v>
      </c>
    </row>
    <row r="18" spans="1:9" ht="25.5">
      <c r="A18" s="627" t="s">
        <v>736</v>
      </c>
      <c r="B18" s="628" t="s">
        <v>735</v>
      </c>
      <c r="C18" s="629">
        <v>5927480</v>
      </c>
      <c r="D18" s="629">
        <v>691800261</v>
      </c>
      <c r="E18" s="629">
        <v>95235151</v>
      </c>
      <c r="F18" s="629">
        <v>0</v>
      </c>
      <c r="G18" s="629">
        <v>0</v>
      </c>
      <c r="H18" s="629">
        <v>181240311</v>
      </c>
      <c r="I18" s="629">
        <v>974203203</v>
      </c>
    </row>
    <row r="19" spans="1:9">
      <c r="A19" s="630" t="s">
        <v>734</v>
      </c>
      <c r="B19" s="631" t="s">
        <v>733</v>
      </c>
      <c r="C19" s="632">
        <v>1421064</v>
      </c>
      <c r="D19" s="632">
        <v>235022326</v>
      </c>
      <c r="E19" s="632">
        <v>82854704</v>
      </c>
      <c r="F19" s="632">
        <v>0</v>
      </c>
      <c r="G19" s="632">
        <v>0</v>
      </c>
      <c r="H19" s="632">
        <v>114611425</v>
      </c>
      <c r="I19" s="632">
        <v>433909519</v>
      </c>
    </row>
    <row r="20" spans="1:9">
      <c r="A20" s="630" t="s">
        <v>732</v>
      </c>
      <c r="B20" s="631" t="s">
        <v>731</v>
      </c>
      <c r="C20" s="632">
        <v>612268</v>
      </c>
      <c r="D20" s="632">
        <v>4711745</v>
      </c>
      <c r="E20" s="632">
        <v>29332125</v>
      </c>
      <c r="F20" s="632">
        <v>0</v>
      </c>
      <c r="G20" s="632">
        <v>0</v>
      </c>
      <c r="H20" s="632">
        <v>295851736</v>
      </c>
      <c r="I20" s="632">
        <v>330507874</v>
      </c>
    </row>
    <row r="21" spans="1:9" ht="25.5">
      <c r="A21" s="627" t="s">
        <v>730</v>
      </c>
      <c r="B21" s="628" t="s">
        <v>729</v>
      </c>
      <c r="C21" s="629">
        <v>6736276</v>
      </c>
      <c r="D21" s="629">
        <v>922110842</v>
      </c>
      <c r="E21" s="629">
        <v>148757730</v>
      </c>
      <c r="F21" s="629">
        <v>0</v>
      </c>
      <c r="G21" s="629">
        <v>0</v>
      </c>
      <c r="H21" s="629">
        <v>0</v>
      </c>
      <c r="I21" s="629">
        <v>1077604848</v>
      </c>
    </row>
    <row r="22" spans="1:9">
      <c r="A22" s="627" t="s">
        <v>728</v>
      </c>
      <c r="B22" s="628" t="s">
        <v>727</v>
      </c>
      <c r="C22" s="629">
        <v>6736276</v>
      </c>
      <c r="D22" s="629">
        <v>922110842</v>
      </c>
      <c r="E22" s="629">
        <v>148757730</v>
      </c>
      <c r="F22" s="629">
        <v>0</v>
      </c>
      <c r="G22" s="629">
        <v>0</v>
      </c>
      <c r="H22" s="629">
        <v>0</v>
      </c>
      <c r="I22" s="629">
        <v>1077604848</v>
      </c>
    </row>
    <row r="23" spans="1:9">
      <c r="A23" s="627" t="s">
        <v>726</v>
      </c>
      <c r="B23" s="628" t="s">
        <v>725</v>
      </c>
      <c r="C23" s="629">
        <v>1015840</v>
      </c>
      <c r="D23" s="629">
        <v>2673066388</v>
      </c>
      <c r="E23" s="629">
        <v>44545910</v>
      </c>
      <c r="F23" s="629">
        <v>0</v>
      </c>
      <c r="G23" s="629">
        <v>7500499</v>
      </c>
      <c r="H23" s="629">
        <v>0</v>
      </c>
      <c r="I23" s="629">
        <v>2726128637</v>
      </c>
    </row>
    <row r="24" spans="1:9">
      <c r="A24" s="630" t="s">
        <v>724</v>
      </c>
      <c r="B24" s="631" t="s">
        <v>723</v>
      </c>
      <c r="C24" s="632">
        <v>5523216</v>
      </c>
      <c r="D24" s="632">
        <v>0</v>
      </c>
      <c r="E24" s="632">
        <v>113896910</v>
      </c>
      <c r="F24" s="632">
        <v>0</v>
      </c>
      <c r="G24" s="632">
        <v>0</v>
      </c>
      <c r="H24" s="632">
        <v>0</v>
      </c>
      <c r="I24" s="632">
        <v>119420126</v>
      </c>
    </row>
  </sheetData>
  <mergeCells count="2">
    <mergeCell ref="A4:I4"/>
    <mergeCell ref="A1:I2"/>
  </mergeCells>
  <pageMargins left="0.74803149606299213" right="0.74803149606299213" top="0.98425196850393704" bottom="0.98425196850393704" header="0.51181102362204722" footer="0.51181102362204722"/>
  <pageSetup scale="6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C14"/>
  <sheetViews>
    <sheetView workbookViewId="0">
      <pane ySplit="5" topLeftCell="A6" activePane="bottomLeft" state="frozen"/>
      <selection activeCell="P46" sqref="O46:P46"/>
      <selection pane="bottomLeft" activeCell="E3" sqref="E3"/>
    </sheetView>
  </sheetViews>
  <sheetFormatPr defaultRowHeight="12.75"/>
  <cols>
    <col min="1" max="1" width="8.140625" style="36" customWidth="1"/>
    <col min="2" max="2" width="41" style="36" customWidth="1"/>
    <col min="3" max="3" width="32.85546875" style="36" customWidth="1"/>
    <col min="4" max="256" width="9.140625" style="36"/>
    <col min="257" max="257" width="8.140625" style="36" customWidth="1"/>
    <col min="258" max="258" width="41" style="36" customWidth="1"/>
    <col min="259" max="259" width="32.85546875" style="36" customWidth="1"/>
    <col min="260" max="512" width="9.140625" style="36"/>
    <col min="513" max="513" width="8.140625" style="36" customWidth="1"/>
    <col min="514" max="514" width="41" style="36" customWidth="1"/>
    <col min="515" max="515" width="32.85546875" style="36" customWidth="1"/>
    <col min="516" max="768" width="9.140625" style="36"/>
    <col min="769" max="769" width="8.140625" style="36" customWidth="1"/>
    <col min="770" max="770" width="41" style="36" customWidth="1"/>
    <col min="771" max="771" width="32.85546875" style="36" customWidth="1"/>
    <col min="772" max="1024" width="9.140625" style="36"/>
    <col min="1025" max="1025" width="8.140625" style="36" customWidth="1"/>
    <col min="1026" max="1026" width="41" style="36" customWidth="1"/>
    <col min="1027" max="1027" width="32.85546875" style="36" customWidth="1"/>
    <col min="1028" max="1280" width="9.140625" style="36"/>
    <col min="1281" max="1281" width="8.140625" style="36" customWidth="1"/>
    <col min="1282" max="1282" width="41" style="36" customWidth="1"/>
    <col min="1283" max="1283" width="32.85546875" style="36" customWidth="1"/>
    <col min="1284" max="1536" width="9.140625" style="36"/>
    <col min="1537" max="1537" width="8.140625" style="36" customWidth="1"/>
    <col min="1538" max="1538" width="41" style="36" customWidth="1"/>
    <col min="1539" max="1539" width="32.85546875" style="36" customWidth="1"/>
    <col min="1540" max="1792" width="9.140625" style="36"/>
    <col min="1793" max="1793" width="8.140625" style="36" customWidth="1"/>
    <col min="1794" max="1794" width="41" style="36" customWidth="1"/>
    <col min="1795" max="1795" width="32.85546875" style="36" customWidth="1"/>
    <col min="1796" max="2048" width="9.140625" style="36"/>
    <col min="2049" max="2049" width="8.140625" style="36" customWidth="1"/>
    <col min="2050" max="2050" width="41" style="36" customWidth="1"/>
    <col min="2051" max="2051" width="32.85546875" style="36" customWidth="1"/>
    <col min="2052" max="2304" width="9.140625" style="36"/>
    <col min="2305" max="2305" width="8.140625" style="36" customWidth="1"/>
    <col min="2306" max="2306" width="41" style="36" customWidth="1"/>
    <col min="2307" max="2307" width="32.85546875" style="36" customWidth="1"/>
    <col min="2308" max="2560" width="9.140625" style="36"/>
    <col min="2561" max="2561" width="8.140625" style="36" customWidth="1"/>
    <col min="2562" max="2562" width="41" style="36" customWidth="1"/>
    <col min="2563" max="2563" width="32.85546875" style="36" customWidth="1"/>
    <col min="2564" max="2816" width="9.140625" style="36"/>
    <col min="2817" max="2817" width="8.140625" style="36" customWidth="1"/>
    <col min="2818" max="2818" width="41" style="36" customWidth="1"/>
    <col min="2819" max="2819" width="32.85546875" style="36" customWidth="1"/>
    <col min="2820" max="3072" width="9.140625" style="36"/>
    <col min="3073" max="3073" width="8.140625" style="36" customWidth="1"/>
    <col min="3074" max="3074" width="41" style="36" customWidth="1"/>
    <col min="3075" max="3075" width="32.85546875" style="36" customWidth="1"/>
    <col min="3076" max="3328" width="9.140625" style="36"/>
    <col min="3329" max="3329" width="8.140625" style="36" customWidth="1"/>
    <col min="3330" max="3330" width="41" style="36" customWidth="1"/>
    <col min="3331" max="3331" width="32.85546875" style="36" customWidth="1"/>
    <col min="3332" max="3584" width="9.140625" style="36"/>
    <col min="3585" max="3585" width="8.140625" style="36" customWidth="1"/>
    <col min="3586" max="3586" width="41" style="36" customWidth="1"/>
    <col min="3587" max="3587" width="32.85546875" style="36" customWidth="1"/>
    <col min="3588" max="3840" width="9.140625" style="36"/>
    <col min="3841" max="3841" width="8.140625" style="36" customWidth="1"/>
    <col min="3842" max="3842" width="41" style="36" customWidth="1"/>
    <col min="3843" max="3843" width="32.85546875" style="36" customWidth="1"/>
    <col min="3844" max="4096" width="9.140625" style="36"/>
    <col min="4097" max="4097" width="8.140625" style="36" customWidth="1"/>
    <col min="4098" max="4098" width="41" style="36" customWidth="1"/>
    <col min="4099" max="4099" width="32.85546875" style="36" customWidth="1"/>
    <col min="4100" max="4352" width="9.140625" style="36"/>
    <col min="4353" max="4353" width="8.140625" style="36" customWidth="1"/>
    <col min="4354" max="4354" width="41" style="36" customWidth="1"/>
    <col min="4355" max="4355" width="32.85546875" style="36" customWidth="1"/>
    <col min="4356" max="4608" width="9.140625" style="36"/>
    <col min="4609" max="4609" width="8.140625" style="36" customWidth="1"/>
    <col min="4610" max="4610" width="41" style="36" customWidth="1"/>
    <col min="4611" max="4611" width="32.85546875" style="36" customWidth="1"/>
    <col min="4612" max="4864" width="9.140625" style="36"/>
    <col min="4865" max="4865" width="8.140625" style="36" customWidth="1"/>
    <col min="4866" max="4866" width="41" style="36" customWidth="1"/>
    <col min="4867" max="4867" width="32.85546875" style="36" customWidth="1"/>
    <col min="4868" max="5120" width="9.140625" style="36"/>
    <col min="5121" max="5121" width="8.140625" style="36" customWidth="1"/>
    <col min="5122" max="5122" width="41" style="36" customWidth="1"/>
    <col min="5123" max="5123" width="32.85546875" style="36" customWidth="1"/>
    <col min="5124" max="5376" width="9.140625" style="36"/>
    <col min="5377" max="5377" width="8.140625" style="36" customWidth="1"/>
    <col min="5378" max="5378" width="41" style="36" customWidth="1"/>
    <col min="5379" max="5379" width="32.85546875" style="36" customWidth="1"/>
    <col min="5380" max="5632" width="9.140625" style="36"/>
    <col min="5633" max="5633" width="8.140625" style="36" customWidth="1"/>
    <col min="5634" max="5634" width="41" style="36" customWidth="1"/>
    <col min="5635" max="5635" width="32.85546875" style="36" customWidth="1"/>
    <col min="5636" max="5888" width="9.140625" style="36"/>
    <col min="5889" max="5889" width="8.140625" style="36" customWidth="1"/>
    <col min="5890" max="5890" width="41" style="36" customWidth="1"/>
    <col min="5891" max="5891" width="32.85546875" style="36" customWidth="1"/>
    <col min="5892" max="6144" width="9.140625" style="36"/>
    <col min="6145" max="6145" width="8.140625" style="36" customWidth="1"/>
    <col min="6146" max="6146" width="41" style="36" customWidth="1"/>
    <col min="6147" max="6147" width="32.85546875" style="36" customWidth="1"/>
    <col min="6148" max="6400" width="9.140625" style="36"/>
    <col min="6401" max="6401" width="8.140625" style="36" customWidth="1"/>
    <col min="6402" max="6402" width="41" style="36" customWidth="1"/>
    <col min="6403" max="6403" width="32.85546875" style="36" customWidth="1"/>
    <col min="6404" max="6656" width="9.140625" style="36"/>
    <col min="6657" max="6657" width="8.140625" style="36" customWidth="1"/>
    <col min="6658" max="6658" width="41" style="36" customWidth="1"/>
    <col min="6659" max="6659" width="32.85546875" style="36" customWidth="1"/>
    <col min="6660" max="6912" width="9.140625" style="36"/>
    <col min="6913" max="6913" width="8.140625" style="36" customWidth="1"/>
    <col min="6914" max="6914" width="41" style="36" customWidth="1"/>
    <col min="6915" max="6915" width="32.85546875" style="36" customWidth="1"/>
    <col min="6916" max="7168" width="9.140625" style="36"/>
    <col min="7169" max="7169" width="8.140625" style="36" customWidth="1"/>
    <col min="7170" max="7170" width="41" style="36" customWidth="1"/>
    <col min="7171" max="7171" width="32.85546875" style="36" customWidth="1"/>
    <col min="7172" max="7424" width="9.140625" style="36"/>
    <col min="7425" max="7425" width="8.140625" style="36" customWidth="1"/>
    <col min="7426" max="7426" width="41" style="36" customWidth="1"/>
    <col min="7427" max="7427" width="32.85546875" style="36" customWidth="1"/>
    <col min="7428" max="7680" width="9.140625" style="36"/>
    <col min="7681" max="7681" width="8.140625" style="36" customWidth="1"/>
    <col min="7682" max="7682" width="41" style="36" customWidth="1"/>
    <col min="7683" max="7683" width="32.85546875" style="36" customWidth="1"/>
    <col min="7684" max="7936" width="9.140625" style="36"/>
    <col min="7937" max="7937" width="8.140625" style="36" customWidth="1"/>
    <col min="7938" max="7938" width="41" style="36" customWidth="1"/>
    <col min="7939" max="7939" width="32.85546875" style="36" customWidth="1"/>
    <col min="7940" max="8192" width="9.140625" style="36"/>
    <col min="8193" max="8193" width="8.140625" style="36" customWidth="1"/>
    <col min="8194" max="8194" width="41" style="36" customWidth="1"/>
    <col min="8195" max="8195" width="32.85546875" style="36" customWidth="1"/>
    <col min="8196" max="8448" width="9.140625" style="36"/>
    <col min="8449" max="8449" width="8.140625" style="36" customWidth="1"/>
    <col min="8450" max="8450" width="41" style="36" customWidth="1"/>
    <col min="8451" max="8451" width="32.85546875" style="36" customWidth="1"/>
    <col min="8452" max="8704" width="9.140625" style="36"/>
    <col min="8705" max="8705" width="8.140625" style="36" customWidth="1"/>
    <col min="8706" max="8706" width="41" style="36" customWidth="1"/>
    <col min="8707" max="8707" width="32.85546875" style="36" customWidth="1"/>
    <col min="8708" max="8960" width="9.140625" style="36"/>
    <col min="8961" max="8961" width="8.140625" style="36" customWidth="1"/>
    <col min="8962" max="8962" width="41" style="36" customWidth="1"/>
    <col min="8963" max="8963" width="32.85546875" style="36" customWidth="1"/>
    <col min="8964" max="9216" width="9.140625" style="36"/>
    <col min="9217" max="9217" width="8.140625" style="36" customWidth="1"/>
    <col min="9218" max="9218" width="41" style="36" customWidth="1"/>
    <col min="9219" max="9219" width="32.85546875" style="36" customWidth="1"/>
    <col min="9220" max="9472" width="9.140625" style="36"/>
    <col min="9473" max="9473" width="8.140625" style="36" customWidth="1"/>
    <col min="9474" max="9474" width="41" style="36" customWidth="1"/>
    <col min="9475" max="9475" width="32.85546875" style="36" customWidth="1"/>
    <col min="9476" max="9728" width="9.140625" style="36"/>
    <col min="9729" max="9729" width="8.140625" style="36" customWidth="1"/>
    <col min="9730" max="9730" width="41" style="36" customWidth="1"/>
    <col min="9731" max="9731" width="32.85546875" style="36" customWidth="1"/>
    <col min="9732" max="9984" width="9.140625" style="36"/>
    <col min="9985" max="9985" width="8.140625" style="36" customWidth="1"/>
    <col min="9986" max="9986" width="41" style="36" customWidth="1"/>
    <col min="9987" max="9987" width="32.85546875" style="36" customWidth="1"/>
    <col min="9988" max="10240" width="9.140625" style="36"/>
    <col min="10241" max="10241" width="8.140625" style="36" customWidth="1"/>
    <col min="10242" max="10242" width="41" style="36" customWidth="1"/>
    <col min="10243" max="10243" width="32.85546875" style="36" customWidth="1"/>
    <col min="10244" max="10496" width="9.140625" style="36"/>
    <col min="10497" max="10497" width="8.140625" style="36" customWidth="1"/>
    <col min="10498" max="10498" width="41" style="36" customWidth="1"/>
    <col min="10499" max="10499" width="32.85546875" style="36" customWidth="1"/>
    <col min="10500" max="10752" width="9.140625" style="36"/>
    <col min="10753" max="10753" width="8.140625" style="36" customWidth="1"/>
    <col min="10754" max="10754" width="41" style="36" customWidth="1"/>
    <col min="10755" max="10755" width="32.85546875" style="36" customWidth="1"/>
    <col min="10756" max="11008" width="9.140625" style="36"/>
    <col min="11009" max="11009" width="8.140625" style="36" customWidth="1"/>
    <col min="11010" max="11010" width="41" style="36" customWidth="1"/>
    <col min="11011" max="11011" width="32.85546875" style="36" customWidth="1"/>
    <col min="11012" max="11264" width="9.140625" style="36"/>
    <col min="11265" max="11265" width="8.140625" style="36" customWidth="1"/>
    <col min="11266" max="11266" width="41" style="36" customWidth="1"/>
    <col min="11267" max="11267" width="32.85546875" style="36" customWidth="1"/>
    <col min="11268" max="11520" width="9.140625" style="36"/>
    <col min="11521" max="11521" width="8.140625" style="36" customWidth="1"/>
    <col min="11522" max="11522" width="41" style="36" customWidth="1"/>
    <col min="11523" max="11523" width="32.85546875" style="36" customWidth="1"/>
    <col min="11524" max="11776" width="9.140625" style="36"/>
    <col min="11777" max="11777" width="8.140625" style="36" customWidth="1"/>
    <col min="11778" max="11778" width="41" style="36" customWidth="1"/>
    <col min="11779" max="11779" width="32.85546875" style="36" customWidth="1"/>
    <col min="11780" max="12032" width="9.140625" style="36"/>
    <col min="12033" max="12033" width="8.140625" style="36" customWidth="1"/>
    <col min="12034" max="12034" width="41" style="36" customWidth="1"/>
    <col min="12035" max="12035" width="32.85546875" style="36" customWidth="1"/>
    <col min="12036" max="12288" width="9.140625" style="36"/>
    <col min="12289" max="12289" width="8.140625" style="36" customWidth="1"/>
    <col min="12290" max="12290" width="41" style="36" customWidth="1"/>
    <col min="12291" max="12291" width="32.85546875" style="36" customWidth="1"/>
    <col min="12292" max="12544" width="9.140625" style="36"/>
    <col min="12545" max="12545" width="8.140625" style="36" customWidth="1"/>
    <col min="12546" max="12546" width="41" style="36" customWidth="1"/>
    <col min="12547" max="12547" width="32.85546875" style="36" customWidth="1"/>
    <col min="12548" max="12800" width="9.140625" style="36"/>
    <col min="12801" max="12801" width="8.140625" style="36" customWidth="1"/>
    <col min="12802" max="12802" width="41" style="36" customWidth="1"/>
    <col min="12803" max="12803" width="32.85546875" style="36" customWidth="1"/>
    <col min="12804" max="13056" width="9.140625" style="36"/>
    <col min="13057" max="13057" width="8.140625" style="36" customWidth="1"/>
    <col min="13058" max="13058" width="41" style="36" customWidth="1"/>
    <col min="13059" max="13059" width="32.85546875" style="36" customWidth="1"/>
    <col min="13060" max="13312" width="9.140625" style="36"/>
    <col min="13313" max="13313" width="8.140625" style="36" customWidth="1"/>
    <col min="13314" max="13314" width="41" style="36" customWidth="1"/>
    <col min="13315" max="13315" width="32.85546875" style="36" customWidth="1"/>
    <col min="13316" max="13568" width="9.140625" style="36"/>
    <col min="13569" max="13569" width="8.140625" style="36" customWidth="1"/>
    <col min="13570" max="13570" width="41" style="36" customWidth="1"/>
    <col min="13571" max="13571" width="32.85546875" style="36" customWidth="1"/>
    <col min="13572" max="13824" width="9.140625" style="36"/>
    <col min="13825" max="13825" width="8.140625" style="36" customWidth="1"/>
    <col min="13826" max="13826" width="41" style="36" customWidth="1"/>
    <col min="13827" max="13827" width="32.85546875" style="36" customWidth="1"/>
    <col min="13828" max="14080" width="9.140625" style="36"/>
    <col min="14081" max="14081" width="8.140625" style="36" customWidth="1"/>
    <col min="14082" max="14082" width="41" style="36" customWidth="1"/>
    <col min="14083" max="14083" width="32.85546875" style="36" customWidth="1"/>
    <col min="14084" max="14336" width="9.140625" style="36"/>
    <col min="14337" max="14337" width="8.140625" style="36" customWidth="1"/>
    <col min="14338" max="14338" width="41" style="36" customWidth="1"/>
    <col min="14339" max="14339" width="32.85546875" style="36" customWidth="1"/>
    <col min="14340" max="14592" width="9.140625" style="36"/>
    <col min="14593" max="14593" width="8.140625" style="36" customWidth="1"/>
    <col min="14594" max="14594" width="41" style="36" customWidth="1"/>
    <col min="14595" max="14595" width="32.85546875" style="36" customWidth="1"/>
    <col min="14596" max="14848" width="9.140625" style="36"/>
    <col min="14849" max="14849" width="8.140625" style="36" customWidth="1"/>
    <col min="14850" max="14850" width="41" style="36" customWidth="1"/>
    <col min="14851" max="14851" width="32.85546875" style="36" customWidth="1"/>
    <col min="14852" max="15104" width="9.140625" style="36"/>
    <col min="15105" max="15105" width="8.140625" style="36" customWidth="1"/>
    <col min="15106" max="15106" width="41" style="36" customWidth="1"/>
    <col min="15107" max="15107" width="32.85546875" style="36" customWidth="1"/>
    <col min="15108" max="15360" width="9.140625" style="36"/>
    <col min="15361" max="15361" width="8.140625" style="36" customWidth="1"/>
    <col min="15362" max="15362" width="41" style="36" customWidth="1"/>
    <col min="15363" max="15363" width="32.85546875" style="36" customWidth="1"/>
    <col min="15364" max="15616" width="9.140625" style="36"/>
    <col min="15617" max="15617" width="8.140625" style="36" customWidth="1"/>
    <col min="15618" max="15618" width="41" style="36" customWidth="1"/>
    <col min="15619" max="15619" width="32.85546875" style="36" customWidth="1"/>
    <col min="15620" max="15872" width="9.140625" style="36"/>
    <col min="15873" max="15873" width="8.140625" style="36" customWidth="1"/>
    <col min="15874" max="15874" width="41" style="36" customWidth="1"/>
    <col min="15875" max="15875" width="32.85546875" style="36" customWidth="1"/>
    <col min="15876" max="16128" width="9.140625" style="36"/>
    <col min="16129" max="16129" width="8.140625" style="36" customWidth="1"/>
    <col min="16130" max="16130" width="41" style="36" customWidth="1"/>
    <col min="16131" max="16131" width="32.85546875" style="36" customWidth="1"/>
    <col min="16132" max="16384" width="9.140625" style="36"/>
  </cols>
  <sheetData>
    <row r="1" spans="1:3" ht="15" customHeight="1">
      <c r="A1" s="642" t="s">
        <v>965</v>
      </c>
      <c r="B1" s="642"/>
      <c r="C1" s="642"/>
    </row>
    <row r="3" spans="1:3" ht="39" customHeight="1">
      <c r="A3" s="761" t="s">
        <v>942</v>
      </c>
      <c r="B3" s="762"/>
      <c r="C3" s="762"/>
    </row>
    <row r="4" spans="1:3" ht="15">
      <c r="A4" s="633" t="s">
        <v>766</v>
      </c>
      <c r="B4" s="633" t="s">
        <v>63</v>
      </c>
      <c r="C4" s="633" t="s">
        <v>767</v>
      </c>
    </row>
    <row r="5" spans="1:3" ht="15">
      <c r="A5" s="633">
        <v>1</v>
      </c>
      <c r="B5" s="633">
        <v>2</v>
      </c>
      <c r="C5" s="633">
        <v>3</v>
      </c>
    </row>
    <row r="6" spans="1:3" ht="25.5">
      <c r="A6" s="630" t="s">
        <v>758</v>
      </c>
      <c r="B6" s="631" t="s">
        <v>768</v>
      </c>
      <c r="C6" s="632">
        <v>651301549</v>
      </c>
    </row>
    <row r="7" spans="1:3" ht="25.5">
      <c r="A7" s="630" t="s">
        <v>756</v>
      </c>
      <c r="B7" s="631" t="s">
        <v>769</v>
      </c>
      <c r="C7" s="632">
        <v>842046727</v>
      </c>
    </row>
    <row r="8" spans="1:3" ht="25.5">
      <c r="A8" s="627" t="s">
        <v>754</v>
      </c>
      <c r="B8" s="628" t="s">
        <v>770</v>
      </c>
      <c r="C8" s="629">
        <v>-190745178</v>
      </c>
    </row>
    <row r="9" spans="1:3" ht="25.5">
      <c r="A9" s="630" t="s">
        <v>771</v>
      </c>
      <c r="B9" s="631" t="s">
        <v>772</v>
      </c>
      <c r="C9" s="632">
        <v>637559806</v>
      </c>
    </row>
    <row r="10" spans="1:3" ht="25.5">
      <c r="A10" s="630" t="s">
        <v>752</v>
      </c>
      <c r="B10" s="631" t="s">
        <v>773</v>
      </c>
      <c r="C10" s="632">
        <v>217818428</v>
      </c>
    </row>
    <row r="11" spans="1:3" ht="25.5">
      <c r="A11" s="627" t="s">
        <v>774</v>
      </c>
      <c r="B11" s="628" t="s">
        <v>775</v>
      </c>
      <c r="C11" s="629">
        <v>419741378</v>
      </c>
    </row>
    <row r="12" spans="1:3" ht="25.5">
      <c r="A12" s="627" t="s">
        <v>750</v>
      </c>
      <c r="B12" s="628" t="s">
        <v>776</v>
      </c>
      <c r="C12" s="629">
        <v>228996200</v>
      </c>
    </row>
    <row r="13" spans="1:3">
      <c r="A13" s="627" t="s">
        <v>738</v>
      </c>
      <c r="B13" s="628" t="s">
        <v>777</v>
      </c>
      <c r="C13" s="629">
        <v>228996200</v>
      </c>
    </row>
    <row r="14" spans="1:3" ht="25.5">
      <c r="A14" s="627" t="s">
        <v>734</v>
      </c>
      <c r="B14" s="628" t="s">
        <v>778</v>
      </c>
      <c r="C14" s="629">
        <v>228996200</v>
      </c>
    </row>
  </sheetData>
  <mergeCells count="2">
    <mergeCell ref="A3:C3"/>
    <mergeCell ref="A1:C1"/>
  </mergeCells>
  <pageMargins left="0.75" right="0.75" top="1" bottom="1" header="0.5" footer="0.5"/>
  <pageSetup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E71"/>
  <sheetViews>
    <sheetView workbookViewId="0">
      <pane ySplit="5" topLeftCell="A6" activePane="bottomLeft" state="frozen"/>
      <selection activeCell="P46" sqref="O46:P46"/>
      <selection pane="bottomLeft" activeCell="H10" sqref="H10"/>
    </sheetView>
  </sheetViews>
  <sheetFormatPr defaultRowHeight="12.75"/>
  <cols>
    <col min="1" max="1" width="8.140625" style="36" customWidth="1"/>
    <col min="2" max="2" width="41" style="36" customWidth="1"/>
    <col min="3" max="5" width="23.42578125" style="36" customWidth="1"/>
    <col min="6" max="256" width="9.140625" style="36"/>
    <col min="257" max="257" width="8.140625" style="36" customWidth="1"/>
    <col min="258" max="258" width="41" style="36" customWidth="1"/>
    <col min="259" max="261" width="32.85546875" style="36" customWidth="1"/>
    <col min="262" max="512" width="9.140625" style="36"/>
    <col min="513" max="513" width="8.140625" style="36" customWidth="1"/>
    <col min="514" max="514" width="41" style="36" customWidth="1"/>
    <col min="515" max="517" width="32.85546875" style="36" customWidth="1"/>
    <col min="518" max="768" width="9.140625" style="36"/>
    <col min="769" max="769" width="8.140625" style="36" customWidth="1"/>
    <col min="770" max="770" width="41" style="36" customWidth="1"/>
    <col min="771" max="773" width="32.85546875" style="36" customWidth="1"/>
    <col min="774" max="1024" width="9.140625" style="36"/>
    <col min="1025" max="1025" width="8.140625" style="36" customWidth="1"/>
    <col min="1026" max="1026" width="41" style="36" customWidth="1"/>
    <col min="1027" max="1029" width="32.85546875" style="36" customWidth="1"/>
    <col min="1030" max="1280" width="9.140625" style="36"/>
    <col min="1281" max="1281" width="8.140625" style="36" customWidth="1"/>
    <col min="1282" max="1282" width="41" style="36" customWidth="1"/>
    <col min="1283" max="1285" width="32.85546875" style="36" customWidth="1"/>
    <col min="1286" max="1536" width="9.140625" style="36"/>
    <col min="1537" max="1537" width="8.140625" style="36" customWidth="1"/>
    <col min="1538" max="1538" width="41" style="36" customWidth="1"/>
    <col min="1539" max="1541" width="32.85546875" style="36" customWidth="1"/>
    <col min="1542" max="1792" width="9.140625" style="36"/>
    <col min="1793" max="1793" width="8.140625" style="36" customWidth="1"/>
    <col min="1794" max="1794" width="41" style="36" customWidth="1"/>
    <col min="1795" max="1797" width="32.85546875" style="36" customWidth="1"/>
    <col min="1798" max="2048" width="9.140625" style="36"/>
    <col min="2049" max="2049" width="8.140625" style="36" customWidth="1"/>
    <col min="2050" max="2050" width="41" style="36" customWidth="1"/>
    <col min="2051" max="2053" width="32.85546875" style="36" customWidth="1"/>
    <col min="2054" max="2304" width="9.140625" style="36"/>
    <col min="2305" max="2305" width="8.140625" style="36" customWidth="1"/>
    <col min="2306" max="2306" width="41" style="36" customWidth="1"/>
    <col min="2307" max="2309" width="32.85546875" style="36" customWidth="1"/>
    <col min="2310" max="2560" width="9.140625" style="36"/>
    <col min="2561" max="2561" width="8.140625" style="36" customWidth="1"/>
    <col min="2562" max="2562" width="41" style="36" customWidth="1"/>
    <col min="2563" max="2565" width="32.85546875" style="36" customWidth="1"/>
    <col min="2566" max="2816" width="9.140625" style="36"/>
    <col min="2817" max="2817" width="8.140625" style="36" customWidth="1"/>
    <col min="2818" max="2818" width="41" style="36" customWidth="1"/>
    <col min="2819" max="2821" width="32.85546875" style="36" customWidth="1"/>
    <col min="2822" max="3072" width="9.140625" style="36"/>
    <col min="3073" max="3073" width="8.140625" style="36" customWidth="1"/>
    <col min="3074" max="3074" width="41" style="36" customWidth="1"/>
    <col min="3075" max="3077" width="32.85546875" style="36" customWidth="1"/>
    <col min="3078" max="3328" width="9.140625" style="36"/>
    <col min="3329" max="3329" width="8.140625" style="36" customWidth="1"/>
    <col min="3330" max="3330" width="41" style="36" customWidth="1"/>
    <col min="3331" max="3333" width="32.85546875" style="36" customWidth="1"/>
    <col min="3334" max="3584" width="9.140625" style="36"/>
    <col min="3585" max="3585" width="8.140625" style="36" customWidth="1"/>
    <col min="3586" max="3586" width="41" style="36" customWidth="1"/>
    <col min="3587" max="3589" width="32.85546875" style="36" customWidth="1"/>
    <col min="3590" max="3840" width="9.140625" style="36"/>
    <col min="3841" max="3841" width="8.140625" style="36" customWidth="1"/>
    <col min="3842" max="3842" width="41" style="36" customWidth="1"/>
    <col min="3843" max="3845" width="32.85546875" style="36" customWidth="1"/>
    <col min="3846" max="4096" width="9.140625" style="36"/>
    <col min="4097" max="4097" width="8.140625" style="36" customWidth="1"/>
    <col min="4098" max="4098" width="41" style="36" customWidth="1"/>
    <col min="4099" max="4101" width="32.85546875" style="36" customWidth="1"/>
    <col min="4102" max="4352" width="9.140625" style="36"/>
    <col min="4353" max="4353" width="8.140625" style="36" customWidth="1"/>
    <col min="4354" max="4354" width="41" style="36" customWidth="1"/>
    <col min="4355" max="4357" width="32.85546875" style="36" customWidth="1"/>
    <col min="4358" max="4608" width="9.140625" style="36"/>
    <col min="4609" max="4609" width="8.140625" style="36" customWidth="1"/>
    <col min="4610" max="4610" width="41" style="36" customWidth="1"/>
    <col min="4611" max="4613" width="32.85546875" style="36" customWidth="1"/>
    <col min="4614" max="4864" width="9.140625" style="36"/>
    <col min="4865" max="4865" width="8.140625" style="36" customWidth="1"/>
    <col min="4866" max="4866" width="41" style="36" customWidth="1"/>
    <col min="4867" max="4869" width="32.85546875" style="36" customWidth="1"/>
    <col min="4870" max="5120" width="9.140625" style="36"/>
    <col min="5121" max="5121" width="8.140625" style="36" customWidth="1"/>
    <col min="5122" max="5122" width="41" style="36" customWidth="1"/>
    <col min="5123" max="5125" width="32.85546875" style="36" customWidth="1"/>
    <col min="5126" max="5376" width="9.140625" style="36"/>
    <col min="5377" max="5377" width="8.140625" style="36" customWidth="1"/>
    <col min="5378" max="5378" width="41" style="36" customWidth="1"/>
    <col min="5379" max="5381" width="32.85546875" style="36" customWidth="1"/>
    <col min="5382" max="5632" width="9.140625" style="36"/>
    <col min="5633" max="5633" width="8.140625" style="36" customWidth="1"/>
    <col min="5634" max="5634" width="41" style="36" customWidth="1"/>
    <col min="5635" max="5637" width="32.85546875" style="36" customWidth="1"/>
    <col min="5638" max="5888" width="9.140625" style="36"/>
    <col min="5889" max="5889" width="8.140625" style="36" customWidth="1"/>
    <col min="5890" max="5890" width="41" style="36" customWidth="1"/>
    <col min="5891" max="5893" width="32.85546875" style="36" customWidth="1"/>
    <col min="5894" max="6144" width="9.140625" style="36"/>
    <col min="6145" max="6145" width="8.140625" style="36" customWidth="1"/>
    <col min="6146" max="6146" width="41" style="36" customWidth="1"/>
    <col min="6147" max="6149" width="32.85546875" style="36" customWidth="1"/>
    <col min="6150" max="6400" width="9.140625" style="36"/>
    <col min="6401" max="6401" width="8.140625" style="36" customWidth="1"/>
    <col min="6402" max="6402" width="41" style="36" customWidth="1"/>
    <col min="6403" max="6405" width="32.85546875" style="36" customWidth="1"/>
    <col min="6406" max="6656" width="9.140625" style="36"/>
    <col min="6657" max="6657" width="8.140625" style="36" customWidth="1"/>
    <col min="6658" max="6658" width="41" style="36" customWidth="1"/>
    <col min="6659" max="6661" width="32.85546875" style="36" customWidth="1"/>
    <col min="6662" max="6912" width="9.140625" style="36"/>
    <col min="6913" max="6913" width="8.140625" style="36" customWidth="1"/>
    <col min="6914" max="6914" width="41" style="36" customWidth="1"/>
    <col min="6915" max="6917" width="32.85546875" style="36" customWidth="1"/>
    <col min="6918" max="7168" width="9.140625" style="36"/>
    <col min="7169" max="7169" width="8.140625" style="36" customWidth="1"/>
    <col min="7170" max="7170" width="41" style="36" customWidth="1"/>
    <col min="7171" max="7173" width="32.85546875" style="36" customWidth="1"/>
    <col min="7174" max="7424" width="9.140625" style="36"/>
    <col min="7425" max="7425" width="8.140625" style="36" customWidth="1"/>
    <col min="7426" max="7426" width="41" style="36" customWidth="1"/>
    <col min="7427" max="7429" width="32.85546875" style="36" customWidth="1"/>
    <col min="7430" max="7680" width="9.140625" style="36"/>
    <col min="7681" max="7681" width="8.140625" style="36" customWidth="1"/>
    <col min="7682" max="7682" width="41" style="36" customWidth="1"/>
    <col min="7683" max="7685" width="32.85546875" style="36" customWidth="1"/>
    <col min="7686" max="7936" width="9.140625" style="36"/>
    <col min="7937" max="7937" width="8.140625" style="36" customWidth="1"/>
    <col min="7938" max="7938" width="41" style="36" customWidth="1"/>
    <col min="7939" max="7941" width="32.85546875" style="36" customWidth="1"/>
    <col min="7942" max="8192" width="9.140625" style="36"/>
    <col min="8193" max="8193" width="8.140625" style="36" customWidth="1"/>
    <col min="8194" max="8194" width="41" style="36" customWidth="1"/>
    <col min="8195" max="8197" width="32.85546875" style="36" customWidth="1"/>
    <col min="8198" max="8448" width="9.140625" style="36"/>
    <col min="8449" max="8449" width="8.140625" style="36" customWidth="1"/>
    <col min="8450" max="8450" width="41" style="36" customWidth="1"/>
    <col min="8451" max="8453" width="32.85546875" style="36" customWidth="1"/>
    <col min="8454" max="8704" width="9.140625" style="36"/>
    <col min="8705" max="8705" width="8.140625" style="36" customWidth="1"/>
    <col min="8706" max="8706" width="41" style="36" customWidth="1"/>
    <col min="8707" max="8709" width="32.85546875" style="36" customWidth="1"/>
    <col min="8710" max="8960" width="9.140625" style="36"/>
    <col min="8961" max="8961" width="8.140625" style="36" customWidth="1"/>
    <col min="8962" max="8962" width="41" style="36" customWidth="1"/>
    <col min="8963" max="8965" width="32.85546875" style="36" customWidth="1"/>
    <col min="8966" max="9216" width="9.140625" style="36"/>
    <col min="9217" max="9217" width="8.140625" style="36" customWidth="1"/>
    <col min="9218" max="9218" width="41" style="36" customWidth="1"/>
    <col min="9219" max="9221" width="32.85546875" style="36" customWidth="1"/>
    <col min="9222" max="9472" width="9.140625" style="36"/>
    <col min="9473" max="9473" width="8.140625" style="36" customWidth="1"/>
    <col min="9474" max="9474" width="41" style="36" customWidth="1"/>
    <col min="9475" max="9477" width="32.85546875" style="36" customWidth="1"/>
    <col min="9478" max="9728" width="9.140625" style="36"/>
    <col min="9729" max="9729" width="8.140625" style="36" customWidth="1"/>
    <col min="9730" max="9730" width="41" style="36" customWidth="1"/>
    <col min="9731" max="9733" width="32.85546875" style="36" customWidth="1"/>
    <col min="9734" max="9984" width="9.140625" style="36"/>
    <col min="9985" max="9985" width="8.140625" style="36" customWidth="1"/>
    <col min="9986" max="9986" width="41" style="36" customWidth="1"/>
    <col min="9987" max="9989" width="32.85546875" style="36" customWidth="1"/>
    <col min="9990" max="10240" width="9.140625" style="36"/>
    <col min="10241" max="10241" width="8.140625" style="36" customWidth="1"/>
    <col min="10242" max="10242" width="41" style="36" customWidth="1"/>
    <col min="10243" max="10245" width="32.85546875" style="36" customWidth="1"/>
    <col min="10246" max="10496" width="9.140625" style="36"/>
    <col min="10497" max="10497" width="8.140625" style="36" customWidth="1"/>
    <col min="10498" max="10498" width="41" style="36" customWidth="1"/>
    <col min="10499" max="10501" width="32.85546875" style="36" customWidth="1"/>
    <col min="10502" max="10752" width="9.140625" style="36"/>
    <col min="10753" max="10753" width="8.140625" style="36" customWidth="1"/>
    <col min="10754" max="10754" width="41" style="36" customWidth="1"/>
    <col min="10755" max="10757" width="32.85546875" style="36" customWidth="1"/>
    <col min="10758" max="11008" width="9.140625" style="36"/>
    <col min="11009" max="11009" width="8.140625" style="36" customWidth="1"/>
    <col min="11010" max="11010" width="41" style="36" customWidth="1"/>
    <col min="11011" max="11013" width="32.85546875" style="36" customWidth="1"/>
    <col min="11014" max="11264" width="9.140625" style="36"/>
    <col min="11265" max="11265" width="8.140625" style="36" customWidth="1"/>
    <col min="11266" max="11266" width="41" style="36" customWidth="1"/>
    <col min="11267" max="11269" width="32.85546875" style="36" customWidth="1"/>
    <col min="11270" max="11520" width="9.140625" style="36"/>
    <col min="11521" max="11521" width="8.140625" style="36" customWidth="1"/>
    <col min="11522" max="11522" width="41" style="36" customWidth="1"/>
    <col min="11523" max="11525" width="32.85546875" style="36" customWidth="1"/>
    <col min="11526" max="11776" width="9.140625" style="36"/>
    <col min="11777" max="11777" width="8.140625" style="36" customWidth="1"/>
    <col min="11778" max="11778" width="41" style="36" customWidth="1"/>
    <col min="11779" max="11781" width="32.85546875" style="36" customWidth="1"/>
    <col min="11782" max="12032" width="9.140625" style="36"/>
    <col min="12033" max="12033" width="8.140625" style="36" customWidth="1"/>
    <col min="12034" max="12034" width="41" style="36" customWidth="1"/>
    <col min="12035" max="12037" width="32.85546875" style="36" customWidth="1"/>
    <col min="12038" max="12288" width="9.140625" style="36"/>
    <col min="12289" max="12289" width="8.140625" style="36" customWidth="1"/>
    <col min="12290" max="12290" width="41" style="36" customWidth="1"/>
    <col min="12291" max="12293" width="32.85546875" style="36" customWidth="1"/>
    <col min="12294" max="12544" width="9.140625" style="36"/>
    <col min="12545" max="12545" width="8.140625" style="36" customWidth="1"/>
    <col min="12546" max="12546" width="41" style="36" customWidth="1"/>
    <col min="12547" max="12549" width="32.85546875" style="36" customWidth="1"/>
    <col min="12550" max="12800" width="9.140625" style="36"/>
    <col min="12801" max="12801" width="8.140625" style="36" customWidth="1"/>
    <col min="12802" max="12802" width="41" style="36" customWidth="1"/>
    <col min="12803" max="12805" width="32.85546875" style="36" customWidth="1"/>
    <col min="12806" max="13056" width="9.140625" style="36"/>
    <col min="13057" max="13057" width="8.140625" style="36" customWidth="1"/>
    <col min="13058" max="13058" width="41" style="36" customWidth="1"/>
    <col min="13059" max="13061" width="32.85546875" style="36" customWidth="1"/>
    <col min="13062" max="13312" width="9.140625" style="36"/>
    <col min="13313" max="13313" width="8.140625" style="36" customWidth="1"/>
    <col min="13314" max="13314" width="41" style="36" customWidth="1"/>
    <col min="13315" max="13317" width="32.85546875" style="36" customWidth="1"/>
    <col min="13318" max="13568" width="9.140625" style="36"/>
    <col min="13569" max="13569" width="8.140625" style="36" customWidth="1"/>
    <col min="13570" max="13570" width="41" style="36" customWidth="1"/>
    <col min="13571" max="13573" width="32.85546875" style="36" customWidth="1"/>
    <col min="13574" max="13824" width="9.140625" style="36"/>
    <col min="13825" max="13825" width="8.140625" style="36" customWidth="1"/>
    <col min="13826" max="13826" width="41" style="36" customWidth="1"/>
    <col min="13827" max="13829" width="32.85546875" style="36" customWidth="1"/>
    <col min="13830" max="14080" width="9.140625" style="36"/>
    <col min="14081" max="14081" width="8.140625" style="36" customWidth="1"/>
    <col min="14082" max="14082" width="41" style="36" customWidth="1"/>
    <col min="14083" max="14085" width="32.85546875" style="36" customWidth="1"/>
    <col min="14086" max="14336" width="9.140625" style="36"/>
    <col min="14337" max="14337" width="8.140625" style="36" customWidth="1"/>
    <col min="14338" max="14338" width="41" style="36" customWidth="1"/>
    <col min="14339" max="14341" width="32.85546875" style="36" customWidth="1"/>
    <col min="14342" max="14592" width="9.140625" style="36"/>
    <col min="14593" max="14593" width="8.140625" style="36" customWidth="1"/>
    <col min="14594" max="14594" width="41" style="36" customWidth="1"/>
    <col min="14595" max="14597" width="32.85546875" style="36" customWidth="1"/>
    <col min="14598" max="14848" width="9.140625" style="36"/>
    <col min="14849" max="14849" width="8.140625" style="36" customWidth="1"/>
    <col min="14850" max="14850" width="41" style="36" customWidth="1"/>
    <col min="14851" max="14853" width="32.85546875" style="36" customWidth="1"/>
    <col min="14854" max="15104" width="9.140625" style="36"/>
    <col min="15105" max="15105" width="8.140625" style="36" customWidth="1"/>
    <col min="15106" max="15106" width="41" style="36" customWidth="1"/>
    <col min="15107" max="15109" width="32.85546875" style="36" customWidth="1"/>
    <col min="15110" max="15360" width="9.140625" style="36"/>
    <col min="15361" max="15361" width="8.140625" style="36" customWidth="1"/>
    <col min="15362" max="15362" width="41" style="36" customWidth="1"/>
    <col min="15363" max="15365" width="32.85546875" style="36" customWidth="1"/>
    <col min="15366" max="15616" width="9.140625" style="36"/>
    <col min="15617" max="15617" width="8.140625" style="36" customWidth="1"/>
    <col min="15618" max="15618" width="41" style="36" customWidth="1"/>
    <col min="15619" max="15621" width="32.85546875" style="36" customWidth="1"/>
    <col min="15622" max="15872" width="9.140625" style="36"/>
    <col min="15873" max="15873" width="8.140625" style="36" customWidth="1"/>
    <col min="15874" max="15874" width="41" style="36" customWidth="1"/>
    <col min="15875" max="15877" width="32.85546875" style="36" customWidth="1"/>
    <col min="15878" max="16128" width="9.140625" style="36"/>
    <col min="16129" max="16129" width="8.140625" style="36" customWidth="1"/>
    <col min="16130" max="16130" width="41" style="36" customWidth="1"/>
    <col min="16131" max="16133" width="32.85546875" style="36" customWidth="1"/>
    <col min="16134" max="16384" width="9.140625" style="36"/>
  </cols>
  <sheetData>
    <row r="1" spans="1:5" ht="15" customHeight="1">
      <c r="A1" s="635" t="s">
        <v>966</v>
      </c>
      <c r="B1" s="635"/>
      <c r="C1" s="635"/>
      <c r="D1" s="635"/>
      <c r="E1" s="635"/>
    </row>
    <row r="3" spans="1:5" ht="35.25" customHeight="1">
      <c r="A3" s="763" t="s">
        <v>944</v>
      </c>
      <c r="B3" s="764"/>
      <c r="C3" s="764"/>
      <c r="D3" s="764"/>
      <c r="E3" s="764"/>
    </row>
    <row r="4" spans="1:5" ht="15">
      <c r="A4" s="633" t="s">
        <v>766</v>
      </c>
      <c r="B4" s="633" t="s">
        <v>63</v>
      </c>
      <c r="C4" s="633" t="s">
        <v>779</v>
      </c>
      <c r="D4" s="633" t="s">
        <v>780</v>
      </c>
      <c r="E4" s="633" t="s">
        <v>781</v>
      </c>
    </row>
    <row r="5" spans="1:5" ht="15">
      <c r="A5" s="633">
        <v>1</v>
      </c>
      <c r="B5" s="633">
        <v>2</v>
      </c>
      <c r="C5" s="633">
        <v>3</v>
      </c>
      <c r="D5" s="633">
        <v>4</v>
      </c>
      <c r="E5" s="633">
        <v>5</v>
      </c>
    </row>
    <row r="6" spans="1:5">
      <c r="A6" s="630" t="s">
        <v>758</v>
      </c>
      <c r="B6" s="631" t="s">
        <v>782</v>
      </c>
      <c r="C6" s="632">
        <v>1701036</v>
      </c>
      <c r="D6" s="632">
        <v>0</v>
      </c>
      <c r="E6" s="632">
        <v>1015840</v>
      </c>
    </row>
    <row r="7" spans="1:5">
      <c r="A7" s="627" t="s">
        <v>771</v>
      </c>
      <c r="B7" s="628" t="s">
        <v>783</v>
      </c>
      <c r="C7" s="629">
        <v>1701036</v>
      </c>
      <c r="D7" s="629">
        <v>0</v>
      </c>
      <c r="E7" s="629">
        <v>1015840</v>
      </c>
    </row>
    <row r="8" spans="1:5" ht="25.5">
      <c r="A8" s="630" t="s">
        <v>752</v>
      </c>
      <c r="B8" s="631" t="s">
        <v>784</v>
      </c>
      <c r="C8" s="632">
        <v>1663254876</v>
      </c>
      <c r="D8" s="632">
        <v>0</v>
      </c>
      <c r="E8" s="632">
        <v>2673066388</v>
      </c>
    </row>
    <row r="9" spans="1:5" ht="25.5">
      <c r="A9" s="630" t="s">
        <v>774</v>
      </c>
      <c r="B9" s="631" t="s">
        <v>785</v>
      </c>
      <c r="C9" s="632">
        <v>28290120</v>
      </c>
      <c r="D9" s="632">
        <v>0</v>
      </c>
      <c r="E9" s="632">
        <v>44545910</v>
      </c>
    </row>
    <row r="10" spans="1:5">
      <c r="A10" s="630" t="s">
        <v>748</v>
      </c>
      <c r="B10" s="631" t="s">
        <v>786</v>
      </c>
      <c r="C10" s="632">
        <v>7468800</v>
      </c>
      <c r="D10" s="632">
        <v>0</v>
      </c>
      <c r="E10" s="632">
        <v>7500499</v>
      </c>
    </row>
    <row r="11" spans="1:5">
      <c r="A11" s="627" t="s">
        <v>744</v>
      </c>
      <c r="B11" s="628" t="s">
        <v>787</v>
      </c>
      <c r="C11" s="629">
        <v>1699013796</v>
      </c>
      <c r="D11" s="629">
        <v>0</v>
      </c>
      <c r="E11" s="629">
        <v>2725112797</v>
      </c>
    </row>
    <row r="12" spans="1:5" ht="25.5">
      <c r="A12" s="630" t="s">
        <v>788</v>
      </c>
      <c r="B12" s="631" t="s">
        <v>789</v>
      </c>
      <c r="C12" s="632">
        <v>10000</v>
      </c>
      <c r="D12" s="632">
        <v>0</v>
      </c>
      <c r="E12" s="632">
        <v>10000</v>
      </c>
    </row>
    <row r="13" spans="1:5" ht="25.5">
      <c r="A13" s="630" t="s">
        <v>742</v>
      </c>
      <c r="B13" s="631" t="s">
        <v>790</v>
      </c>
      <c r="C13" s="632">
        <v>10000</v>
      </c>
      <c r="D13" s="632">
        <v>0</v>
      </c>
      <c r="E13" s="632">
        <v>10000</v>
      </c>
    </row>
    <row r="14" spans="1:5" ht="25.5">
      <c r="A14" s="630" t="s">
        <v>734</v>
      </c>
      <c r="B14" s="631" t="s">
        <v>791</v>
      </c>
      <c r="C14" s="632">
        <v>365000</v>
      </c>
      <c r="D14" s="632">
        <v>0</v>
      </c>
      <c r="E14" s="632">
        <v>711750</v>
      </c>
    </row>
    <row r="15" spans="1:5" ht="25.5">
      <c r="A15" s="627" t="s">
        <v>792</v>
      </c>
      <c r="B15" s="628" t="s">
        <v>793</v>
      </c>
      <c r="C15" s="629">
        <v>375000</v>
      </c>
      <c r="D15" s="629">
        <v>0</v>
      </c>
      <c r="E15" s="629">
        <v>721750</v>
      </c>
    </row>
    <row r="16" spans="1:5" ht="25.5">
      <c r="A16" s="630" t="s">
        <v>794</v>
      </c>
      <c r="B16" s="631" t="s">
        <v>795</v>
      </c>
      <c r="C16" s="632">
        <v>1033996548</v>
      </c>
      <c r="D16" s="632">
        <v>0</v>
      </c>
      <c r="E16" s="632">
        <v>0</v>
      </c>
    </row>
    <row r="17" spans="1:5">
      <c r="A17" s="630" t="s">
        <v>728</v>
      </c>
      <c r="B17" s="631" t="s">
        <v>796</v>
      </c>
      <c r="C17" s="632">
        <v>1033996548</v>
      </c>
      <c r="D17" s="632">
        <v>0</v>
      </c>
      <c r="E17" s="632">
        <v>0</v>
      </c>
    </row>
    <row r="18" spans="1:5" ht="25.5">
      <c r="A18" s="627" t="s">
        <v>797</v>
      </c>
      <c r="B18" s="628" t="s">
        <v>798</v>
      </c>
      <c r="C18" s="629">
        <v>1033996548</v>
      </c>
      <c r="D18" s="629">
        <v>0</v>
      </c>
      <c r="E18" s="629">
        <v>0</v>
      </c>
    </row>
    <row r="19" spans="1:5" ht="38.25">
      <c r="A19" s="627" t="s">
        <v>799</v>
      </c>
      <c r="B19" s="628" t="s">
        <v>800</v>
      </c>
      <c r="C19" s="629">
        <v>2735086380</v>
      </c>
      <c r="D19" s="629">
        <v>0</v>
      </c>
      <c r="E19" s="629">
        <v>2726850387</v>
      </c>
    </row>
    <row r="20" spans="1:5">
      <c r="A20" s="630" t="s">
        <v>801</v>
      </c>
      <c r="B20" s="631" t="s">
        <v>802</v>
      </c>
      <c r="C20" s="632">
        <v>1180935</v>
      </c>
      <c r="D20" s="632">
        <v>0</v>
      </c>
      <c r="E20" s="632">
        <v>1191795</v>
      </c>
    </row>
    <row r="21" spans="1:5" ht="25.5">
      <c r="A21" s="627" t="s">
        <v>803</v>
      </c>
      <c r="B21" s="628" t="s">
        <v>804</v>
      </c>
      <c r="C21" s="629">
        <v>1180935</v>
      </c>
      <c r="D21" s="629">
        <v>0</v>
      </c>
      <c r="E21" s="629">
        <v>1191795</v>
      </c>
    </row>
    <row r="22" spans="1:5">
      <c r="A22" s="630" t="s">
        <v>805</v>
      </c>
      <c r="B22" s="631" t="s">
        <v>806</v>
      </c>
      <c r="C22" s="632">
        <v>415767963</v>
      </c>
      <c r="D22" s="632">
        <v>0</v>
      </c>
      <c r="E22" s="632">
        <v>223864277</v>
      </c>
    </row>
    <row r="23" spans="1:5">
      <c r="A23" s="627" t="s">
        <v>807</v>
      </c>
      <c r="B23" s="628" t="s">
        <v>808</v>
      </c>
      <c r="C23" s="629">
        <v>415767963</v>
      </c>
      <c r="D23" s="629">
        <v>0</v>
      </c>
      <c r="E23" s="629">
        <v>223864277</v>
      </c>
    </row>
    <row r="24" spans="1:5">
      <c r="A24" s="627" t="s">
        <v>809</v>
      </c>
      <c r="B24" s="628" t="s">
        <v>810</v>
      </c>
      <c r="C24" s="629">
        <v>416948898</v>
      </c>
      <c r="D24" s="629">
        <v>0</v>
      </c>
      <c r="E24" s="629">
        <v>225056072</v>
      </c>
    </row>
    <row r="25" spans="1:5" ht="38.25">
      <c r="A25" s="630" t="s">
        <v>811</v>
      </c>
      <c r="B25" s="631" t="s">
        <v>812</v>
      </c>
      <c r="C25" s="632">
        <v>7045421</v>
      </c>
      <c r="D25" s="632">
        <v>0</v>
      </c>
      <c r="E25" s="632">
        <v>17551203</v>
      </c>
    </row>
    <row r="26" spans="1:5" ht="25.5">
      <c r="A26" s="630" t="s">
        <v>813</v>
      </c>
      <c r="B26" s="631" t="s">
        <v>814</v>
      </c>
      <c r="C26" s="632">
        <v>2244457</v>
      </c>
      <c r="D26" s="632">
        <v>0</v>
      </c>
      <c r="E26" s="632">
        <v>2170659</v>
      </c>
    </row>
    <row r="27" spans="1:5" ht="25.5">
      <c r="A27" s="630" t="s">
        <v>815</v>
      </c>
      <c r="B27" s="631" t="s">
        <v>816</v>
      </c>
      <c r="C27" s="632">
        <v>2843643</v>
      </c>
      <c r="D27" s="632">
        <v>0</v>
      </c>
      <c r="E27" s="632">
        <v>11798823</v>
      </c>
    </row>
    <row r="28" spans="1:5" ht="25.5">
      <c r="A28" s="630" t="s">
        <v>817</v>
      </c>
      <c r="B28" s="631" t="s">
        <v>818</v>
      </c>
      <c r="C28" s="632">
        <v>1957321</v>
      </c>
      <c r="D28" s="632">
        <v>0</v>
      </c>
      <c r="E28" s="632">
        <v>3581721</v>
      </c>
    </row>
    <row r="29" spans="1:5" ht="38.25">
      <c r="A29" s="630" t="s">
        <v>819</v>
      </c>
      <c r="B29" s="631" t="s">
        <v>820</v>
      </c>
      <c r="C29" s="632">
        <v>8145049</v>
      </c>
      <c r="D29" s="632">
        <v>0</v>
      </c>
      <c r="E29" s="632">
        <v>4811822</v>
      </c>
    </row>
    <row r="30" spans="1:5" ht="51">
      <c r="A30" s="630" t="s">
        <v>821</v>
      </c>
      <c r="B30" s="631" t="s">
        <v>822</v>
      </c>
      <c r="C30" s="632">
        <v>1361247</v>
      </c>
      <c r="D30" s="632">
        <v>0</v>
      </c>
      <c r="E30" s="632">
        <v>1237377</v>
      </c>
    </row>
    <row r="31" spans="1:5" ht="25.5">
      <c r="A31" s="630" t="s">
        <v>823</v>
      </c>
      <c r="B31" s="631" t="s">
        <v>824</v>
      </c>
      <c r="C31" s="632">
        <v>4263578</v>
      </c>
      <c r="D31" s="632">
        <v>0</v>
      </c>
      <c r="E31" s="632">
        <v>1922232</v>
      </c>
    </row>
    <row r="32" spans="1:5" ht="25.5">
      <c r="A32" s="630" t="s">
        <v>825</v>
      </c>
      <c r="B32" s="631" t="s">
        <v>826</v>
      </c>
      <c r="C32" s="632">
        <v>17808</v>
      </c>
      <c r="D32" s="632">
        <v>0</v>
      </c>
      <c r="E32" s="632">
        <v>101256</v>
      </c>
    </row>
    <row r="33" spans="1:5" ht="38.25">
      <c r="A33" s="630" t="s">
        <v>827</v>
      </c>
      <c r="B33" s="631" t="s">
        <v>828</v>
      </c>
      <c r="C33" s="632">
        <v>750963</v>
      </c>
      <c r="D33" s="632">
        <v>0</v>
      </c>
      <c r="E33" s="632">
        <v>199669</v>
      </c>
    </row>
    <row r="34" spans="1:5" ht="38.25">
      <c r="A34" s="630" t="s">
        <v>829</v>
      </c>
      <c r="B34" s="631" t="s">
        <v>830</v>
      </c>
      <c r="C34" s="632">
        <v>307000</v>
      </c>
      <c r="D34" s="632">
        <v>0</v>
      </c>
      <c r="E34" s="632">
        <v>527000</v>
      </c>
    </row>
    <row r="35" spans="1:5" ht="25.5">
      <c r="A35" s="630" t="s">
        <v>831</v>
      </c>
      <c r="B35" s="631" t="s">
        <v>832</v>
      </c>
      <c r="C35" s="632">
        <v>1444453</v>
      </c>
      <c r="D35" s="632">
        <v>0</v>
      </c>
      <c r="E35" s="632">
        <v>824288</v>
      </c>
    </row>
    <row r="36" spans="1:5" ht="38.25">
      <c r="A36" s="630" t="s">
        <v>833</v>
      </c>
      <c r="B36" s="631" t="s">
        <v>834</v>
      </c>
      <c r="C36" s="632">
        <v>274878</v>
      </c>
      <c r="D36" s="632">
        <v>0</v>
      </c>
      <c r="E36" s="632">
        <v>0</v>
      </c>
    </row>
    <row r="37" spans="1:5" ht="51">
      <c r="A37" s="630" t="s">
        <v>835</v>
      </c>
      <c r="B37" s="631" t="s">
        <v>836</v>
      </c>
      <c r="C37" s="632">
        <v>274878</v>
      </c>
      <c r="D37" s="632">
        <v>0</v>
      </c>
      <c r="E37" s="632">
        <v>0</v>
      </c>
    </row>
    <row r="38" spans="1:5" ht="25.5">
      <c r="A38" s="627" t="s">
        <v>837</v>
      </c>
      <c r="B38" s="628" t="s">
        <v>838</v>
      </c>
      <c r="C38" s="629">
        <v>15465348</v>
      </c>
      <c r="D38" s="629">
        <v>0</v>
      </c>
      <c r="E38" s="629">
        <v>22363025</v>
      </c>
    </row>
    <row r="39" spans="1:5">
      <c r="A39" s="630" t="s">
        <v>839</v>
      </c>
      <c r="B39" s="631" t="s">
        <v>840</v>
      </c>
      <c r="C39" s="632">
        <v>3407880</v>
      </c>
      <c r="D39" s="632">
        <v>0</v>
      </c>
      <c r="E39" s="632">
        <v>4214954</v>
      </c>
    </row>
    <row r="40" spans="1:5" ht="25.5">
      <c r="A40" s="630" t="s">
        <v>841</v>
      </c>
      <c r="B40" s="631" t="s">
        <v>842</v>
      </c>
      <c r="C40" s="632">
        <v>3407880</v>
      </c>
      <c r="D40" s="632">
        <v>0</v>
      </c>
      <c r="E40" s="632">
        <v>4214954</v>
      </c>
    </row>
    <row r="41" spans="1:5">
      <c r="A41" s="630" t="s">
        <v>843</v>
      </c>
      <c r="B41" s="631" t="s">
        <v>844</v>
      </c>
      <c r="C41" s="632">
        <v>450000</v>
      </c>
      <c r="D41" s="632">
        <v>0</v>
      </c>
      <c r="E41" s="632">
        <v>450000</v>
      </c>
    </row>
    <row r="42" spans="1:5" ht="25.5">
      <c r="A42" s="627" t="s">
        <v>845</v>
      </c>
      <c r="B42" s="628" t="s">
        <v>846</v>
      </c>
      <c r="C42" s="629">
        <v>3857880</v>
      </c>
      <c r="D42" s="629">
        <v>0</v>
      </c>
      <c r="E42" s="629">
        <v>4664954</v>
      </c>
    </row>
    <row r="43" spans="1:5">
      <c r="A43" s="627" t="s">
        <v>847</v>
      </c>
      <c r="B43" s="628" t="s">
        <v>848</v>
      </c>
      <c r="C43" s="629">
        <v>19323228</v>
      </c>
      <c r="D43" s="629">
        <v>0</v>
      </c>
      <c r="E43" s="629">
        <v>27027979</v>
      </c>
    </row>
    <row r="44" spans="1:5" ht="25.5">
      <c r="A44" s="630" t="s">
        <v>849</v>
      </c>
      <c r="B44" s="631" t="s">
        <v>850</v>
      </c>
      <c r="C44" s="632">
        <v>7781570</v>
      </c>
      <c r="D44" s="632">
        <v>0</v>
      </c>
      <c r="E44" s="632">
        <v>0</v>
      </c>
    </row>
    <row r="45" spans="1:5" ht="25.5">
      <c r="A45" s="627" t="s">
        <v>851</v>
      </c>
      <c r="B45" s="628" t="s">
        <v>852</v>
      </c>
      <c r="C45" s="629">
        <v>7781570</v>
      </c>
      <c r="D45" s="629">
        <v>0</v>
      </c>
      <c r="E45" s="629">
        <v>0</v>
      </c>
    </row>
    <row r="46" spans="1:5">
      <c r="A46" s="630" t="s">
        <v>853</v>
      </c>
      <c r="B46" s="631" t="s">
        <v>854</v>
      </c>
      <c r="C46" s="632">
        <v>14680</v>
      </c>
      <c r="D46" s="632">
        <v>0</v>
      </c>
      <c r="E46" s="632">
        <v>-4234</v>
      </c>
    </row>
    <row r="47" spans="1:5" ht="25.5">
      <c r="A47" s="627" t="s">
        <v>855</v>
      </c>
      <c r="B47" s="628" t="s">
        <v>856</v>
      </c>
      <c r="C47" s="629">
        <v>14680</v>
      </c>
      <c r="D47" s="629">
        <v>0</v>
      </c>
      <c r="E47" s="629">
        <v>-4234</v>
      </c>
    </row>
    <row r="48" spans="1:5" ht="25.5">
      <c r="A48" s="627" t="s">
        <v>857</v>
      </c>
      <c r="B48" s="628" t="s">
        <v>858</v>
      </c>
      <c r="C48" s="629">
        <v>7796250</v>
      </c>
      <c r="D48" s="629">
        <v>0</v>
      </c>
      <c r="E48" s="629">
        <v>-4234</v>
      </c>
    </row>
    <row r="49" spans="1:5">
      <c r="A49" s="627" t="s">
        <v>859</v>
      </c>
      <c r="B49" s="628" t="s">
        <v>860</v>
      </c>
      <c r="C49" s="629">
        <v>3179154756</v>
      </c>
      <c r="D49" s="629">
        <v>0</v>
      </c>
      <c r="E49" s="629">
        <v>2978930204</v>
      </c>
    </row>
    <row r="50" spans="1:5">
      <c r="A50" s="630" t="s">
        <v>861</v>
      </c>
      <c r="B50" s="631" t="s">
        <v>862</v>
      </c>
      <c r="C50" s="632">
        <v>3189692725</v>
      </c>
      <c r="D50" s="632">
        <v>0</v>
      </c>
      <c r="E50" s="632">
        <v>3189692725</v>
      </c>
    </row>
    <row r="51" spans="1:5">
      <c r="A51" s="630" t="s">
        <v>863</v>
      </c>
      <c r="B51" s="631" t="s">
        <v>864</v>
      </c>
      <c r="C51" s="632">
        <v>-14300420</v>
      </c>
      <c r="D51" s="632">
        <v>0</v>
      </c>
      <c r="E51" s="632">
        <v>-14300420</v>
      </c>
    </row>
    <row r="52" spans="1:5" ht="25.5">
      <c r="A52" s="630" t="s">
        <v>865</v>
      </c>
      <c r="B52" s="631" t="s">
        <v>866</v>
      </c>
      <c r="C52" s="632">
        <v>50215297</v>
      </c>
      <c r="D52" s="632">
        <v>0</v>
      </c>
      <c r="E52" s="632">
        <v>50215297</v>
      </c>
    </row>
    <row r="53" spans="1:5">
      <c r="A53" s="630" t="s">
        <v>867</v>
      </c>
      <c r="B53" s="631" t="s">
        <v>868</v>
      </c>
      <c r="C53" s="632">
        <v>-437338765</v>
      </c>
      <c r="D53" s="632">
        <v>0</v>
      </c>
      <c r="E53" s="632">
        <v>-422423701</v>
      </c>
    </row>
    <row r="54" spans="1:5">
      <c r="A54" s="630" t="s">
        <v>869</v>
      </c>
      <c r="B54" s="631" t="s">
        <v>870</v>
      </c>
      <c r="C54" s="632">
        <v>14915064</v>
      </c>
      <c r="D54" s="632">
        <v>0</v>
      </c>
      <c r="E54" s="632">
        <v>11727069</v>
      </c>
    </row>
    <row r="55" spans="1:5">
      <c r="A55" s="627" t="s">
        <v>871</v>
      </c>
      <c r="B55" s="628" t="s">
        <v>872</v>
      </c>
      <c r="C55" s="629">
        <v>2803183901</v>
      </c>
      <c r="D55" s="629">
        <v>0</v>
      </c>
      <c r="E55" s="629">
        <v>2814910970</v>
      </c>
    </row>
    <row r="56" spans="1:5" ht="25.5">
      <c r="A56" s="630" t="s">
        <v>873</v>
      </c>
      <c r="B56" s="631" t="s">
        <v>874</v>
      </c>
      <c r="C56" s="632">
        <v>5300</v>
      </c>
      <c r="D56" s="632">
        <v>0</v>
      </c>
      <c r="E56" s="632">
        <v>0</v>
      </c>
    </row>
    <row r="57" spans="1:5" ht="25.5">
      <c r="A57" s="630" t="s">
        <v>875</v>
      </c>
      <c r="B57" s="631" t="s">
        <v>876</v>
      </c>
      <c r="C57" s="632">
        <v>156002</v>
      </c>
      <c r="D57" s="632">
        <v>0</v>
      </c>
      <c r="E57" s="632">
        <v>0</v>
      </c>
    </row>
    <row r="58" spans="1:5" ht="25.5">
      <c r="A58" s="627" t="s">
        <v>877</v>
      </c>
      <c r="B58" s="628" t="s">
        <v>878</v>
      </c>
      <c r="C58" s="629">
        <v>161302</v>
      </c>
      <c r="D58" s="629">
        <v>0</v>
      </c>
      <c r="E58" s="629">
        <v>0</v>
      </c>
    </row>
    <row r="59" spans="1:5" ht="25.5">
      <c r="A59" s="630" t="s">
        <v>879</v>
      </c>
      <c r="B59" s="631" t="s">
        <v>880</v>
      </c>
      <c r="C59" s="632">
        <v>0</v>
      </c>
      <c r="D59" s="632">
        <v>0</v>
      </c>
      <c r="E59" s="632">
        <v>3122000</v>
      </c>
    </row>
    <row r="60" spans="1:5" ht="38.25">
      <c r="A60" s="630" t="s">
        <v>881</v>
      </c>
      <c r="B60" s="631" t="s">
        <v>882</v>
      </c>
      <c r="C60" s="632">
        <v>10420711</v>
      </c>
      <c r="D60" s="632">
        <v>0</v>
      </c>
      <c r="E60" s="632">
        <v>10751039</v>
      </c>
    </row>
    <row r="61" spans="1:5" ht="38.25">
      <c r="A61" s="630" t="s">
        <v>883</v>
      </c>
      <c r="B61" s="631" t="s">
        <v>884</v>
      </c>
      <c r="C61" s="632">
        <v>10420711</v>
      </c>
      <c r="D61" s="632">
        <v>0</v>
      </c>
      <c r="E61" s="632">
        <v>10751039</v>
      </c>
    </row>
    <row r="62" spans="1:5" ht="25.5">
      <c r="A62" s="627" t="s">
        <v>885</v>
      </c>
      <c r="B62" s="628" t="s">
        <v>886</v>
      </c>
      <c r="C62" s="629">
        <v>10420711</v>
      </c>
      <c r="D62" s="629">
        <v>0</v>
      </c>
      <c r="E62" s="629">
        <v>13873039</v>
      </c>
    </row>
    <row r="63" spans="1:5">
      <c r="A63" s="630" t="s">
        <v>887</v>
      </c>
      <c r="B63" s="631" t="s">
        <v>888</v>
      </c>
      <c r="C63" s="632">
        <v>427572</v>
      </c>
      <c r="D63" s="632">
        <v>0</v>
      </c>
      <c r="E63" s="632">
        <v>420926</v>
      </c>
    </row>
    <row r="64" spans="1:5" ht="25.5">
      <c r="A64" s="630" t="s">
        <v>889</v>
      </c>
      <c r="B64" s="631" t="s">
        <v>890</v>
      </c>
      <c r="C64" s="632">
        <v>0</v>
      </c>
      <c r="D64" s="632">
        <v>0</v>
      </c>
      <c r="E64" s="632">
        <v>78000</v>
      </c>
    </row>
    <row r="65" spans="1:5" ht="25.5">
      <c r="A65" s="627" t="s">
        <v>891</v>
      </c>
      <c r="B65" s="628" t="s">
        <v>892</v>
      </c>
      <c r="C65" s="629">
        <v>427572</v>
      </c>
      <c r="D65" s="629">
        <v>0</v>
      </c>
      <c r="E65" s="629">
        <v>498926</v>
      </c>
    </row>
    <row r="66" spans="1:5">
      <c r="A66" s="627" t="s">
        <v>893</v>
      </c>
      <c r="B66" s="628" t="s">
        <v>894</v>
      </c>
      <c r="C66" s="629">
        <v>11009585</v>
      </c>
      <c r="D66" s="629">
        <v>0</v>
      </c>
      <c r="E66" s="629">
        <v>14371965</v>
      </c>
    </row>
    <row r="67" spans="1:5" ht="25.5">
      <c r="A67" s="630" t="s">
        <v>895</v>
      </c>
      <c r="B67" s="631" t="s">
        <v>896</v>
      </c>
      <c r="C67" s="632">
        <v>43104524</v>
      </c>
      <c r="D67" s="632">
        <v>0</v>
      </c>
      <c r="E67" s="632">
        <v>40850963</v>
      </c>
    </row>
    <row r="68" spans="1:5" ht="25.5">
      <c r="A68" s="630" t="s">
        <v>897</v>
      </c>
      <c r="B68" s="631" t="s">
        <v>898</v>
      </c>
      <c r="C68" s="632">
        <v>23888568</v>
      </c>
      <c r="D68" s="632">
        <v>0</v>
      </c>
      <c r="E68" s="632">
        <v>25976528</v>
      </c>
    </row>
    <row r="69" spans="1:5">
      <c r="A69" s="630" t="s">
        <v>899</v>
      </c>
      <c r="B69" s="631" t="s">
        <v>900</v>
      </c>
      <c r="C69" s="632">
        <v>297968178</v>
      </c>
      <c r="D69" s="632">
        <v>0</v>
      </c>
      <c r="E69" s="632">
        <v>82819778</v>
      </c>
    </row>
    <row r="70" spans="1:5" ht="25.5">
      <c r="A70" s="627" t="s">
        <v>901</v>
      </c>
      <c r="B70" s="628" t="s">
        <v>902</v>
      </c>
      <c r="C70" s="629">
        <v>364961270</v>
      </c>
      <c r="D70" s="629">
        <v>0</v>
      </c>
      <c r="E70" s="629">
        <v>149647269</v>
      </c>
    </row>
    <row r="71" spans="1:5">
      <c r="A71" s="627" t="s">
        <v>903</v>
      </c>
      <c r="B71" s="628" t="s">
        <v>904</v>
      </c>
      <c r="C71" s="629">
        <v>3179154756</v>
      </c>
      <c r="D71" s="629">
        <v>0</v>
      </c>
      <c r="E71" s="629">
        <v>2978930204</v>
      </c>
    </row>
  </sheetData>
  <mergeCells count="2">
    <mergeCell ref="A3:E3"/>
    <mergeCell ref="A1:E1"/>
  </mergeCells>
  <pageMargins left="0.74803149606299213" right="0.74803149606299213" top="0.98425196850393704" bottom="0.98425196850393704" header="0.51181102362204722" footer="0.51181102362204722"/>
  <pageSetup scale="74" fitToHeight="2" orientation="portrait" r:id="rId1"/>
  <headerFooter alignWithMargins="0">
    <oddFooter>&amp;P. oldal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E32"/>
  <sheetViews>
    <sheetView tabSelected="1" workbookViewId="0">
      <pane ySplit="5" topLeftCell="A6" activePane="bottomLeft" state="frozen"/>
      <selection activeCell="P46" sqref="O46:P46"/>
      <selection pane="bottomLeft" activeCell="G5" sqref="G5"/>
    </sheetView>
  </sheetViews>
  <sheetFormatPr defaultRowHeight="12.75"/>
  <cols>
    <col min="1" max="1" width="8.140625" style="36" customWidth="1"/>
    <col min="2" max="2" width="41" style="36" customWidth="1"/>
    <col min="3" max="5" width="21.85546875" style="36" customWidth="1"/>
    <col min="6" max="256" width="9.140625" style="36"/>
    <col min="257" max="257" width="8.140625" style="36" customWidth="1"/>
    <col min="258" max="258" width="41" style="36" customWidth="1"/>
    <col min="259" max="261" width="32.85546875" style="36" customWidth="1"/>
    <col min="262" max="512" width="9.140625" style="36"/>
    <col min="513" max="513" width="8.140625" style="36" customWidth="1"/>
    <col min="514" max="514" width="41" style="36" customWidth="1"/>
    <col min="515" max="517" width="32.85546875" style="36" customWidth="1"/>
    <col min="518" max="768" width="9.140625" style="36"/>
    <col min="769" max="769" width="8.140625" style="36" customWidth="1"/>
    <col min="770" max="770" width="41" style="36" customWidth="1"/>
    <col min="771" max="773" width="32.85546875" style="36" customWidth="1"/>
    <col min="774" max="1024" width="9.140625" style="36"/>
    <col min="1025" max="1025" width="8.140625" style="36" customWidth="1"/>
    <col min="1026" max="1026" width="41" style="36" customWidth="1"/>
    <col min="1027" max="1029" width="32.85546875" style="36" customWidth="1"/>
    <col min="1030" max="1280" width="9.140625" style="36"/>
    <col min="1281" max="1281" width="8.140625" style="36" customWidth="1"/>
    <col min="1282" max="1282" width="41" style="36" customWidth="1"/>
    <col min="1283" max="1285" width="32.85546875" style="36" customWidth="1"/>
    <col min="1286" max="1536" width="9.140625" style="36"/>
    <col min="1537" max="1537" width="8.140625" style="36" customWidth="1"/>
    <col min="1538" max="1538" width="41" style="36" customWidth="1"/>
    <col min="1539" max="1541" width="32.85546875" style="36" customWidth="1"/>
    <col min="1542" max="1792" width="9.140625" style="36"/>
    <col min="1793" max="1793" width="8.140625" style="36" customWidth="1"/>
    <col min="1794" max="1794" width="41" style="36" customWidth="1"/>
    <col min="1795" max="1797" width="32.85546875" style="36" customWidth="1"/>
    <col min="1798" max="2048" width="9.140625" style="36"/>
    <col min="2049" max="2049" width="8.140625" style="36" customWidth="1"/>
    <col min="2050" max="2050" width="41" style="36" customWidth="1"/>
    <col min="2051" max="2053" width="32.85546875" style="36" customWidth="1"/>
    <col min="2054" max="2304" width="9.140625" style="36"/>
    <col min="2305" max="2305" width="8.140625" style="36" customWidth="1"/>
    <col min="2306" max="2306" width="41" style="36" customWidth="1"/>
    <col min="2307" max="2309" width="32.85546875" style="36" customWidth="1"/>
    <col min="2310" max="2560" width="9.140625" style="36"/>
    <col min="2561" max="2561" width="8.140625" style="36" customWidth="1"/>
    <col min="2562" max="2562" width="41" style="36" customWidth="1"/>
    <col min="2563" max="2565" width="32.85546875" style="36" customWidth="1"/>
    <col min="2566" max="2816" width="9.140625" style="36"/>
    <col min="2817" max="2817" width="8.140625" style="36" customWidth="1"/>
    <col min="2818" max="2818" width="41" style="36" customWidth="1"/>
    <col min="2819" max="2821" width="32.85546875" style="36" customWidth="1"/>
    <col min="2822" max="3072" width="9.140625" style="36"/>
    <col min="3073" max="3073" width="8.140625" style="36" customWidth="1"/>
    <col min="3074" max="3074" width="41" style="36" customWidth="1"/>
    <col min="3075" max="3077" width="32.85546875" style="36" customWidth="1"/>
    <col min="3078" max="3328" width="9.140625" style="36"/>
    <col min="3329" max="3329" width="8.140625" style="36" customWidth="1"/>
    <col min="3330" max="3330" width="41" style="36" customWidth="1"/>
    <col min="3331" max="3333" width="32.85546875" style="36" customWidth="1"/>
    <col min="3334" max="3584" width="9.140625" style="36"/>
    <col min="3585" max="3585" width="8.140625" style="36" customWidth="1"/>
    <col min="3586" max="3586" width="41" style="36" customWidth="1"/>
    <col min="3587" max="3589" width="32.85546875" style="36" customWidth="1"/>
    <col min="3590" max="3840" width="9.140625" style="36"/>
    <col min="3841" max="3841" width="8.140625" style="36" customWidth="1"/>
    <col min="3842" max="3842" width="41" style="36" customWidth="1"/>
    <col min="3843" max="3845" width="32.85546875" style="36" customWidth="1"/>
    <col min="3846" max="4096" width="9.140625" style="36"/>
    <col min="4097" max="4097" width="8.140625" style="36" customWidth="1"/>
    <col min="4098" max="4098" width="41" style="36" customWidth="1"/>
    <col min="4099" max="4101" width="32.85546875" style="36" customWidth="1"/>
    <col min="4102" max="4352" width="9.140625" style="36"/>
    <col min="4353" max="4353" width="8.140625" style="36" customWidth="1"/>
    <col min="4354" max="4354" width="41" style="36" customWidth="1"/>
    <col min="4355" max="4357" width="32.85546875" style="36" customWidth="1"/>
    <col min="4358" max="4608" width="9.140625" style="36"/>
    <col min="4609" max="4609" width="8.140625" style="36" customWidth="1"/>
    <col min="4610" max="4610" width="41" style="36" customWidth="1"/>
    <col min="4611" max="4613" width="32.85546875" style="36" customWidth="1"/>
    <col min="4614" max="4864" width="9.140625" style="36"/>
    <col min="4865" max="4865" width="8.140625" style="36" customWidth="1"/>
    <col min="4866" max="4866" width="41" style="36" customWidth="1"/>
    <col min="4867" max="4869" width="32.85546875" style="36" customWidth="1"/>
    <col min="4870" max="5120" width="9.140625" style="36"/>
    <col min="5121" max="5121" width="8.140625" style="36" customWidth="1"/>
    <col min="5122" max="5122" width="41" style="36" customWidth="1"/>
    <col min="5123" max="5125" width="32.85546875" style="36" customWidth="1"/>
    <col min="5126" max="5376" width="9.140625" style="36"/>
    <col min="5377" max="5377" width="8.140625" style="36" customWidth="1"/>
    <col min="5378" max="5378" width="41" style="36" customWidth="1"/>
    <col min="5379" max="5381" width="32.85546875" style="36" customWidth="1"/>
    <col min="5382" max="5632" width="9.140625" style="36"/>
    <col min="5633" max="5633" width="8.140625" style="36" customWidth="1"/>
    <col min="5634" max="5634" width="41" style="36" customWidth="1"/>
    <col min="5635" max="5637" width="32.85546875" style="36" customWidth="1"/>
    <col min="5638" max="5888" width="9.140625" style="36"/>
    <col min="5889" max="5889" width="8.140625" style="36" customWidth="1"/>
    <col min="5890" max="5890" width="41" style="36" customWidth="1"/>
    <col min="5891" max="5893" width="32.85546875" style="36" customWidth="1"/>
    <col min="5894" max="6144" width="9.140625" style="36"/>
    <col min="6145" max="6145" width="8.140625" style="36" customWidth="1"/>
    <col min="6146" max="6146" width="41" style="36" customWidth="1"/>
    <col min="6147" max="6149" width="32.85546875" style="36" customWidth="1"/>
    <col min="6150" max="6400" width="9.140625" style="36"/>
    <col min="6401" max="6401" width="8.140625" style="36" customWidth="1"/>
    <col min="6402" max="6402" width="41" style="36" customWidth="1"/>
    <col min="6403" max="6405" width="32.85546875" style="36" customWidth="1"/>
    <col min="6406" max="6656" width="9.140625" style="36"/>
    <col min="6657" max="6657" width="8.140625" style="36" customWidth="1"/>
    <col min="6658" max="6658" width="41" style="36" customWidth="1"/>
    <col min="6659" max="6661" width="32.85546875" style="36" customWidth="1"/>
    <col min="6662" max="6912" width="9.140625" style="36"/>
    <col min="6913" max="6913" width="8.140625" style="36" customWidth="1"/>
    <col min="6914" max="6914" width="41" style="36" customWidth="1"/>
    <col min="6915" max="6917" width="32.85546875" style="36" customWidth="1"/>
    <col min="6918" max="7168" width="9.140625" style="36"/>
    <col min="7169" max="7169" width="8.140625" style="36" customWidth="1"/>
    <col min="7170" max="7170" width="41" style="36" customWidth="1"/>
    <col min="7171" max="7173" width="32.85546875" style="36" customWidth="1"/>
    <col min="7174" max="7424" width="9.140625" style="36"/>
    <col min="7425" max="7425" width="8.140625" style="36" customWidth="1"/>
    <col min="7426" max="7426" width="41" style="36" customWidth="1"/>
    <col min="7427" max="7429" width="32.85546875" style="36" customWidth="1"/>
    <col min="7430" max="7680" width="9.140625" style="36"/>
    <col min="7681" max="7681" width="8.140625" style="36" customWidth="1"/>
    <col min="7682" max="7682" width="41" style="36" customWidth="1"/>
    <col min="7683" max="7685" width="32.85546875" style="36" customWidth="1"/>
    <col min="7686" max="7936" width="9.140625" style="36"/>
    <col min="7937" max="7937" width="8.140625" style="36" customWidth="1"/>
    <col min="7938" max="7938" width="41" style="36" customWidth="1"/>
    <col min="7939" max="7941" width="32.85546875" style="36" customWidth="1"/>
    <col min="7942" max="8192" width="9.140625" style="36"/>
    <col min="8193" max="8193" width="8.140625" style="36" customWidth="1"/>
    <col min="8194" max="8194" width="41" style="36" customWidth="1"/>
    <col min="8195" max="8197" width="32.85546875" style="36" customWidth="1"/>
    <col min="8198" max="8448" width="9.140625" style="36"/>
    <col min="8449" max="8449" width="8.140625" style="36" customWidth="1"/>
    <col min="8450" max="8450" width="41" style="36" customWidth="1"/>
    <col min="8451" max="8453" width="32.85546875" style="36" customWidth="1"/>
    <col min="8454" max="8704" width="9.140625" style="36"/>
    <col min="8705" max="8705" width="8.140625" style="36" customWidth="1"/>
    <col min="8706" max="8706" width="41" style="36" customWidth="1"/>
    <col min="8707" max="8709" width="32.85546875" style="36" customWidth="1"/>
    <col min="8710" max="8960" width="9.140625" style="36"/>
    <col min="8961" max="8961" width="8.140625" style="36" customWidth="1"/>
    <col min="8962" max="8962" width="41" style="36" customWidth="1"/>
    <col min="8963" max="8965" width="32.85546875" style="36" customWidth="1"/>
    <col min="8966" max="9216" width="9.140625" style="36"/>
    <col min="9217" max="9217" width="8.140625" style="36" customWidth="1"/>
    <col min="9218" max="9218" width="41" style="36" customWidth="1"/>
    <col min="9219" max="9221" width="32.85546875" style="36" customWidth="1"/>
    <col min="9222" max="9472" width="9.140625" style="36"/>
    <col min="9473" max="9473" width="8.140625" style="36" customWidth="1"/>
    <col min="9474" max="9474" width="41" style="36" customWidth="1"/>
    <col min="9475" max="9477" width="32.85546875" style="36" customWidth="1"/>
    <col min="9478" max="9728" width="9.140625" style="36"/>
    <col min="9729" max="9729" width="8.140625" style="36" customWidth="1"/>
    <col min="9730" max="9730" width="41" style="36" customWidth="1"/>
    <col min="9731" max="9733" width="32.85546875" style="36" customWidth="1"/>
    <col min="9734" max="9984" width="9.140625" style="36"/>
    <col min="9985" max="9985" width="8.140625" style="36" customWidth="1"/>
    <col min="9986" max="9986" width="41" style="36" customWidth="1"/>
    <col min="9987" max="9989" width="32.85546875" style="36" customWidth="1"/>
    <col min="9990" max="10240" width="9.140625" style="36"/>
    <col min="10241" max="10241" width="8.140625" style="36" customWidth="1"/>
    <col min="10242" max="10242" width="41" style="36" customWidth="1"/>
    <col min="10243" max="10245" width="32.85546875" style="36" customWidth="1"/>
    <col min="10246" max="10496" width="9.140625" style="36"/>
    <col min="10497" max="10497" width="8.140625" style="36" customWidth="1"/>
    <col min="10498" max="10498" width="41" style="36" customWidth="1"/>
    <col min="10499" max="10501" width="32.85546875" style="36" customWidth="1"/>
    <col min="10502" max="10752" width="9.140625" style="36"/>
    <col min="10753" max="10753" width="8.140625" style="36" customWidth="1"/>
    <col min="10754" max="10754" width="41" style="36" customWidth="1"/>
    <col min="10755" max="10757" width="32.85546875" style="36" customWidth="1"/>
    <col min="10758" max="11008" width="9.140625" style="36"/>
    <col min="11009" max="11009" width="8.140625" style="36" customWidth="1"/>
    <col min="11010" max="11010" width="41" style="36" customWidth="1"/>
    <col min="11011" max="11013" width="32.85546875" style="36" customWidth="1"/>
    <col min="11014" max="11264" width="9.140625" style="36"/>
    <col min="11265" max="11265" width="8.140625" style="36" customWidth="1"/>
    <col min="11266" max="11266" width="41" style="36" customWidth="1"/>
    <col min="11267" max="11269" width="32.85546875" style="36" customWidth="1"/>
    <col min="11270" max="11520" width="9.140625" style="36"/>
    <col min="11521" max="11521" width="8.140625" style="36" customWidth="1"/>
    <col min="11522" max="11522" width="41" style="36" customWidth="1"/>
    <col min="11523" max="11525" width="32.85546875" style="36" customWidth="1"/>
    <col min="11526" max="11776" width="9.140625" style="36"/>
    <col min="11777" max="11777" width="8.140625" style="36" customWidth="1"/>
    <col min="11778" max="11778" width="41" style="36" customWidth="1"/>
    <col min="11779" max="11781" width="32.85546875" style="36" customWidth="1"/>
    <col min="11782" max="12032" width="9.140625" style="36"/>
    <col min="12033" max="12033" width="8.140625" style="36" customWidth="1"/>
    <col min="12034" max="12034" width="41" style="36" customWidth="1"/>
    <col min="12035" max="12037" width="32.85546875" style="36" customWidth="1"/>
    <col min="12038" max="12288" width="9.140625" style="36"/>
    <col min="12289" max="12289" width="8.140625" style="36" customWidth="1"/>
    <col min="12290" max="12290" width="41" style="36" customWidth="1"/>
    <col min="12291" max="12293" width="32.85546875" style="36" customWidth="1"/>
    <col min="12294" max="12544" width="9.140625" style="36"/>
    <col min="12545" max="12545" width="8.140625" style="36" customWidth="1"/>
    <col min="12546" max="12546" width="41" style="36" customWidth="1"/>
    <col min="12547" max="12549" width="32.85546875" style="36" customWidth="1"/>
    <col min="12550" max="12800" width="9.140625" style="36"/>
    <col min="12801" max="12801" width="8.140625" style="36" customWidth="1"/>
    <col min="12802" max="12802" width="41" style="36" customWidth="1"/>
    <col min="12803" max="12805" width="32.85546875" style="36" customWidth="1"/>
    <col min="12806" max="13056" width="9.140625" style="36"/>
    <col min="13057" max="13057" width="8.140625" style="36" customWidth="1"/>
    <col min="13058" max="13058" width="41" style="36" customWidth="1"/>
    <col min="13059" max="13061" width="32.85546875" style="36" customWidth="1"/>
    <col min="13062" max="13312" width="9.140625" style="36"/>
    <col min="13313" max="13313" width="8.140625" style="36" customWidth="1"/>
    <col min="13314" max="13314" width="41" style="36" customWidth="1"/>
    <col min="13315" max="13317" width="32.85546875" style="36" customWidth="1"/>
    <col min="13318" max="13568" width="9.140625" style="36"/>
    <col min="13569" max="13569" width="8.140625" style="36" customWidth="1"/>
    <col min="13570" max="13570" width="41" style="36" customWidth="1"/>
    <col min="13571" max="13573" width="32.85546875" style="36" customWidth="1"/>
    <col min="13574" max="13824" width="9.140625" style="36"/>
    <col min="13825" max="13825" width="8.140625" style="36" customWidth="1"/>
    <col min="13826" max="13826" width="41" style="36" customWidth="1"/>
    <col min="13827" max="13829" width="32.85546875" style="36" customWidth="1"/>
    <col min="13830" max="14080" width="9.140625" style="36"/>
    <col min="14081" max="14081" width="8.140625" style="36" customWidth="1"/>
    <col min="14082" max="14082" width="41" style="36" customWidth="1"/>
    <col min="14083" max="14085" width="32.85546875" style="36" customWidth="1"/>
    <col min="14086" max="14336" width="9.140625" style="36"/>
    <col min="14337" max="14337" width="8.140625" style="36" customWidth="1"/>
    <col min="14338" max="14338" width="41" style="36" customWidth="1"/>
    <col min="14339" max="14341" width="32.85546875" style="36" customWidth="1"/>
    <col min="14342" max="14592" width="9.140625" style="36"/>
    <col min="14593" max="14593" width="8.140625" style="36" customWidth="1"/>
    <col min="14594" max="14594" width="41" style="36" customWidth="1"/>
    <col min="14595" max="14597" width="32.85546875" style="36" customWidth="1"/>
    <col min="14598" max="14848" width="9.140625" style="36"/>
    <col min="14849" max="14849" width="8.140625" style="36" customWidth="1"/>
    <col min="14850" max="14850" width="41" style="36" customWidth="1"/>
    <col min="14851" max="14853" width="32.85546875" style="36" customWidth="1"/>
    <col min="14854" max="15104" width="9.140625" style="36"/>
    <col min="15105" max="15105" width="8.140625" style="36" customWidth="1"/>
    <col min="15106" max="15106" width="41" style="36" customWidth="1"/>
    <col min="15107" max="15109" width="32.85546875" style="36" customWidth="1"/>
    <col min="15110" max="15360" width="9.140625" style="36"/>
    <col min="15361" max="15361" width="8.140625" style="36" customWidth="1"/>
    <col min="15362" max="15362" width="41" style="36" customWidth="1"/>
    <col min="15363" max="15365" width="32.85546875" style="36" customWidth="1"/>
    <col min="15366" max="15616" width="9.140625" style="36"/>
    <col min="15617" max="15617" width="8.140625" style="36" customWidth="1"/>
    <col min="15618" max="15618" width="41" style="36" customWidth="1"/>
    <col min="15619" max="15621" width="32.85546875" style="36" customWidth="1"/>
    <col min="15622" max="15872" width="9.140625" style="36"/>
    <col min="15873" max="15873" width="8.140625" style="36" customWidth="1"/>
    <col min="15874" max="15874" width="41" style="36" customWidth="1"/>
    <col min="15875" max="15877" width="32.85546875" style="36" customWidth="1"/>
    <col min="15878" max="16128" width="9.140625" style="36"/>
    <col min="16129" max="16129" width="8.140625" style="36" customWidth="1"/>
    <col min="16130" max="16130" width="41" style="36" customWidth="1"/>
    <col min="16131" max="16133" width="32.85546875" style="36" customWidth="1"/>
    <col min="16134" max="16384" width="9.140625" style="36"/>
  </cols>
  <sheetData>
    <row r="1" spans="1:5" ht="15" customHeight="1">
      <c r="A1" s="635" t="s">
        <v>967</v>
      </c>
      <c r="B1" s="635"/>
      <c r="C1" s="635"/>
      <c r="D1" s="635"/>
      <c r="E1" s="635"/>
    </row>
    <row r="3" spans="1:5" ht="23.25" customHeight="1">
      <c r="A3" s="763" t="s">
        <v>943</v>
      </c>
      <c r="B3" s="764"/>
      <c r="C3" s="764"/>
      <c r="D3" s="764"/>
      <c r="E3" s="764"/>
    </row>
    <row r="4" spans="1:5" ht="15">
      <c r="A4" s="633" t="s">
        <v>766</v>
      </c>
      <c r="B4" s="633" t="s">
        <v>63</v>
      </c>
      <c r="C4" s="633" t="s">
        <v>779</v>
      </c>
      <c r="D4" s="633" t="s">
        <v>780</v>
      </c>
      <c r="E4" s="633" t="s">
        <v>781</v>
      </c>
    </row>
    <row r="5" spans="1:5" ht="15">
      <c r="A5" s="633">
        <v>1</v>
      </c>
      <c r="B5" s="633">
        <v>2</v>
      </c>
      <c r="C5" s="633">
        <v>3</v>
      </c>
      <c r="D5" s="633">
        <v>4</v>
      </c>
      <c r="E5" s="633">
        <v>5</v>
      </c>
    </row>
    <row r="6" spans="1:5">
      <c r="A6" s="630" t="s">
        <v>758</v>
      </c>
      <c r="B6" s="631" t="s">
        <v>905</v>
      </c>
      <c r="C6" s="632">
        <v>78436880</v>
      </c>
      <c r="D6" s="632">
        <v>0</v>
      </c>
      <c r="E6" s="632">
        <v>93628111</v>
      </c>
    </row>
    <row r="7" spans="1:5" ht="25.5">
      <c r="A7" s="630" t="s">
        <v>756</v>
      </c>
      <c r="B7" s="631" t="s">
        <v>906</v>
      </c>
      <c r="C7" s="632">
        <v>31037036</v>
      </c>
      <c r="D7" s="632">
        <v>0</v>
      </c>
      <c r="E7" s="632">
        <v>33800213</v>
      </c>
    </row>
    <row r="8" spans="1:5" ht="25.5">
      <c r="A8" s="630" t="s">
        <v>754</v>
      </c>
      <c r="B8" s="631" t="s">
        <v>907</v>
      </c>
      <c r="C8" s="632">
        <v>10529669</v>
      </c>
      <c r="D8" s="632">
        <v>0</v>
      </c>
      <c r="E8" s="632">
        <v>12995989</v>
      </c>
    </row>
    <row r="9" spans="1:5" ht="25.5">
      <c r="A9" s="627" t="s">
        <v>771</v>
      </c>
      <c r="B9" s="628" t="s">
        <v>908</v>
      </c>
      <c r="C9" s="629">
        <v>120003585</v>
      </c>
      <c r="D9" s="629">
        <v>0</v>
      </c>
      <c r="E9" s="629">
        <v>140424313</v>
      </c>
    </row>
    <row r="10" spans="1:5" ht="25.5">
      <c r="A10" s="630" t="s">
        <v>748</v>
      </c>
      <c r="B10" s="631" t="s">
        <v>909</v>
      </c>
      <c r="C10" s="632">
        <v>472481159</v>
      </c>
      <c r="D10" s="632">
        <v>0</v>
      </c>
      <c r="E10" s="632">
        <v>527323042</v>
      </c>
    </row>
    <row r="11" spans="1:5" ht="25.5">
      <c r="A11" s="630" t="s">
        <v>746</v>
      </c>
      <c r="B11" s="631" t="s">
        <v>910</v>
      </c>
      <c r="C11" s="632">
        <v>85064639</v>
      </c>
      <c r="D11" s="632">
        <v>0</v>
      </c>
      <c r="E11" s="632">
        <v>79949424</v>
      </c>
    </row>
    <row r="12" spans="1:5" ht="25.5">
      <c r="A12" s="630" t="s">
        <v>744</v>
      </c>
      <c r="B12" s="631" t="s">
        <v>911</v>
      </c>
      <c r="C12" s="632">
        <v>118460253</v>
      </c>
      <c r="D12" s="632">
        <v>0</v>
      </c>
      <c r="E12" s="632">
        <v>311540563</v>
      </c>
    </row>
    <row r="13" spans="1:5" ht="25.5">
      <c r="A13" s="630" t="s">
        <v>788</v>
      </c>
      <c r="B13" s="631" t="s">
        <v>912</v>
      </c>
      <c r="C13" s="632">
        <v>12842131</v>
      </c>
      <c r="D13" s="632">
        <v>0</v>
      </c>
      <c r="E13" s="632">
        <v>17233521</v>
      </c>
    </row>
    <row r="14" spans="1:5" ht="25.5">
      <c r="A14" s="627" t="s">
        <v>913</v>
      </c>
      <c r="B14" s="628" t="s">
        <v>914</v>
      </c>
      <c r="C14" s="629">
        <v>688848182</v>
      </c>
      <c r="D14" s="629">
        <v>0</v>
      </c>
      <c r="E14" s="629">
        <v>936046550</v>
      </c>
    </row>
    <row r="15" spans="1:5">
      <c r="A15" s="630" t="s">
        <v>742</v>
      </c>
      <c r="B15" s="631" t="s">
        <v>915</v>
      </c>
      <c r="C15" s="632">
        <v>48187925</v>
      </c>
      <c r="D15" s="632">
        <v>0</v>
      </c>
      <c r="E15" s="632">
        <v>59870506</v>
      </c>
    </row>
    <row r="16" spans="1:5">
      <c r="A16" s="630" t="s">
        <v>740</v>
      </c>
      <c r="B16" s="631" t="s">
        <v>916</v>
      </c>
      <c r="C16" s="632">
        <v>61301849</v>
      </c>
      <c r="D16" s="632">
        <v>0</v>
      </c>
      <c r="E16" s="632">
        <v>78682732</v>
      </c>
    </row>
    <row r="17" spans="1:5">
      <c r="A17" s="630" t="s">
        <v>736</v>
      </c>
      <c r="B17" s="631" t="s">
        <v>917</v>
      </c>
      <c r="C17" s="632">
        <v>7218812</v>
      </c>
      <c r="D17" s="632">
        <v>0</v>
      </c>
      <c r="E17" s="632">
        <v>7236740</v>
      </c>
    </row>
    <row r="18" spans="1:5" ht="25.5">
      <c r="A18" s="627" t="s">
        <v>734</v>
      </c>
      <c r="B18" s="628" t="s">
        <v>918</v>
      </c>
      <c r="C18" s="629">
        <v>116708586</v>
      </c>
      <c r="D18" s="629">
        <v>0</v>
      </c>
      <c r="E18" s="629">
        <v>145789978</v>
      </c>
    </row>
    <row r="19" spans="1:5">
      <c r="A19" s="630" t="s">
        <v>732</v>
      </c>
      <c r="B19" s="631" t="s">
        <v>919</v>
      </c>
      <c r="C19" s="632">
        <v>196048203</v>
      </c>
      <c r="D19" s="632">
        <v>0</v>
      </c>
      <c r="E19" s="632">
        <v>218494993</v>
      </c>
    </row>
    <row r="20" spans="1:5">
      <c r="A20" s="630" t="s">
        <v>730</v>
      </c>
      <c r="B20" s="631" t="s">
        <v>920</v>
      </c>
      <c r="C20" s="632">
        <v>33118245</v>
      </c>
      <c r="D20" s="632">
        <v>0</v>
      </c>
      <c r="E20" s="632">
        <v>35206053</v>
      </c>
    </row>
    <row r="21" spans="1:5">
      <c r="A21" s="630" t="s">
        <v>921</v>
      </c>
      <c r="B21" s="631" t="s">
        <v>922</v>
      </c>
      <c r="C21" s="632">
        <v>40976139</v>
      </c>
      <c r="D21" s="632">
        <v>0</v>
      </c>
      <c r="E21" s="632">
        <v>43812941</v>
      </c>
    </row>
    <row r="22" spans="1:5" ht="25.5">
      <c r="A22" s="627" t="s">
        <v>792</v>
      </c>
      <c r="B22" s="628" t="s">
        <v>923</v>
      </c>
      <c r="C22" s="629">
        <v>270142587</v>
      </c>
      <c r="D22" s="629">
        <v>0</v>
      </c>
      <c r="E22" s="629">
        <v>297513987</v>
      </c>
    </row>
    <row r="23" spans="1:5">
      <c r="A23" s="627" t="s">
        <v>794</v>
      </c>
      <c r="B23" s="628" t="s">
        <v>924</v>
      </c>
      <c r="C23" s="629">
        <v>109320683</v>
      </c>
      <c r="D23" s="629">
        <v>0</v>
      </c>
      <c r="E23" s="629">
        <v>106919411</v>
      </c>
    </row>
    <row r="24" spans="1:5">
      <c r="A24" s="627" t="s">
        <v>925</v>
      </c>
      <c r="B24" s="628" t="s">
        <v>926</v>
      </c>
      <c r="C24" s="629">
        <v>297692073</v>
      </c>
      <c r="D24" s="629">
        <v>0</v>
      </c>
      <c r="E24" s="629">
        <v>514772365</v>
      </c>
    </row>
    <row r="25" spans="1:5" ht="25.5">
      <c r="A25" s="627" t="s">
        <v>728</v>
      </c>
      <c r="B25" s="628" t="s">
        <v>927</v>
      </c>
      <c r="C25" s="629">
        <v>14987838</v>
      </c>
      <c r="D25" s="629">
        <v>0</v>
      </c>
      <c r="E25" s="629">
        <v>11475122</v>
      </c>
    </row>
    <row r="26" spans="1:5" ht="25.5">
      <c r="A26" s="630" t="s">
        <v>799</v>
      </c>
      <c r="B26" s="631" t="s">
        <v>928</v>
      </c>
      <c r="C26" s="632">
        <v>226</v>
      </c>
      <c r="D26" s="632">
        <v>0</v>
      </c>
      <c r="E26" s="632">
        <v>210</v>
      </c>
    </row>
    <row r="27" spans="1:5" ht="38.25">
      <c r="A27" s="627" t="s">
        <v>929</v>
      </c>
      <c r="B27" s="628" t="s">
        <v>930</v>
      </c>
      <c r="C27" s="629">
        <v>226</v>
      </c>
      <c r="D27" s="629">
        <v>0</v>
      </c>
      <c r="E27" s="629">
        <v>210</v>
      </c>
    </row>
    <row r="28" spans="1:5" ht="38.25">
      <c r="A28" s="630" t="s">
        <v>931</v>
      </c>
      <c r="B28" s="631" t="s">
        <v>932</v>
      </c>
      <c r="C28" s="632">
        <v>73000</v>
      </c>
      <c r="D28" s="632">
        <v>0</v>
      </c>
      <c r="E28" s="632">
        <v>-346750</v>
      </c>
    </row>
    <row r="29" spans="1:5" ht="25.5">
      <c r="A29" s="630" t="s">
        <v>933</v>
      </c>
      <c r="B29" s="631" t="s">
        <v>934</v>
      </c>
      <c r="C29" s="632">
        <v>0</v>
      </c>
      <c r="D29" s="632">
        <v>0</v>
      </c>
      <c r="E29" s="632">
        <v>95013</v>
      </c>
    </row>
    <row r="30" spans="1:5" ht="25.5">
      <c r="A30" s="627" t="s">
        <v>935</v>
      </c>
      <c r="B30" s="628" t="s">
        <v>936</v>
      </c>
      <c r="C30" s="629">
        <v>73000</v>
      </c>
      <c r="D30" s="629">
        <v>0</v>
      </c>
      <c r="E30" s="629">
        <v>-251737</v>
      </c>
    </row>
    <row r="31" spans="1:5" ht="25.5">
      <c r="A31" s="627" t="s">
        <v>937</v>
      </c>
      <c r="B31" s="628" t="s">
        <v>938</v>
      </c>
      <c r="C31" s="629">
        <v>-72774</v>
      </c>
      <c r="D31" s="629">
        <v>0</v>
      </c>
      <c r="E31" s="629">
        <v>251947</v>
      </c>
    </row>
    <row r="32" spans="1:5">
      <c r="A32" s="627" t="s">
        <v>939</v>
      </c>
      <c r="B32" s="628" t="s">
        <v>940</v>
      </c>
      <c r="C32" s="629">
        <v>14915064</v>
      </c>
      <c r="D32" s="629">
        <v>0</v>
      </c>
      <c r="E32" s="629">
        <v>11727069</v>
      </c>
    </row>
  </sheetData>
  <mergeCells count="2">
    <mergeCell ref="A3:E3"/>
    <mergeCell ref="A1:E1"/>
  </mergeCells>
  <pageMargins left="0.74803149606299213" right="0.74803149606299213" top="0.98425196850393704" bottom="0.98425196850393704" header="0.51181102362204722" footer="0.51181102362204722"/>
  <pageSetup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BK47"/>
  <sheetViews>
    <sheetView zoomScaleNormal="100" zoomScaleSheetLayoutView="40" workbookViewId="0">
      <selection activeCell="A4" sqref="A4:R4"/>
    </sheetView>
  </sheetViews>
  <sheetFormatPr defaultRowHeight="15"/>
  <cols>
    <col min="1" max="1" width="4.140625" style="33" bestFit="1" customWidth="1"/>
    <col min="2" max="2" width="40" style="33" customWidth="1"/>
    <col min="3" max="4" width="17.7109375" style="26" customWidth="1"/>
    <col min="5" max="5" width="17.28515625" style="26" customWidth="1"/>
    <col min="6" max="10" width="17.7109375" style="26" customWidth="1"/>
    <col min="11" max="11" width="20.42578125" style="26" customWidth="1"/>
    <col min="12" max="12" width="17.7109375" style="26" customWidth="1"/>
    <col min="13" max="13" width="12.42578125" style="26" bestFit="1" customWidth="1"/>
    <col min="14" max="14" width="14" style="26" bestFit="1" customWidth="1"/>
    <col min="15" max="15" width="12.5703125" style="26" customWidth="1"/>
    <col min="16" max="16" width="14" style="26" bestFit="1" customWidth="1"/>
    <col min="17" max="17" width="12.5703125" style="26" customWidth="1"/>
    <col min="18" max="18" width="13.140625" style="26" bestFit="1" customWidth="1"/>
    <col min="19" max="19" width="16.42578125" style="26" customWidth="1"/>
    <col min="20" max="20" width="14.85546875" style="26" customWidth="1"/>
    <col min="21" max="21" width="13.140625" style="26" customWidth="1"/>
    <col min="22" max="22" width="16.5703125" style="26" customWidth="1"/>
    <col min="23" max="23" width="15.85546875" style="26" customWidth="1"/>
    <col min="24" max="24" width="14.28515625" style="26" customWidth="1"/>
    <col min="25" max="25" width="18.7109375" style="26" customWidth="1"/>
    <col min="26" max="26" width="15.7109375" style="26" customWidth="1"/>
    <col min="27" max="32" width="12.42578125" style="26" customWidth="1"/>
    <col min="33" max="33" width="8.42578125" style="26" customWidth="1"/>
    <col min="34" max="35" width="12.140625" style="26" customWidth="1"/>
    <col min="36" max="36" width="13.5703125" style="26" customWidth="1"/>
    <col min="37" max="37" width="14.140625" style="26" customWidth="1"/>
    <col min="38" max="38" width="8.85546875" style="26" bestFit="1" customWidth="1"/>
    <col min="39" max="16384" width="9.140625" style="20"/>
  </cols>
  <sheetData>
    <row r="1" spans="1:51" ht="15" customHeight="1">
      <c r="A1" s="649" t="s">
        <v>947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64"/>
      <c r="Q1" s="34"/>
      <c r="R1" s="34"/>
      <c r="S1" s="34"/>
      <c r="T1" s="34"/>
      <c r="U1" s="34"/>
      <c r="V1" s="34"/>
      <c r="W1" s="34"/>
      <c r="X1" s="34"/>
      <c r="Y1" s="34"/>
      <c r="Z1" s="34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</row>
    <row r="2" spans="1:51" ht="30.75" customHeight="1">
      <c r="A2" s="665" t="s">
        <v>427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99"/>
      <c r="R2" s="99"/>
      <c r="S2" s="99"/>
      <c r="T2" s="21"/>
      <c r="U2" s="21"/>
      <c r="V2" s="21"/>
      <c r="W2" s="21"/>
      <c r="X2" s="21"/>
      <c r="Y2" s="21"/>
      <c r="Z2" s="21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</row>
    <row r="3" spans="1:51">
      <c r="A3" s="23"/>
      <c r="B3" s="24"/>
      <c r="C3" s="25"/>
      <c r="D3" s="25"/>
      <c r="E3" s="25"/>
      <c r="F3" s="25"/>
      <c r="G3" s="25"/>
      <c r="H3" s="25"/>
      <c r="I3" s="25"/>
      <c r="K3" s="25"/>
      <c r="L3" s="25"/>
      <c r="M3" s="25"/>
      <c r="O3" s="25"/>
      <c r="P3" s="25"/>
      <c r="R3" s="222" t="s">
        <v>258</v>
      </c>
      <c r="S3" s="25"/>
      <c r="T3" s="25"/>
      <c r="U3" s="25"/>
      <c r="V3" s="25"/>
      <c r="W3" s="25"/>
      <c r="X3" s="25"/>
      <c r="AM3" s="26"/>
      <c r="AN3" s="26"/>
      <c r="AO3" s="26"/>
      <c r="AP3" s="26"/>
      <c r="AQ3" s="26"/>
    </row>
    <row r="4" spans="1:51" ht="24.6" customHeight="1" thickBot="1">
      <c r="A4" s="667" t="s">
        <v>27</v>
      </c>
      <c r="B4" s="668"/>
      <c r="C4" s="668"/>
      <c r="D4" s="668"/>
      <c r="E4" s="668"/>
      <c r="F4" s="668"/>
      <c r="G4" s="668"/>
      <c r="H4" s="668"/>
      <c r="I4" s="668"/>
      <c r="J4" s="668"/>
      <c r="K4" s="668"/>
      <c r="L4" s="668"/>
      <c r="M4" s="668"/>
      <c r="N4" s="668"/>
      <c r="O4" s="668"/>
      <c r="P4" s="668"/>
      <c r="Q4" s="668"/>
      <c r="R4" s="668"/>
      <c r="U4" s="27"/>
      <c r="V4" s="27"/>
      <c r="W4" s="27"/>
      <c r="X4" s="27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</row>
    <row r="5" spans="1:51" ht="103.15" customHeight="1" thickBot="1">
      <c r="A5" s="666" t="s">
        <v>29</v>
      </c>
      <c r="B5" s="666"/>
      <c r="C5" s="653" t="s">
        <v>30</v>
      </c>
      <c r="D5" s="654"/>
      <c r="E5" s="655"/>
      <c r="F5" s="653" t="s">
        <v>31</v>
      </c>
      <c r="G5" s="654"/>
      <c r="H5" s="655"/>
      <c r="I5" s="653" t="s">
        <v>32</v>
      </c>
      <c r="J5" s="654"/>
      <c r="K5" s="655"/>
      <c r="L5" s="653" t="s">
        <v>392</v>
      </c>
      <c r="M5" s="654"/>
      <c r="N5" s="655"/>
      <c r="O5" s="656" t="s">
        <v>181</v>
      </c>
      <c r="P5" s="657"/>
      <c r="Q5" s="658"/>
      <c r="R5" s="653" t="s">
        <v>587</v>
      </c>
      <c r="S5" s="654"/>
      <c r="T5" s="654"/>
      <c r="U5" s="657" t="s">
        <v>581</v>
      </c>
      <c r="V5" s="657"/>
      <c r="W5" s="658"/>
      <c r="X5" s="653" t="s">
        <v>163</v>
      </c>
      <c r="Y5" s="654"/>
      <c r="Z5" s="655"/>
      <c r="AA5" s="653" t="s">
        <v>312</v>
      </c>
      <c r="AB5" s="654"/>
      <c r="AC5" s="655"/>
      <c r="AD5" s="653" t="s">
        <v>394</v>
      </c>
      <c r="AE5" s="654"/>
      <c r="AF5" s="655"/>
      <c r="AK5" s="28"/>
      <c r="AL5" s="28"/>
      <c r="AM5" s="28"/>
      <c r="AN5" s="28"/>
      <c r="AO5" s="28"/>
      <c r="AP5" s="28"/>
      <c r="AQ5" s="28"/>
      <c r="AR5" s="28"/>
      <c r="AS5" s="28"/>
      <c r="AT5" s="662"/>
      <c r="AU5" s="662"/>
      <c r="AV5" s="662"/>
      <c r="AW5" s="29"/>
      <c r="AX5" s="29"/>
      <c r="AY5" s="29"/>
    </row>
    <row r="6" spans="1:51" ht="36" customHeight="1" thickBot="1">
      <c r="A6" s="184" t="s">
        <v>36</v>
      </c>
      <c r="B6" s="185"/>
      <c r="C6" s="436" t="s">
        <v>37</v>
      </c>
      <c r="D6" s="436" t="s">
        <v>491</v>
      </c>
      <c r="E6" s="436" t="s">
        <v>645</v>
      </c>
      <c r="F6" s="436" t="s">
        <v>37</v>
      </c>
      <c r="G6" s="436" t="s">
        <v>491</v>
      </c>
      <c r="H6" s="436" t="s">
        <v>645</v>
      </c>
      <c r="I6" s="436" t="s">
        <v>37</v>
      </c>
      <c r="J6" s="436" t="s">
        <v>491</v>
      </c>
      <c r="K6" s="436" t="s">
        <v>645</v>
      </c>
      <c r="L6" s="436" t="s">
        <v>37</v>
      </c>
      <c r="M6" s="436" t="s">
        <v>491</v>
      </c>
      <c r="N6" s="436" t="s">
        <v>645</v>
      </c>
      <c r="O6" s="436" t="s">
        <v>37</v>
      </c>
      <c r="P6" s="436" t="s">
        <v>491</v>
      </c>
      <c r="Q6" s="436" t="s">
        <v>645</v>
      </c>
      <c r="R6" s="436" t="s">
        <v>37</v>
      </c>
      <c r="S6" s="436" t="s">
        <v>491</v>
      </c>
      <c r="T6" s="436" t="s">
        <v>645</v>
      </c>
      <c r="U6" s="436" t="s">
        <v>37</v>
      </c>
      <c r="V6" s="436" t="s">
        <v>491</v>
      </c>
      <c r="W6" s="436" t="s">
        <v>645</v>
      </c>
      <c r="X6" s="436" t="s">
        <v>37</v>
      </c>
      <c r="Y6" s="436" t="s">
        <v>491</v>
      </c>
      <c r="Z6" s="436" t="s">
        <v>645</v>
      </c>
      <c r="AA6" s="436" t="s">
        <v>37</v>
      </c>
      <c r="AB6" s="436" t="s">
        <v>491</v>
      </c>
      <c r="AC6" s="436" t="s">
        <v>645</v>
      </c>
      <c r="AD6" s="436" t="s">
        <v>37</v>
      </c>
      <c r="AE6" s="436" t="s">
        <v>37</v>
      </c>
      <c r="AF6" s="436" t="s">
        <v>645</v>
      </c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</row>
    <row r="7" spans="1:51" s="374" customFormat="1" ht="30" customHeight="1" thickBot="1">
      <c r="A7" s="361" t="s">
        <v>38</v>
      </c>
      <c r="B7" s="373" t="s">
        <v>149</v>
      </c>
      <c r="C7" s="360">
        <f>+'4 b.sz.mell.'!D38</f>
        <v>32165000</v>
      </c>
      <c r="D7" s="360">
        <f>+'4 b.sz.mell.'!E38</f>
        <v>37021442</v>
      </c>
      <c r="E7" s="360">
        <f>+'4 b.sz.mell.'!F38</f>
        <v>38402796</v>
      </c>
      <c r="F7" s="360">
        <f>+'4 b.sz.mell.'!AB37</f>
        <v>59200000</v>
      </c>
      <c r="G7" s="360">
        <f>+'4 b.sz.mell.'!AC37</f>
        <v>59200000</v>
      </c>
      <c r="H7" s="360">
        <f>+'4 b.sz.mell.'!AD37</f>
        <v>82020727</v>
      </c>
      <c r="I7" s="360">
        <f>+'4 b.sz.mell.'!G38</f>
        <v>335764084</v>
      </c>
      <c r="J7" s="360">
        <f>+'4 b.sz.mell.'!H38</f>
        <v>418894797</v>
      </c>
      <c r="K7" s="360">
        <f>+'4 b.sz.mell.'!I38</f>
        <v>387988061</v>
      </c>
      <c r="L7" s="360">
        <v>0</v>
      </c>
      <c r="M7" s="360">
        <v>0</v>
      </c>
      <c r="N7" s="360">
        <v>0</v>
      </c>
      <c r="O7" s="360">
        <f>+'4 b.sz.mell.'!V38</f>
        <v>0</v>
      </c>
      <c r="P7" s="360">
        <f>+'4 b.sz.mell.'!W38</f>
        <v>0</v>
      </c>
      <c r="Q7" s="360">
        <f>+'4 b.sz.mell.'!X38</f>
        <v>0</v>
      </c>
      <c r="R7" s="360">
        <v>0</v>
      </c>
      <c r="S7" s="360">
        <v>87000</v>
      </c>
      <c r="T7" s="360">
        <v>87000</v>
      </c>
      <c r="U7" s="360">
        <v>0</v>
      </c>
      <c r="V7" s="360">
        <v>10751039</v>
      </c>
      <c r="W7" s="360">
        <v>10751039</v>
      </c>
      <c r="X7" s="360">
        <f>+'4 b.sz.mell.'!S38</f>
        <v>415199185</v>
      </c>
      <c r="Y7" s="360">
        <f>+'4 b.sz.mell.'!T38</f>
        <v>418403593</v>
      </c>
      <c r="Z7" s="360">
        <f>+'4 b.sz.mell.'!U38</f>
        <v>418403593</v>
      </c>
      <c r="AA7" s="371">
        <f t="shared" ref="AA7:AC11" si="0">+X7+O7+L7+I7+F7+C7+R7+U7</f>
        <v>842328269</v>
      </c>
      <c r="AB7" s="371">
        <f t="shared" si="0"/>
        <v>944357871</v>
      </c>
      <c r="AC7" s="371">
        <f t="shared" si="0"/>
        <v>937653216</v>
      </c>
      <c r="AD7" s="381">
        <f>+AA7-O7</f>
        <v>842328269</v>
      </c>
      <c r="AE7" s="371">
        <f>+AB7-P7</f>
        <v>944357871</v>
      </c>
      <c r="AF7" s="371">
        <f>+AC7-Q7</f>
        <v>937653216</v>
      </c>
      <c r="AG7" s="26"/>
      <c r="AH7" s="26"/>
      <c r="AI7" s="26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30"/>
      <c r="AV7" s="30"/>
      <c r="AW7" s="30"/>
    </row>
    <row r="8" spans="1:51" s="374" customFormat="1" ht="30" customHeight="1" thickBot="1">
      <c r="A8" s="361" t="s">
        <v>39</v>
      </c>
      <c r="B8" s="373" t="s">
        <v>40</v>
      </c>
      <c r="C8" s="360">
        <f>+'4 b.sz.mell.'!D44</f>
        <v>1200000</v>
      </c>
      <c r="D8" s="360">
        <f>+'4 b.sz.mell.'!E44</f>
        <v>1200000</v>
      </c>
      <c r="E8" s="360">
        <f>+'4 b.sz.mell.'!F44</f>
        <v>1116140</v>
      </c>
      <c r="F8" s="360">
        <f>+'4 b.sz.mell.'!AB44</f>
        <v>70000</v>
      </c>
      <c r="G8" s="360">
        <f>+'4 b.sz.mell.'!AC44</f>
        <v>70000</v>
      </c>
      <c r="H8" s="360">
        <f>+'4 b.sz.mell.'!AD44</f>
        <v>0</v>
      </c>
      <c r="I8" s="360">
        <f>+'4 b.sz.mell.'!G44</f>
        <v>947353</v>
      </c>
      <c r="J8" s="360">
        <f>+'4 b.sz.mell.'!H44</f>
        <v>7447804</v>
      </c>
      <c r="K8" s="360">
        <f>+'4 b.sz.mell.'!I44</f>
        <v>7447804</v>
      </c>
      <c r="L8" s="360">
        <v>0</v>
      </c>
      <c r="M8" s="360">
        <v>0</v>
      </c>
      <c r="N8" s="360">
        <v>0</v>
      </c>
      <c r="O8" s="360">
        <f>+'4 b.sz.mell.'!V44</f>
        <v>97123414</v>
      </c>
      <c r="P8" s="360">
        <f>+'4 b.sz.mell.'!W44</f>
        <v>109371414</v>
      </c>
      <c r="Q8" s="360">
        <f>+'4 b.sz.mell.'!X44</f>
        <v>108036886</v>
      </c>
      <c r="R8" s="360">
        <v>0</v>
      </c>
      <c r="S8" s="360">
        <v>0</v>
      </c>
      <c r="T8" s="360">
        <f>+'4 b.sz.mell.'!O39</f>
        <v>450000</v>
      </c>
      <c r="U8" s="360">
        <v>0</v>
      </c>
      <c r="V8" s="360"/>
      <c r="W8" s="360"/>
      <c r="X8" s="360">
        <f>+'4 b.sz.mell.'!S44</f>
        <v>133733</v>
      </c>
      <c r="Y8" s="360">
        <f>+'4 b.sz.mell.'!T44</f>
        <v>133733</v>
      </c>
      <c r="Z8" s="360">
        <f>+'4 b.sz.mell.'!U44</f>
        <v>133733</v>
      </c>
      <c r="AA8" s="371">
        <f t="shared" si="0"/>
        <v>99474500</v>
      </c>
      <c r="AB8" s="371">
        <f t="shared" si="0"/>
        <v>118222951</v>
      </c>
      <c r="AC8" s="371">
        <f t="shared" si="0"/>
        <v>117184563</v>
      </c>
      <c r="AD8" s="381">
        <f>+AA8-O8</f>
        <v>2351086</v>
      </c>
      <c r="AE8" s="371">
        <f t="shared" ref="AE8:AE11" si="1">+AB8-P8</f>
        <v>8851537</v>
      </c>
      <c r="AF8" s="371">
        <f t="shared" ref="AF8:AF11" si="2">+AC8-Q8</f>
        <v>9147677</v>
      </c>
      <c r="AG8" s="26"/>
      <c r="AH8" s="26"/>
      <c r="AI8" s="26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30"/>
      <c r="AV8" s="30"/>
      <c r="AW8" s="30"/>
    </row>
    <row r="9" spans="1:51" s="374" customFormat="1" ht="30" customHeight="1" thickBot="1">
      <c r="A9" s="361" t="s">
        <v>41</v>
      </c>
      <c r="B9" s="373" t="s">
        <v>159</v>
      </c>
      <c r="C9" s="360">
        <f>+'4 b.sz.mell.'!D47</f>
        <v>1250000</v>
      </c>
      <c r="D9" s="360">
        <f>+'4 b.sz.mell.'!E47</f>
        <v>1250000</v>
      </c>
      <c r="E9" s="360">
        <f>+'4 b.sz.mell.'!F47</f>
        <v>721855</v>
      </c>
      <c r="F9" s="360">
        <v>0</v>
      </c>
      <c r="G9" s="360">
        <v>0</v>
      </c>
      <c r="H9" s="360">
        <v>0</v>
      </c>
      <c r="I9" s="360">
        <f>+'4 b.sz.mell.'!G47</f>
        <v>0</v>
      </c>
      <c r="J9" s="360">
        <f>+'4 b.sz.mell.'!H47</f>
        <v>0</v>
      </c>
      <c r="K9" s="360">
        <f>+'4 b.sz.mell.'!I47</f>
        <v>0</v>
      </c>
      <c r="L9" s="360">
        <v>0</v>
      </c>
      <c r="M9" s="360">
        <v>0</v>
      </c>
      <c r="N9" s="360">
        <v>0</v>
      </c>
      <c r="O9" s="360">
        <f>+'4 b.sz.mell.'!V47</f>
        <v>15124465</v>
      </c>
      <c r="P9" s="360">
        <f>+'4 b.sz.mell.'!W47</f>
        <v>15124465</v>
      </c>
      <c r="Q9" s="360">
        <f>+'4 b.sz.mell.'!X47</f>
        <v>14565244</v>
      </c>
      <c r="R9" s="360">
        <v>0</v>
      </c>
      <c r="S9" s="360">
        <v>0</v>
      </c>
      <c r="T9" s="360">
        <v>0</v>
      </c>
      <c r="U9" s="360">
        <v>0</v>
      </c>
      <c r="V9" s="360"/>
      <c r="W9" s="360"/>
      <c r="X9" s="360">
        <f>+'4 b.sz.mell.'!S47</f>
        <v>364135</v>
      </c>
      <c r="Y9" s="360">
        <f>+'4 b.sz.mell.'!T47</f>
        <v>364135</v>
      </c>
      <c r="Z9" s="360">
        <f>+'4 b.sz.mell.'!U47</f>
        <v>364135</v>
      </c>
      <c r="AA9" s="371">
        <f t="shared" si="0"/>
        <v>16738600</v>
      </c>
      <c r="AB9" s="371">
        <f t="shared" si="0"/>
        <v>16738600</v>
      </c>
      <c r="AC9" s="371">
        <f t="shared" si="0"/>
        <v>15651234</v>
      </c>
      <c r="AD9" s="381">
        <f>+AA9-O9</f>
        <v>1614135</v>
      </c>
      <c r="AE9" s="371">
        <f t="shared" si="1"/>
        <v>1614135</v>
      </c>
      <c r="AF9" s="371">
        <f t="shared" si="2"/>
        <v>1085990</v>
      </c>
      <c r="AG9" s="26"/>
      <c r="AH9" s="26"/>
      <c r="AI9" s="26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0"/>
      <c r="AV9" s="30"/>
      <c r="AW9" s="30"/>
    </row>
    <row r="10" spans="1:51" s="374" customFormat="1" ht="30" customHeight="1" thickBot="1">
      <c r="A10" s="361" t="s">
        <v>43</v>
      </c>
      <c r="B10" s="373" t="s">
        <v>160</v>
      </c>
      <c r="C10" s="360">
        <f>+'4 b.sz.mell.'!D51</f>
        <v>140000</v>
      </c>
      <c r="D10" s="360">
        <f>+'4 b.sz.mell.'!E51</f>
        <v>140000</v>
      </c>
      <c r="E10" s="360">
        <f>+'4 b.sz.mell.'!F51</f>
        <v>93041</v>
      </c>
      <c r="F10" s="360">
        <v>0</v>
      </c>
      <c r="G10" s="360">
        <v>0</v>
      </c>
      <c r="H10" s="360">
        <v>0</v>
      </c>
      <c r="I10" s="360">
        <f>+'4 b.sz.mell.'!G51</f>
        <v>2800000</v>
      </c>
      <c r="J10" s="360">
        <f>+'4 b.sz.mell.'!H51</f>
        <v>2800000</v>
      </c>
      <c r="K10" s="360">
        <f>+'4 b.sz.mell.'!I51</f>
        <v>2800000</v>
      </c>
      <c r="L10" s="360">
        <v>0</v>
      </c>
      <c r="M10" s="360">
        <v>0</v>
      </c>
      <c r="N10" s="360">
        <v>0</v>
      </c>
      <c r="O10" s="360">
        <f>+'4 b.sz.mell.'!V51</f>
        <v>3439292</v>
      </c>
      <c r="P10" s="360">
        <f>+'4 b.sz.mell.'!W51</f>
        <v>3439292</v>
      </c>
      <c r="Q10" s="360">
        <f>+'4 b.sz.mell.'!X51</f>
        <v>3324486</v>
      </c>
      <c r="R10" s="360">
        <v>0</v>
      </c>
      <c r="S10" s="360">
        <v>0</v>
      </c>
      <c r="T10" s="360">
        <v>0</v>
      </c>
      <c r="U10" s="360">
        <v>0</v>
      </c>
      <c r="V10" s="360"/>
      <c r="W10" s="360"/>
      <c r="X10" s="360">
        <f>+'4 b.sz.mell.'!S51</f>
        <v>248208</v>
      </c>
      <c r="Y10" s="360">
        <f>+'4 b.sz.mell.'!T51</f>
        <v>248208</v>
      </c>
      <c r="Z10" s="360">
        <f>+'4 b.sz.mell.'!U51</f>
        <v>248208</v>
      </c>
      <c r="AA10" s="371">
        <f t="shared" si="0"/>
        <v>6627500</v>
      </c>
      <c r="AB10" s="371">
        <f t="shared" si="0"/>
        <v>6627500</v>
      </c>
      <c r="AC10" s="371">
        <f t="shared" si="0"/>
        <v>6465735</v>
      </c>
      <c r="AD10" s="381">
        <f>+AA10-O10</f>
        <v>3188208</v>
      </c>
      <c r="AE10" s="371">
        <f t="shared" si="1"/>
        <v>3188208</v>
      </c>
      <c r="AF10" s="371">
        <f t="shared" si="2"/>
        <v>3141249</v>
      </c>
      <c r="AG10" s="26"/>
      <c r="AH10" s="26"/>
      <c r="AI10" s="26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0"/>
      <c r="AV10" s="30"/>
      <c r="AW10" s="30"/>
    </row>
    <row r="11" spans="1:51" s="374" customFormat="1" ht="30" customHeight="1" thickBot="1">
      <c r="A11" s="361" t="s">
        <v>156</v>
      </c>
      <c r="B11" s="375" t="s">
        <v>164</v>
      </c>
      <c r="C11" s="360">
        <f>+'4 b.sz.mell.'!D61</f>
        <v>21270000</v>
      </c>
      <c r="D11" s="360">
        <f>+'4 b.sz.mell.'!E61</f>
        <v>21270000</v>
      </c>
      <c r="E11" s="360">
        <f>+'4 b.sz.mell.'!F61</f>
        <v>23255766</v>
      </c>
      <c r="F11" s="360">
        <v>0</v>
      </c>
      <c r="G11" s="360">
        <v>0</v>
      </c>
      <c r="H11" s="360">
        <v>0</v>
      </c>
      <c r="I11" s="360">
        <f>+'4 b.sz.mell.'!G61</f>
        <v>0</v>
      </c>
      <c r="J11" s="360">
        <f>+'4 b.sz.mell.'!H61</f>
        <v>4030222</v>
      </c>
      <c r="K11" s="360">
        <f>+'4 b.sz.mell.'!I61</f>
        <v>3040879</v>
      </c>
      <c r="L11" s="360">
        <v>0</v>
      </c>
      <c r="M11" s="360">
        <v>0</v>
      </c>
      <c r="N11" s="360">
        <v>0</v>
      </c>
      <c r="O11" s="360">
        <f>+'4 b.sz.mell.'!V61</f>
        <v>88274163</v>
      </c>
      <c r="P11" s="360">
        <f>+'4 b.sz.mell.'!W61</f>
        <v>88274163</v>
      </c>
      <c r="Q11" s="360">
        <f>+'4 b.sz.mell.'!X61</f>
        <v>80728845</v>
      </c>
      <c r="R11" s="360">
        <v>0</v>
      </c>
      <c r="S11" s="360">
        <v>0</v>
      </c>
      <c r="T11" s="360">
        <v>0</v>
      </c>
      <c r="U11" s="360">
        <v>0</v>
      </c>
      <c r="V11" s="360"/>
      <c r="W11" s="360"/>
      <c r="X11" s="360">
        <f>+'4 b.sz.mell.'!S61</f>
        <v>1003637</v>
      </c>
      <c r="Y11" s="360">
        <f>+'4 b.sz.mell.'!T61</f>
        <v>1003637</v>
      </c>
      <c r="Z11" s="360">
        <f>+'4 b.sz.mell.'!U61</f>
        <v>1003637</v>
      </c>
      <c r="AA11" s="371">
        <f t="shared" si="0"/>
        <v>110547800</v>
      </c>
      <c r="AB11" s="371">
        <f t="shared" si="0"/>
        <v>114578022</v>
      </c>
      <c r="AC11" s="371">
        <f>+Z11+Q11+N11+K11+H11+E11+T11+W11</f>
        <v>108029127</v>
      </c>
      <c r="AD11" s="381">
        <f>+AA11-O11</f>
        <v>22273637</v>
      </c>
      <c r="AE11" s="371">
        <f t="shared" si="1"/>
        <v>26303859</v>
      </c>
      <c r="AF11" s="371">
        <f t="shared" si="2"/>
        <v>27300282</v>
      </c>
      <c r="AG11" s="26"/>
      <c r="AH11" s="26" t="s">
        <v>588</v>
      </c>
      <c r="AI11" s="26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0"/>
      <c r="AV11" s="30"/>
      <c r="AW11" s="30"/>
    </row>
    <row r="12" spans="1:51" s="374" customFormat="1" ht="36.75" customHeight="1" thickBot="1">
      <c r="A12" s="663" t="s">
        <v>44</v>
      </c>
      <c r="B12" s="663"/>
      <c r="C12" s="359">
        <f t="shared" ref="C12:V12" si="3">SUM(C7:C11)</f>
        <v>56025000</v>
      </c>
      <c r="D12" s="359">
        <f t="shared" ref="D12:L12" si="4">SUM(D7:D11)</f>
        <v>60881442</v>
      </c>
      <c r="E12" s="359">
        <f t="shared" ref="E12" si="5">SUM(E7:E11)</f>
        <v>63589598</v>
      </c>
      <c r="F12" s="359">
        <f t="shared" si="4"/>
        <v>59270000</v>
      </c>
      <c r="G12" s="359">
        <f t="shared" si="4"/>
        <v>59270000</v>
      </c>
      <c r="H12" s="359">
        <f t="shared" ref="H12" si="6">SUM(H7:H11)</f>
        <v>82020727</v>
      </c>
      <c r="I12" s="359">
        <f t="shared" si="4"/>
        <v>339511437</v>
      </c>
      <c r="J12" s="359">
        <f t="shared" si="4"/>
        <v>433172823</v>
      </c>
      <c r="K12" s="359">
        <f t="shared" ref="K12" si="7">SUM(K7:K11)</f>
        <v>401276744</v>
      </c>
      <c r="L12" s="359">
        <f t="shared" si="4"/>
        <v>0</v>
      </c>
      <c r="M12" s="359">
        <v>0</v>
      </c>
      <c r="N12" s="359">
        <v>0</v>
      </c>
      <c r="O12" s="359">
        <f t="shared" si="3"/>
        <v>203961334</v>
      </c>
      <c r="P12" s="359">
        <f t="shared" si="3"/>
        <v>216209334</v>
      </c>
      <c r="Q12" s="359">
        <f t="shared" ref="Q12" si="8">SUM(Q7:Q11)</f>
        <v>206655461</v>
      </c>
      <c r="R12" s="359">
        <f t="shared" si="3"/>
        <v>0</v>
      </c>
      <c r="S12" s="359">
        <f t="shared" si="3"/>
        <v>87000</v>
      </c>
      <c r="T12" s="359">
        <f t="shared" ref="T12" si="9">SUM(T7:T11)</f>
        <v>537000</v>
      </c>
      <c r="U12" s="359">
        <f t="shared" si="3"/>
        <v>0</v>
      </c>
      <c r="V12" s="359">
        <f t="shared" si="3"/>
        <v>10751039</v>
      </c>
      <c r="W12" s="359">
        <f t="shared" ref="W12" si="10">SUM(W7:W11)</f>
        <v>10751039</v>
      </c>
      <c r="X12" s="359">
        <f t="shared" ref="X12:AD12" si="11">SUM(X7:X11)</f>
        <v>416948898</v>
      </c>
      <c r="Y12" s="359">
        <f>SUM(Y7:Y11)</f>
        <v>420153306</v>
      </c>
      <c r="Z12" s="359">
        <f>SUM(Z7:Z11)</f>
        <v>420153306</v>
      </c>
      <c r="AA12" s="371">
        <f>SUM(AA7:AA11)</f>
        <v>1075716669</v>
      </c>
      <c r="AB12" s="371">
        <f t="shared" si="11"/>
        <v>1200524944</v>
      </c>
      <c r="AC12" s="371">
        <f>SUM(AC7:AC11)</f>
        <v>1184983875</v>
      </c>
      <c r="AD12" s="381">
        <f t="shared" si="11"/>
        <v>871755335</v>
      </c>
      <c r="AE12" s="371">
        <f t="shared" ref="AE12" si="12">SUM(AE7:AE11)</f>
        <v>984315610</v>
      </c>
      <c r="AF12" s="371">
        <f t="shared" ref="AF12" si="13">SUM(AF7:AF11)</f>
        <v>978328414</v>
      </c>
      <c r="AG12" s="26"/>
      <c r="AH12" s="26">
        <f>+'4 b.sz.mell.'!J62+'4 b.sz.mell.'!P62</f>
        <v>108818441</v>
      </c>
      <c r="AI12" s="26">
        <f>+'4 b.sz.mell.'!K62+'4 b.sz.mell.'!Q62</f>
        <v>135971539</v>
      </c>
      <c r="AJ12" s="26">
        <v>103761386</v>
      </c>
      <c r="AK12" s="26">
        <v>116094</v>
      </c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</row>
    <row r="13" spans="1:51">
      <c r="AJ13" s="26" t="s">
        <v>656</v>
      </c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</row>
    <row r="14" spans="1:51" hidden="1">
      <c r="S14" s="26">
        <f>+'4 b.sz.mell.'!V62</f>
        <v>203961334</v>
      </c>
      <c r="T14" s="26">
        <f>+'4 b.sz.mell.'!W62</f>
        <v>216209334</v>
      </c>
      <c r="U14" s="26">
        <f>+'4 b.sz.mell.'!S62</f>
        <v>416948898</v>
      </c>
      <c r="W14" s="26">
        <f>+'4 b.sz.mell.'!AE62-'4 b.sz.mell.'!J62</f>
        <v>1075716669</v>
      </c>
      <c r="Y14" s="26">
        <f>+'4 b.sz.mell.'!AE62-'4 b.sz.mell.'!J62-'4 b.sz.mell.'!V62</f>
        <v>871755335</v>
      </c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</row>
    <row r="15" spans="1:51" hidden="1">
      <c r="C15" s="26">
        <f>+'4 b.sz.mell.'!D62</f>
        <v>56025000</v>
      </c>
      <c r="D15" s="26">
        <f>+'4 b.sz.mell.'!E62</f>
        <v>60881442</v>
      </c>
      <c r="E15" s="26">
        <f>+'4 b.sz.mell.'!AB62</f>
        <v>59270000</v>
      </c>
      <c r="F15" s="26">
        <f>+'4 b.sz.mell.'!AC62</f>
        <v>59270000</v>
      </c>
      <c r="G15" s="26">
        <f>+'4 b.sz.mell.'!G62</f>
        <v>339511437</v>
      </c>
      <c r="H15" s="26">
        <f>+'4 b.sz.mell.'!H62</f>
        <v>433172823</v>
      </c>
      <c r="K15" s="26">
        <f>+'4 b.sz.mell.'!V62</f>
        <v>203961334</v>
      </c>
      <c r="L15" s="26">
        <f>+'4 b.sz.mell.'!W62</f>
        <v>216209334</v>
      </c>
      <c r="M15" s="26">
        <f>+'4 b.sz.mell.'!M62</f>
        <v>0</v>
      </c>
      <c r="N15" s="26">
        <f>+'4 b.sz.mell.'!N62</f>
        <v>87000</v>
      </c>
      <c r="O15" s="26">
        <f>+'4 b.sz.mell.'!Y62</f>
        <v>0</v>
      </c>
      <c r="P15" s="26">
        <f>+'4 b.sz.mell.'!Z62</f>
        <v>10751039</v>
      </c>
      <c r="Q15" s="26">
        <f>+'4 b.sz.mell.'!S62</f>
        <v>416948898</v>
      </c>
      <c r="R15" s="26">
        <f>+'4 b.sz.mell.'!T62</f>
        <v>420153306</v>
      </c>
      <c r="S15" s="26">
        <f>+'4 b.sz.mell.'!AE62-'4 b.sz.mell.'!J62</f>
        <v>1075716669</v>
      </c>
      <c r="T15" s="26">
        <f>+'4 b.sz.mell.'!AF62-'4 b.sz.mell.'!K62</f>
        <v>1200629944</v>
      </c>
      <c r="U15" s="26">
        <f>+'4 b.sz.mell.'!N64-'4 b.sz.mell.'!J62</f>
        <v>871755335</v>
      </c>
      <c r="V15" s="26">
        <f>+'4 b.sz.mell.'!AF62-'4 b.sz.mell.'!W62-'4 b.sz.mell.'!Q62-'4 b.sz.mell.'!K62</f>
        <v>984315610</v>
      </c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</row>
    <row r="16" spans="1:51" hidden="1">
      <c r="AM16" s="26"/>
      <c r="AN16" s="26"/>
      <c r="AO16" s="26"/>
      <c r="AP16" s="26"/>
      <c r="AQ16" s="26"/>
    </row>
    <row r="17" spans="1:63" ht="15.75" customHeight="1" thickBot="1">
      <c r="A17" s="667" t="s">
        <v>28</v>
      </c>
      <c r="B17" s="668"/>
      <c r="C17" s="668"/>
      <c r="D17" s="668"/>
      <c r="E17" s="668"/>
      <c r="F17" s="668"/>
      <c r="G17" s="668"/>
      <c r="H17" s="668"/>
      <c r="I17" s="668"/>
      <c r="J17" s="668"/>
      <c r="K17" s="668"/>
      <c r="L17" s="668"/>
      <c r="M17" s="669"/>
      <c r="N17" s="669"/>
      <c r="O17" s="669"/>
      <c r="P17" s="669"/>
      <c r="Q17" s="669"/>
      <c r="R17" s="669"/>
      <c r="S17" s="669"/>
      <c r="T17" s="669"/>
      <c r="AM17" s="26"/>
      <c r="AN17" s="26"/>
      <c r="AO17" s="26"/>
      <c r="AP17" s="26"/>
      <c r="AQ17" s="26"/>
    </row>
    <row r="18" spans="1:63" ht="99.95" customHeight="1" thickBot="1">
      <c r="A18" s="660" t="s">
        <v>29</v>
      </c>
      <c r="B18" s="661"/>
      <c r="C18" s="653" t="s">
        <v>224</v>
      </c>
      <c r="D18" s="654"/>
      <c r="E18" s="655"/>
      <c r="F18" s="653" t="s">
        <v>161</v>
      </c>
      <c r="G18" s="654"/>
      <c r="H18" s="655"/>
      <c r="I18" s="653" t="s">
        <v>162</v>
      </c>
      <c r="J18" s="654"/>
      <c r="K18" s="655"/>
      <c r="L18" s="653" t="s">
        <v>33</v>
      </c>
      <c r="M18" s="654"/>
      <c r="N18" s="655"/>
      <c r="O18" s="656" t="s">
        <v>182</v>
      </c>
      <c r="P18" s="657"/>
      <c r="Q18" s="658"/>
      <c r="R18" s="653" t="s">
        <v>34</v>
      </c>
      <c r="S18" s="654"/>
      <c r="T18" s="655"/>
      <c r="U18" s="653" t="s">
        <v>393</v>
      </c>
      <c r="V18" s="654"/>
      <c r="W18" s="655"/>
      <c r="X18" s="653" t="s">
        <v>261</v>
      </c>
      <c r="Y18" s="654"/>
      <c r="Z18" s="655"/>
      <c r="AA18" s="653" t="s">
        <v>35</v>
      </c>
      <c r="AB18" s="654"/>
      <c r="AC18" s="655"/>
      <c r="AD18" s="435" t="s">
        <v>184</v>
      </c>
      <c r="AE18" s="435" t="s">
        <v>184</v>
      </c>
      <c r="AF18" s="435" t="s">
        <v>184</v>
      </c>
      <c r="AG18" s="31"/>
      <c r="AH18" s="31"/>
      <c r="AI18" s="31"/>
      <c r="AJ18" s="31"/>
      <c r="AK18" s="31"/>
      <c r="AL18" s="31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</row>
    <row r="19" spans="1:63" ht="30.75" thickBot="1">
      <c r="A19" s="184" t="s">
        <v>36</v>
      </c>
      <c r="B19" s="185"/>
      <c r="C19" s="372" t="s">
        <v>183</v>
      </c>
      <c r="D19" s="436" t="s">
        <v>491</v>
      </c>
      <c r="E19" s="436" t="s">
        <v>645</v>
      </c>
      <c r="F19" s="372" t="s">
        <v>183</v>
      </c>
      <c r="G19" s="436" t="s">
        <v>491</v>
      </c>
      <c r="H19" s="436" t="s">
        <v>645</v>
      </c>
      <c r="I19" s="372" t="s">
        <v>183</v>
      </c>
      <c r="J19" s="436" t="s">
        <v>491</v>
      </c>
      <c r="K19" s="436" t="s">
        <v>645</v>
      </c>
      <c r="L19" s="372" t="s">
        <v>183</v>
      </c>
      <c r="M19" s="436" t="s">
        <v>491</v>
      </c>
      <c r="N19" s="436" t="s">
        <v>645</v>
      </c>
      <c r="O19" s="372" t="s">
        <v>183</v>
      </c>
      <c r="P19" s="436" t="s">
        <v>491</v>
      </c>
      <c r="Q19" s="436" t="s">
        <v>645</v>
      </c>
      <c r="R19" s="372" t="s">
        <v>183</v>
      </c>
      <c r="S19" s="436" t="s">
        <v>491</v>
      </c>
      <c r="T19" s="436" t="s">
        <v>645</v>
      </c>
      <c r="U19" s="372" t="s">
        <v>183</v>
      </c>
      <c r="V19" s="436" t="s">
        <v>491</v>
      </c>
      <c r="W19" s="436" t="s">
        <v>645</v>
      </c>
      <c r="X19" s="372" t="s">
        <v>183</v>
      </c>
      <c r="Y19" s="436" t="s">
        <v>491</v>
      </c>
      <c r="Z19" s="436" t="s">
        <v>645</v>
      </c>
      <c r="AA19" s="372" t="s">
        <v>183</v>
      </c>
      <c r="AB19" s="436" t="s">
        <v>491</v>
      </c>
      <c r="AC19" s="436" t="s">
        <v>645</v>
      </c>
      <c r="AD19" s="372" t="s">
        <v>183</v>
      </c>
      <c r="AE19" s="436" t="s">
        <v>491</v>
      </c>
      <c r="AF19" s="436" t="s">
        <v>646</v>
      </c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</row>
    <row r="20" spans="1:63" ht="30" customHeight="1" thickBot="1">
      <c r="A20" s="186" t="s">
        <v>38</v>
      </c>
      <c r="B20" s="187" t="s">
        <v>149</v>
      </c>
      <c r="C20" s="360">
        <f>+'4.a sz.mell.'!D43</f>
        <v>89229309</v>
      </c>
      <c r="D20" s="360">
        <f>+'4.a sz.mell.'!E43</f>
        <v>122974941</v>
      </c>
      <c r="E20" s="360">
        <f>+'4.a sz.mell.'!F43</f>
        <v>112317897</v>
      </c>
      <c r="F20" s="376">
        <f>+'4.a sz.mell.'!G43</f>
        <v>16036262</v>
      </c>
      <c r="G20" s="376">
        <f>+'4.a sz.mell.'!H43</f>
        <v>19363783</v>
      </c>
      <c r="H20" s="376">
        <f>+'4.a sz.mell.'!I43</f>
        <v>18029189</v>
      </c>
      <c r="I20" s="376">
        <f>+'4.a sz.mell.'!J43</f>
        <v>159216668</v>
      </c>
      <c r="J20" s="376">
        <f>+'4.a sz.mell.'!K43</f>
        <v>184455169</v>
      </c>
      <c r="K20" s="376">
        <f>+'4.a sz.mell.'!L43</f>
        <v>103998364</v>
      </c>
      <c r="L20" s="376">
        <f>+'4.a sz.mell.'!M43</f>
        <v>84547133</v>
      </c>
      <c r="M20" s="376">
        <f>+'4.a sz.mell.'!N43</f>
        <v>251139954</v>
      </c>
      <c r="N20" s="376">
        <f>+'4.a sz.mell.'!O43</f>
        <v>246406707</v>
      </c>
      <c r="O20" s="377">
        <f>+'4 b.sz.mell.'!V62</f>
        <v>203961334</v>
      </c>
      <c r="P20" s="377">
        <f>+'4 b.sz.mell.'!W62</f>
        <v>216209334</v>
      </c>
      <c r="Q20" s="377">
        <f>+'4 b.sz.mell.'!X62</f>
        <v>206655461</v>
      </c>
      <c r="R20" s="376">
        <f>+'4.a sz.mell.'!P66</f>
        <v>4767000</v>
      </c>
      <c r="S20" s="376">
        <f>+'4.a sz.mell.'!Q66</f>
        <v>4767000</v>
      </c>
      <c r="T20" s="376">
        <f>+'4.a sz.mell.'!R66</f>
        <v>2440422</v>
      </c>
      <c r="U20" s="380">
        <f>+'4.a sz.mell.'!Y43</f>
        <v>1643568</v>
      </c>
      <c r="V20" s="380">
        <f>+'4.a sz.mell.'!Z43</f>
        <v>898197</v>
      </c>
      <c r="W20" s="380">
        <f>+'4.a sz.mell.'!AA43</f>
        <v>742256</v>
      </c>
      <c r="X20" s="376">
        <f>+'4.a sz.mell.'!V66</f>
        <v>10420711</v>
      </c>
      <c r="Y20" s="376">
        <f>+'4.a sz.mell.'!W66</f>
        <v>10420711</v>
      </c>
      <c r="Z20" s="376">
        <f>+'4.a sz.mell.'!X66</f>
        <v>10420711</v>
      </c>
      <c r="AA20" s="378">
        <f t="shared" ref="AA20:AC25" si="14">+X20+R20+O20+L20+I20+F20+C20+U20</f>
        <v>569821985</v>
      </c>
      <c r="AB20" s="378">
        <f t="shared" si="14"/>
        <v>810229089</v>
      </c>
      <c r="AC20" s="378">
        <f t="shared" si="14"/>
        <v>701011007</v>
      </c>
      <c r="AD20" s="379">
        <f t="shared" ref="AD20:AF25" si="15">+AA20-O20</f>
        <v>365860651</v>
      </c>
      <c r="AE20" s="379">
        <f t="shared" si="15"/>
        <v>594019755</v>
      </c>
      <c r="AF20" s="379">
        <f t="shared" si="15"/>
        <v>494355546</v>
      </c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</row>
    <row r="21" spans="1:63" ht="30" customHeight="1" thickBot="1">
      <c r="A21" s="186" t="s">
        <v>39</v>
      </c>
      <c r="B21" s="187" t="s">
        <v>40</v>
      </c>
      <c r="C21" s="360">
        <f>+'4.a sz.mell.'!D48</f>
        <v>71480000</v>
      </c>
      <c r="D21" s="360">
        <f>+'4.a sz.mell.'!E48</f>
        <v>86859872</v>
      </c>
      <c r="E21" s="360">
        <f>+'4.a sz.mell.'!F48</f>
        <v>85719111</v>
      </c>
      <c r="F21" s="376">
        <f>+'4.a sz.mell.'!G48</f>
        <v>13820000</v>
      </c>
      <c r="G21" s="376">
        <f>+'4.a sz.mell.'!H48</f>
        <v>16826985</v>
      </c>
      <c r="H21" s="376">
        <f>+'4.a sz.mell.'!I48</f>
        <v>16064315</v>
      </c>
      <c r="I21" s="376">
        <f>+'4.a sz.mell.'!J48</f>
        <v>12850000</v>
      </c>
      <c r="J21" s="376">
        <f>+'4.a sz.mell.'!K48</f>
        <v>12928860</v>
      </c>
      <c r="K21" s="376">
        <f>+'4.a sz.mell.'!L48</f>
        <v>12665984</v>
      </c>
      <c r="L21" s="376">
        <f>+'4.a sz.mell.'!M48</f>
        <v>0</v>
      </c>
      <c r="M21" s="376">
        <f>+'4.a sz.mell.'!N48</f>
        <v>108328</v>
      </c>
      <c r="N21" s="376">
        <f>+'4.a sz.mell.'!O48</f>
        <v>108328</v>
      </c>
      <c r="O21" s="377"/>
      <c r="P21" s="377"/>
      <c r="Q21" s="377"/>
      <c r="R21" s="376">
        <v>0</v>
      </c>
      <c r="S21" s="376">
        <v>0</v>
      </c>
      <c r="T21" s="376">
        <v>0</v>
      </c>
      <c r="U21" s="376">
        <f>+'4.a sz.mell.'!Y48</f>
        <v>0</v>
      </c>
      <c r="V21" s="376">
        <f>+'4.a sz.mell.'!Z48</f>
        <v>0</v>
      </c>
      <c r="W21" s="376">
        <f>+'4.a sz.mell.'!AA48</f>
        <v>0</v>
      </c>
      <c r="X21" s="376">
        <v>0</v>
      </c>
      <c r="Y21" s="376">
        <v>0</v>
      </c>
      <c r="Z21" s="376">
        <v>0</v>
      </c>
      <c r="AA21" s="378">
        <f t="shared" si="14"/>
        <v>98150000</v>
      </c>
      <c r="AB21" s="378">
        <f t="shared" si="14"/>
        <v>116724045</v>
      </c>
      <c r="AC21" s="378">
        <f t="shared" si="14"/>
        <v>114557738</v>
      </c>
      <c r="AD21" s="379">
        <f t="shared" si="15"/>
        <v>98150000</v>
      </c>
      <c r="AE21" s="379">
        <f t="shared" si="15"/>
        <v>116724045</v>
      </c>
      <c r="AF21" s="379">
        <f t="shared" si="15"/>
        <v>114557738</v>
      </c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</row>
    <row r="22" spans="1:63" ht="30" customHeight="1" thickBot="1">
      <c r="A22" s="186" t="s">
        <v>41</v>
      </c>
      <c r="B22" s="187" t="s">
        <v>42</v>
      </c>
      <c r="C22" s="360">
        <f>+'4.a sz.mell.'!D53</f>
        <v>7326600</v>
      </c>
      <c r="D22" s="360">
        <f>+'4.a sz.mell.'!E53</f>
        <v>7738080</v>
      </c>
      <c r="E22" s="360">
        <f>+'4.a sz.mell.'!F53</f>
        <v>7306400</v>
      </c>
      <c r="F22" s="376">
        <f>+'4.a sz.mell.'!G53</f>
        <v>1255000</v>
      </c>
      <c r="G22" s="376">
        <f>+'4.a sz.mell.'!H53</f>
        <v>1387310</v>
      </c>
      <c r="H22" s="376">
        <f>+'4.a sz.mell.'!I53</f>
        <v>1208844</v>
      </c>
      <c r="I22" s="376">
        <f>+'4.a sz.mell.'!J53</f>
        <v>8010000</v>
      </c>
      <c r="J22" s="376">
        <f>+'4.a sz.mell.'!K53</f>
        <v>7466210</v>
      </c>
      <c r="K22" s="376">
        <f>+'4.a sz.mell.'!L53</f>
        <v>6939675</v>
      </c>
      <c r="L22" s="376">
        <f>+'4.a sz.mell.'!M53</f>
        <v>20000</v>
      </c>
      <c r="M22" s="376">
        <f>+'4.a sz.mell.'!N53</f>
        <v>20000</v>
      </c>
      <c r="N22" s="376">
        <f>+'4.a sz.mell.'!O53</f>
        <v>20000</v>
      </c>
      <c r="O22" s="377"/>
      <c r="P22" s="377"/>
      <c r="Q22" s="377"/>
      <c r="R22" s="376">
        <v>0</v>
      </c>
      <c r="S22" s="376">
        <v>0</v>
      </c>
      <c r="T22" s="376">
        <v>0</v>
      </c>
      <c r="U22" s="376">
        <f>+'4.a sz.mell.'!Y53</f>
        <v>0</v>
      </c>
      <c r="V22" s="376">
        <f>+'4.a sz.mell.'!Z53</f>
        <v>0</v>
      </c>
      <c r="W22" s="376">
        <f>+'4.a sz.mell.'!AA53</f>
        <v>0</v>
      </c>
      <c r="X22" s="376">
        <v>0</v>
      </c>
      <c r="Y22" s="376">
        <v>0</v>
      </c>
      <c r="Z22" s="376">
        <v>0</v>
      </c>
      <c r="AA22" s="378">
        <f t="shared" si="14"/>
        <v>16611600</v>
      </c>
      <c r="AB22" s="378">
        <f t="shared" si="14"/>
        <v>16611600</v>
      </c>
      <c r="AC22" s="378">
        <f t="shared" si="14"/>
        <v>15474919</v>
      </c>
      <c r="AD22" s="379">
        <f t="shared" si="15"/>
        <v>16611600</v>
      </c>
      <c r="AE22" s="379">
        <f t="shared" si="15"/>
        <v>16611600</v>
      </c>
      <c r="AF22" s="379">
        <f t="shared" si="15"/>
        <v>15474919</v>
      </c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</row>
    <row r="23" spans="1:63" ht="30" customHeight="1" thickBot="1">
      <c r="A23" s="186" t="s">
        <v>43</v>
      </c>
      <c r="B23" s="187" t="s">
        <v>160</v>
      </c>
      <c r="C23" s="360">
        <f>+'4.a sz.mell.'!D56</f>
        <v>3350000</v>
      </c>
      <c r="D23" s="360">
        <f>+'4.a sz.mell.'!E56</f>
        <v>3350000</v>
      </c>
      <c r="E23" s="360">
        <f>+'4.a sz.mell.'!F56</f>
        <v>3222900</v>
      </c>
      <c r="F23" s="376">
        <f>+'4.a sz.mell.'!G56</f>
        <v>650000</v>
      </c>
      <c r="G23" s="376">
        <f>+'4.a sz.mell.'!H56</f>
        <v>650000</v>
      </c>
      <c r="H23" s="376">
        <f>+'4.a sz.mell.'!I56</f>
        <v>601586</v>
      </c>
      <c r="I23" s="376">
        <f>+'4.a sz.mell.'!J56</f>
        <v>2310000</v>
      </c>
      <c r="J23" s="376">
        <f>+'4.a sz.mell.'!K56</f>
        <v>2330000</v>
      </c>
      <c r="K23" s="376">
        <f>+'4.a sz.mell.'!L56</f>
        <v>2086305</v>
      </c>
      <c r="L23" s="376">
        <v>0</v>
      </c>
      <c r="M23" s="376">
        <v>0</v>
      </c>
      <c r="N23" s="376">
        <v>0</v>
      </c>
      <c r="O23" s="377"/>
      <c r="P23" s="377"/>
      <c r="Q23" s="377"/>
      <c r="R23" s="376">
        <v>0</v>
      </c>
      <c r="S23" s="376">
        <v>0</v>
      </c>
      <c r="T23" s="376">
        <v>0</v>
      </c>
      <c r="U23" s="376">
        <f>+'4.a sz.mell.'!Y56</f>
        <v>0</v>
      </c>
      <c r="V23" s="376">
        <f>+'4.a sz.mell.'!Z56</f>
        <v>0</v>
      </c>
      <c r="W23" s="376">
        <f>+'4.a sz.mell.'!AA56</f>
        <v>0</v>
      </c>
      <c r="X23" s="376">
        <v>0</v>
      </c>
      <c r="Y23" s="376">
        <v>0</v>
      </c>
      <c r="Z23" s="376">
        <v>0</v>
      </c>
      <c r="AA23" s="378">
        <f t="shared" si="14"/>
        <v>6310000</v>
      </c>
      <c r="AB23" s="378">
        <f t="shared" si="14"/>
        <v>6330000</v>
      </c>
      <c r="AC23" s="378">
        <f t="shared" si="14"/>
        <v>5910791</v>
      </c>
      <c r="AD23" s="379">
        <f t="shared" si="15"/>
        <v>6310000</v>
      </c>
      <c r="AE23" s="379">
        <f t="shared" si="15"/>
        <v>6330000</v>
      </c>
      <c r="AF23" s="379">
        <f t="shared" si="15"/>
        <v>5910791</v>
      </c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</row>
    <row r="24" spans="1:63" ht="30" customHeight="1" thickBot="1">
      <c r="A24" s="186" t="s">
        <v>156</v>
      </c>
      <c r="B24" s="188" t="s">
        <v>164</v>
      </c>
      <c r="C24" s="360">
        <f>+'4.a sz.mell.'!D65</f>
        <v>40900000</v>
      </c>
      <c r="D24" s="360">
        <f>+'4.a sz.mell.'!E65</f>
        <v>44358742</v>
      </c>
      <c r="E24" s="360">
        <f>+'4.a sz.mell.'!F65</f>
        <v>42957999</v>
      </c>
      <c r="F24" s="376">
        <f>+'4.a sz.mell.'!G65</f>
        <v>7837800</v>
      </c>
      <c r="G24" s="376">
        <f>+'4.a sz.mell.'!H65</f>
        <v>8939530</v>
      </c>
      <c r="H24" s="376">
        <f>+'4.a sz.mell.'!I65</f>
        <v>8003086</v>
      </c>
      <c r="I24" s="376">
        <f>+'4.a sz.mell.'!J65</f>
        <v>61180000</v>
      </c>
      <c r="J24" s="376">
        <f>+'4.a sz.mell.'!K65</f>
        <v>60569944</v>
      </c>
      <c r="K24" s="376">
        <f>+'4.a sz.mell.'!L65</f>
        <v>55087265</v>
      </c>
      <c r="L24" s="376">
        <v>0</v>
      </c>
      <c r="M24" s="376">
        <v>0</v>
      </c>
      <c r="N24" s="376">
        <v>0</v>
      </c>
      <c r="O24" s="377"/>
      <c r="P24" s="377"/>
      <c r="Q24" s="377"/>
      <c r="R24" s="376">
        <v>0</v>
      </c>
      <c r="S24" s="376">
        <v>0</v>
      </c>
      <c r="T24" s="376">
        <v>0</v>
      </c>
      <c r="U24" s="376">
        <f>+'4.a sz.mell.'!Y65</f>
        <v>0</v>
      </c>
      <c r="V24" s="376">
        <f>+'4.a sz.mell.'!Z65</f>
        <v>0</v>
      </c>
      <c r="W24" s="376">
        <f>+'4.a sz.mell.'!AA65</f>
        <v>0</v>
      </c>
      <c r="X24" s="376">
        <v>0</v>
      </c>
      <c r="Y24" s="376">
        <v>0</v>
      </c>
      <c r="Z24" s="376">
        <v>0</v>
      </c>
      <c r="AA24" s="378">
        <f t="shared" si="14"/>
        <v>109917800</v>
      </c>
      <c r="AB24" s="378">
        <f t="shared" si="14"/>
        <v>113868216</v>
      </c>
      <c r="AC24" s="378">
        <f t="shared" si="14"/>
        <v>106048350</v>
      </c>
      <c r="AD24" s="379">
        <f t="shared" si="15"/>
        <v>109917800</v>
      </c>
      <c r="AE24" s="379">
        <f t="shared" si="15"/>
        <v>113868216</v>
      </c>
      <c r="AF24" s="379">
        <f t="shared" si="15"/>
        <v>106048350</v>
      </c>
      <c r="AH24" s="26" t="s">
        <v>589</v>
      </c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</row>
    <row r="25" spans="1:63" ht="15.75" thickBot="1">
      <c r="A25" s="659" t="s">
        <v>44</v>
      </c>
      <c r="B25" s="659"/>
      <c r="C25" s="359">
        <f t="shared" ref="C25:H25" si="16">SUM(C20:C24)</f>
        <v>212285909</v>
      </c>
      <c r="D25" s="359">
        <f t="shared" si="16"/>
        <v>265281635</v>
      </c>
      <c r="E25" s="359">
        <f t="shared" ref="E25" si="17">SUM(E20:E24)</f>
        <v>251524307</v>
      </c>
      <c r="F25" s="380">
        <f t="shared" si="16"/>
        <v>39599062</v>
      </c>
      <c r="G25" s="380">
        <f t="shared" si="16"/>
        <v>47167608</v>
      </c>
      <c r="H25" s="380">
        <f t="shared" si="16"/>
        <v>43907020</v>
      </c>
      <c r="I25" s="380">
        <f t="shared" ref="I25:J25" si="18">SUM(I20:I24)</f>
        <v>243566668</v>
      </c>
      <c r="J25" s="380">
        <f t="shared" si="18"/>
        <v>267750183</v>
      </c>
      <c r="K25" s="380">
        <f t="shared" ref="K25" si="19">SUM(K20:K24)</f>
        <v>180777593</v>
      </c>
      <c r="L25" s="380">
        <f t="shared" ref="L25:M25" si="20">SUM(L20:L24)</f>
        <v>84567133</v>
      </c>
      <c r="M25" s="380">
        <f t="shared" si="20"/>
        <v>251268282</v>
      </c>
      <c r="N25" s="380">
        <f t="shared" ref="N25" si="21">SUM(N20:N24)</f>
        <v>246535035</v>
      </c>
      <c r="O25" s="380">
        <f t="shared" ref="O25:P25" si="22">SUM(O20:O24)</f>
        <v>203961334</v>
      </c>
      <c r="P25" s="380">
        <f t="shared" si="22"/>
        <v>216209334</v>
      </c>
      <c r="Q25" s="380">
        <f t="shared" ref="Q25" si="23">SUM(Q20:Q24)</f>
        <v>206655461</v>
      </c>
      <c r="R25" s="380">
        <f t="shared" ref="R25:X25" si="24">SUM(R20:R24)</f>
        <v>4767000</v>
      </c>
      <c r="S25" s="380">
        <f t="shared" ref="S25:T25" si="25">SUM(S20:S24)</f>
        <v>4767000</v>
      </c>
      <c r="T25" s="380">
        <f t="shared" si="25"/>
        <v>2440422</v>
      </c>
      <c r="U25" s="380">
        <f t="shared" si="24"/>
        <v>1643568</v>
      </c>
      <c r="V25" s="380">
        <f t="shared" ref="V25:W25" si="26">SUM(V20:V24)</f>
        <v>898197</v>
      </c>
      <c r="W25" s="380">
        <f t="shared" si="26"/>
        <v>742256</v>
      </c>
      <c r="X25" s="380">
        <f t="shared" si="24"/>
        <v>10420711</v>
      </c>
      <c r="Y25" s="380">
        <f t="shared" ref="Y25:Z25" si="27">SUM(Y20:Y24)</f>
        <v>10420711</v>
      </c>
      <c r="Z25" s="380">
        <f t="shared" si="27"/>
        <v>10420711</v>
      </c>
      <c r="AA25" s="378">
        <f t="shared" si="14"/>
        <v>800811385</v>
      </c>
      <c r="AB25" s="378">
        <f t="shared" si="14"/>
        <v>1063762950</v>
      </c>
      <c r="AC25" s="378">
        <f t="shared" si="14"/>
        <v>943002805</v>
      </c>
      <c r="AD25" s="379">
        <f t="shared" si="15"/>
        <v>596850051</v>
      </c>
      <c r="AE25" s="379">
        <f t="shared" si="15"/>
        <v>847553616</v>
      </c>
      <c r="AF25" s="379">
        <f t="shared" si="15"/>
        <v>736347344</v>
      </c>
      <c r="AH25" s="26">
        <v>69040854</v>
      </c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</row>
    <row r="26" spans="1:63">
      <c r="AH26" s="26">
        <v>114431181</v>
      </c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</row>
    <row r="27" spans="1:63">
      <c r="C27" s="26">
        <f>+'4.a sz.mell.'!D66</f>
        <v>212285909</v>
      </c>
      <c r="D27" s="26">
        <f>+'4.a sz.mell.'!E66</f>
        <v>265281635</v>
      </c>
      <c r="E27" s="26">
        <f>+'4.a sz.mell.'!F66</f>
        <v>251524307</v>
      </c>
      <c r="F27" s="26">
        <f>+'4.a sz.mell.'!G66</f>
        <v>39599062</v>
      </c>
      <c r="G27" s="26">
        <f>+'4.a sz.mell.'!H66</f>
        <v>47167608</v>
      </c>
      <c r="H27" s="26">
        <f>+'4.a sz.mell.'!I66</f>
        <v>43907020</v>
      </c>
      <c r="I27" s="26">
        <f>+'4.a sz.mell.'!J66</f>
        <v>243566668</v>
      </c>
      <c r="J27" s="26">
        <f>+'4.a sz.mell.'!K66</f>
        <v>267750183</v>
      </c>
      <c r="K27" s="26">
        <f>+'4.a sz.mell.'!L66</f>
        <v>180777593</v>
      </c>
      <c r="L27" s="26">
        <f>+'4.a sz.mell.'!M66</f>
        <v>84567133</v>
      </c>
      <c r="M27" s="26">
        <f>+'4.a sz.mell.'!N66</f>
        <v>251268282</v>
      </c>
      <c r="N27" s="26">
        <f>+'4.a sz.mell.'!O66</f>
        <v>246535035</v>
      </c>
      <c r="O27" s="26">
        <f>+'4 b.sz.mell.'!V62</f>
        <v>203961334</v>
      </c>
      <c r="P27" s="26">
        <f>+'4 b.sz.mell.'!W62</f>
        <v>216209334</v>
      </c>
      <c r="Q27" s="26">
        <f>+'4 b.sz.mell.'!X62</f>
        <v>206655461</v>
      </c>
      <c r="R27" s="26">
        <f>+'4.a sz.mell.'!P66</f>
        <v>4767000</v>
      </c>
      <c r="S27" s="26">
        <f>+'4.a sz.mell.'!Q66</f>
        <v>4767000</v>
      </c>
      <c r="T27" s="26">
        <f>+'4.a sz.mell.'!R66</f>
        <v>2440422</v>
      </c>
      <c r="U27" s="26">
        <f>+'4.a sz.mell.'!Y66</f>
        <v>1643568</v>
      </c>
      <c r="V27" s="26">
        <f>+'4.a sz.mell.'!Z66</f>
        <v>898197</v>
      </c>
      <c r="W27" s="26">
        <f>+'4.a sz.mell.'!AA66</f>
        <v>742256</v>
      </c>
      <c r="X27" s="26">
        <f>+'4.a sz.mell.'!V66</f>
        <v>10420711</v>
      </c>
      <c r="Y27" s="26">
        <f>+'4.a sz.mell.'!W66</f>
        <v>10420711</v>
      </c>
      <c r="Z27" s="26">
        <f>+'4.a sz.mell.'!X66</f>
        <v>10420711</v>
      </c>
      <c r="AA27" s="26">
        <f>+'4.a sz.mell.'!AH66-'4.a sz.mell.'!S66-'4.a sz.mell.'!AB66</f>
        <v>639709977</v>
      </c>
      <c r="AB27" s="26">
        <f>+'4.a sz.mell.'!AI66-'4.a sz.mell.'!T66-'4.a sz.mell.'!AC66</f>
        <v>961984797</v>
      </c>
      <c r="AC27" s="26">
        <f>+'4.a sz.mell.'!AJ66-'4.a sz.mell.'!U66-'4.a sz.mell.'!AD66</f>
        <v>804120029</v>
      </c>
      <c r="AD27" s="26">
        <f>+'4.a sz.mell.'!AH66-'4.a sz.mell.'!AE66-'4.a sz.mell.'!AB66-'4.a sz.mell.'!S66</f>
        <v>596850051</v>
      </c>
      <c r="AE27" s="26">
        <f>+'4.a sz.mell.'!AI66-'4.a sz.mell.'!AF66-'4.a sz.mell.'!AC66-'4.a sz.mell.'!T66</f>
        <v>847553616</v>
      </c>
      <c r="AF27" s="26">
        <f>+'4.a sz.mell.'!AJ66-'4.a sz.mell.'!AG66-'4.a sz.mell.'!AD66-'4.a sz.mell.'!U66</f>
        <v>736347344</v>
      </c>
      <c r="AH27" s="26">
        <f>+AH25+AH26</f>
        <v>183472035</v>
      </c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</row>
    <row r="28" spans="1:63">
      <c r="O28" s="437" t="s">
        <v>444</v>
      </c>
      <c r="P28" s="437" t="s">
        <v>444</v>
      </c>
      <c r="Q28" s="437" t="s">
        <v>444</v>
      </c>
      <c r="R28" s="437" t="s">
        <v>444</v>
      </c>
      <c r="S28" s="437" t="s">
        <v>444</v>
      </c>
      <c r="T28" s="437" t="s">
        <v>444</v>
      </c>
      <c r="AF28" s="26" t="s">
        <v>590</v>
      </c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</row>
    <row r="29" spans="1:63">
      <c r="AF29" s="26">
        <v>89261498</v>
      </c>
      <c r="AM29" s="26"/>
      <c r="AN29" s="26"/>
      <c r="AO29" s="26"/>
      <c r="AP29" s="26"/>
      <c r="AQ29" s="26"/>
      <c r="AR29" s="26"/>
      <c r="AS29" s="26"/>
    </row>
    <row r="30" spans="1:63">
      <c r="AM30" s="26"/>
      <c r="AN30" s="26"/>
      <c r="AO30" s="26"/>
      <c r="AP30" s="26"/>
      <c r="AQ30" s="26"/>
      <c r="AR30" s="26"/>
    </row>
    <row r="31" spans="1:63">
      <c r="V31" s="26">
        <f>+AB25+'4.a sz.mell.'!T66+'4.a sz.mell.'!AC66+'4.a sz.mell.'!AF66</f>
        <v>1336496483</v>
      </c>
      <c r="Y31" s="26">
        <f>+'4.a sz.mell.'!AI66-'4.a sz.mell.'!AC66-'4.a sz.mell.'!AF66-'4.a sz.mell.'!T66</f>
        <v>847553616</v>
      </c>
      <c r="Z31" s="26">
        <f>+'4.a sz.mell.'!AJ66-'4.a sz.mell.'!AD66-'4.a sz.mell.'!AG66-'4.a sz.mell.'!U66</f>
        <v>736347344</v>
      </c>
      <c r="AM31" s="26"/>
      <c r="AN31" s="26"/>
      <c r="AO31" s="26"/>
      <c r="AP31" s="26"/>
    </row>
    <row r="32" spans="1:63">
      <c r="AM32" s="26"/>
      <c r="AN32" s="26"/>
    </row>
    <row r="33" spans="3:39">
      <c r="AM33" s="26"/>
    </row>
    <row r="34" spans="3:39">
      <c r="AM34" s="26"/>
    </row>
    <row r="44" spans="3:39">
      <c r="E44" s="26">
        <v>69409668</v>
      </c>
      <c r="G44" s="26">
        <v>13721179</v>
      </c>
      <c r="I44" s="26">
        <v>12561989</v>
      </c>
      <c r="U44" s="26">
        <v>1498906</v>
      </c>
    </row>
    <row r="45" spans="3:39">
      <c r="C45" s="26" t="s">
        <v>558</v>
      </c>
      <c r="E45" s="26">
        <v>5116204</v>
      </c>
      <c r="G45" s="26">
        <v>937016</v>
      </c>
      <c r="I45" s="26">
        <v>366871</v>
      </c>
      <c r="K45" s="26">
        <v>108328</v>
      </c>
    </row>
    <row r="46" spans="3:39">
      <c r="G46" s="26">
        <v>1107935</v>
      </c>
    </row>
    <row r="47" spans="3:39">
      <c r="E47" s="26">
        <v>5820000</v>
      </c>
      <c r="G47" s="26">
        <v>1060855</v>
      </c>
    </row>
  </sheetData>
  <mergeCells count="28">
    <mergeCell ref="A25:B25"/>
    <mergeCell ref="A18:B18"/>
    <mergeCell ref="AT5:AV5"/>
    <mergeCell ref="A12:B12"/>
    <mergeCell ref="A1:P1"/>
    <mergeCell ref="A2:P2"/>
    <mergeCell ref="A5:B5"/>
    <mergeCell ref="A17:T17"/>
    <mergeCell ref="A4:R4"/>
    <mergeCell ref="C5:E5"/>
    <mergeCell ref="F5:H5"/>
    <mergeCell ref="I5:K5"/>
    <mergeCell ref="L5:N5"/>
    <mergeCell ref="AD5:AF5"/>
    <mergeCell ref="I18:K18"/>
    <mergeCell ref="F18:H18"/>
    <mergeCell ref="C18:E18"/>
    <mergeCell ref="R18:T18"/>
    <mergeCell ref="O18:Q18"/>
    <mergeCell ref="L18:N18"/>
    <mergeCell ref="X18:Z18"/>
    <mergeCell ref="U18:W18"/>
    <mergeCell ref="AA18:AC18"/>
    <mergeCell ref="R5:T5"/>
    <mergeCell ref="O5:Q5"/>
    <mergeCell ref="U5:W5"/>
    <mergeCell ref="X5:Z5"/>
    <mergeCell ref="AA5:AC5"/>
  </mergeCells>
  <phoneticPr fontId="0" type="noConversion"/>
  <printOptions horizontalCentered="1"/>
  <pageMargins left="0.11811023622047245" right="0.15748031496062992" top="0.74803149606299213" bottom="0.74803149606299213" header="0.31496062992125984" footer="0.31496062992125984"/>
  <pageSetup paperSize="8"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AP70"/>
  <sheetViews>
    <sheetView view="pageBreakPreview" zoomScale="40" zoomScaleNormal="100" zoomScaleSheetLayoutView="40" workbookViewId="0">
      <pane xSplit="2" ySplit="5" topLeftCell="C9" activePane="bottomRight" state="frozen"/>
      <selection activeCell="C156" sqref="C156"/>
      <selection pane="topRight" activeCell="C156" sqref="C156"/>
      <selection pane="bottomLeft" activeCell="C156" sqref="C156"/>
      <selection pane="bottomRight" activeCell="P2" sqref="P2"/>
    </sheetView>
  </sheetViews>
  <sheetFormatPr defaultColWidth="8.85546875" defaultRowHeight="12.75"/>
  <cols>
    <col min="1" max="1" width="8.28515625" style="492" customWidth="1"/>
    <col min="2" max="2" width="12.140625" style="492" customWidth="1"/>
    <col min="3" max="3" width="45.28515625" style="492" customWidth="1"/>
    <col min="4" max="4" width="16" style="492" customWidth="1"/>
    <col min="5" max="5" width="17.28515625" style="492" customWidth="1"/>
    <col min="6" max="6" width="15.28515625" style="492" customWidth="1"/>
    <col min="7" max="7" width="14.85546875" style="492" customWidth="1"/>
    <col min="8" max="8" width="16.85546875" style="492" customWidth="1"/>
    <col min="9" max="9" width="14.85546875" style="492" customWidth="1"/>
    <col min="10" max="10" width="18.28515625" style="492" customWidth="1"/>
    <col min="11" max="11" width="20.42578125" style="492" customWidth="1"/>
    <col min="12" max="12" width="15.42578125" style="508" customWidth="1"/>
    <col min="13" max="13" width="16" style="508" customWidth="1"/>
    <col min="14" max="14" width="18" style="492" customWidth="1"/>
    <col min="15" max="20" width="16.85546875" style="492" customWidth="1"/>
    <col min="21" max="21" width="16.85546875" style="510" customWidth="1"/>
    <col min="22" max="22" width="16.85546875" style="492" customWidth="1"/>
    <col min="23" max="24" width="16.85546875" style="487" customWidth="1"/>
    <col min="25" max="25" width="18.28515625" style="487" customWidth="1"/>
    <col min="26" max="28" width="17.28515625" style="487" customWidth="1"/>
    <col min="29" max="29" width="16.28515625" style="487" bestFit="1" customWidth="1"/>
    <col min="30" max="30" width="15.7109375" style="487" customWidth="1"/>
    <col min="31" max="33" width="18.7109375" style="487" customWidth="1"/>
    <col min="34" max="34" width="16.28515625" style="487" customWidth="1"/>
    <col min="35" max="35" width="17.7109375" style="487" customWidth="1"/>
    <col min="36" max="36" width="21.85546875" style="487" customWidth="1"/>
    <col min="37" max="16384" width="8.85546875" style="487"/>
  </cols>
  <sheetData>
    <row r="1" spans="1:40" ht="15.75">
      <c r="A1" s="487"/>
      <c r="B1" s="35" t="s">
        <v>948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4"/>
      <c r="P1" s="34"/>
      <c r="Q1" s="34"/>
      <c r="R1" s="34"/>
      <c r="S1" s="34"/>
      <c r="T1" s="34"/>
      <c r="U1" s="487"/>
      <c r="V1" s="35"/>
      <c r="X1" s="35"/>
      <c r="Y1" s="34"/>
    </row>
    <row r="2" spans="1:40" ht="33.75" customHeight="1">
      <c r="B2" s="589" t="s">
        <v>415</v>
      </c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O2" s="496"/>
      <c r="P2" s="496"/>
      <c r="Q2" s="496"/>
      <c r="R2" s="496"/>
      <c r="S2" s="496"/>
      <c r="T2" s="496"/>
      <c r="U2" s="590" t="s">
        <v>675</v>
      </c>
      <c r="V2" s="496"/>
      <c r="W2" s="496"/>
      <c r="X2" s="496"/>
      <c r="Y2" s="496"/>
      <c r="Z2" s="496"/>
      <c r="AA2" s="496"/>
      <c r="AB2" s="496"/>
      <c r="AC2" s="496"/>
      <c r="AD2" s="496"/>
      <c r="AE2" s="501"/>
      <c r="AM2" s="590" t="s">
        <v>676</v>
      </c>
    </row>
    <row r="3" spans="1:40" ht="16.5" thickBot="1">
      <c r="B3" s="93"/>
      <c r="C3" s="93"/>
      <c r="D3" s="502"/>
      <c r="E3" s="502"/>
      <c r="F3" s="502"/>
      <c r="G3" s="502"/>
      <c r="H3" s="502"/>
      <c r="I3" s="502"/>
      <c r="J3" s="502"/>
      <c r="K3" s="502"/>
      <c r="L3" s="503"/>
      <c r="M3" s="503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497"/>
      <c r="Z3" s="497"/>
      <c r="AA3" s="497"/>
      <c r="AB3" s="504"/>
      <c r="AC3" s="492"/>
    </row>
    <row r="4" spans="1:40" ht="21" customHeight="1" thickBot="1">
      <c r="A4" s="672" t="s">
        <v>45</v>
      </c>
      <c r="B4" s="674" t="s">
        <v>256</v>
      </c>
      <c r="C4" s="676" t="s">
        <v>46</v>
      </c>
      <c r="D4" s="678"/>
      <c r="E4" s="678"/>
      <c r="F4" s="678"/>
      <c r="G4" s="678"/>
      <c r="H4" s="678"/>
      <c r="I4" s="678"/>
      <c r="J4" s="678"/>
      <c r="K4" s="678"/>
      <c r="L4" s="678"/>
      <c r="M4" s="505"/>
      <c r="N4" s="505"/>
      <c r="O4" s="505"/>
      <c r="P4" s="505"/>
      <c r="Q4" s="505"/>
      <c r="R4" s="505"/>
      <c r="S4" s="505"/>
      <c r="T4" s="505"/>
      <c r="U4" s="505"/>
      <c r="V4" s="553"/>
      <c r="W4" s="553"/>
      <c r="X4" s="553"/>
      <c r="Y4" s="553"/>
      <c r="Z4" s="553"/>
      <c r="AA4" s="553"/>
      <c r="AB4" s="553"/>
      <c r="AC4" s="553"/>
      <c r="AD4" s="553"/>
      <c r="AE4" s="553"/>
      <c r="AF4" s="505"/>
      <c r="AG4" s="506"/>
      <c r="AH4" s="679" t="s">
        <v>438</v>
      </c>
      <c r="AI4" s="679" t="s">
        <v>502</v>
      </c>
      <c r="AJ4" s="554"/>
      <c r="AK4" s="670" t="s">
        <v>503</v>
      </c>
      <c r="AL4" s="670" t="s">
        <v>310</v>
      </c>
      <c r="AM4" s="670" t="s">
        <v>649</v>
      </c>
    </row>
    <row r="5" spans="1:40" ht="114" customHeight="1" thickBot="1">
      <c r="A5" s="673"/>
      <c r="B5" s="675"/>
      <c r="C5" s="677"/>
      <c r="D5" s="384" t="s">
        <v>412</v>
      </c>
      <c r="E5" s="384" t="s">
        <v>492</v>
      </c>
      <c r="F5" s="384" t="s">
        <v>624</v>
      </c>
      <c r="G5" s="384" t="s">
        <v>409</v>
      </c>
      <c r="H5" s="384" t="s">
        <v>493</v>
      </c>
      <c r="I5" s="384" t="s">
        <v>625</v>
      </c>
      <c r="J5" s="384" t="s">
        <v>410</v>
      </c>
      <c r="K5" s="384" t="s">
        <v>494</v>
      </c>
      <c r="L5" s="384" t="s">
        <v>626</v>
      </c>
      <c r="M5" s="384" t="s">
        <v>378</v>
      </c>
      <c r="N5" s="384" t="s">
        <v>495</v>
      </c>
      <c r="O5" s="384" t="s">
        <v>627</v>
      </c>
      <c r="P5" s="384" t="s">
        <v>376</v>
      </c>
      <c r="Q5" s="384" t="s">
        <v>496</v>
      </c>
      <c r="R5" s="384" t="s">
        <v>628</v>
      </c>
      <c r="S5" s="384" t="s">
        <v>411</v>
      </c>
      <c r="T5" s="384" t="s">
        <v>497</v>
      </c>
      <c r="U5" s="384" t="s">
        <v>629</v>
      </c>
      <c r="V5" s="384" t="s">
        <v>375</v>
      </c>
      <c r="W5" s="384" t="s">
        <v>498</v>
      </c>
      <c r="X5" s="384" t="s">
        <v>630</v>
      </c>
      <c r="Y5" s="384" t="s">
        <v>377</v>
      </c>
      <c r="Z5" s="384" t="s">
        <v>499</v>
      </c>
      <c r="AA5" s="384" t="s">
        <v>631</v>
      </c>
      <c r="AB5" s="491" t="s">
        <v>413</v>
      </c>
      <c r="AC5" s="491" t="s">
        <v>500</v>
      </c>
      <c r="AD5" s="491" t="s">
        <v>632</v>
      </c>
      <c r="AE5" s="491" t="s">
        <v>414</v>
      </c>
      <c r="AF5" s="491" t="s">
        <v>501</v>
      </c>
      <c r="AG5" s="491" t="s">
        <v>633</v>
      </c>
      <c r="AH5" s="680"/>
      <c r="AI5" s="680"/>
      <c r="AJ5" s="555" t="s">
        <v>634</v>
      </c>
      <c r="AK5" s="671"/>
      <c r="AL5" s="671"/>
      <c r="AM5" s="671"/>
    </row>
    <row r="6" spans="1:40" ht="16.5" thickBot="1">
      <c r="A6" s="682" t="s">
        <v>38</v>
      </c>
      <c r="B6" s="306" t="s">
        <v>165</v>
      </c>
      <c r="C6" s="305" t="s">
        <v>208</v>
      </c>
      <c r="D6" s="301">
        <v>15502289</v>
      </c>
      <c r="E6" s="301">
        <v>15502289</v>
      </c>
      <c r="F6" s="301">
        <v>15415029</v>
      </c>
      <c r="G6" s="301">
        <v>3042958</v>
      </c>
      <c r="H6" s="301">
        <v>3042958</v>
      </c>
      <c r="I6" s="301">
        <v>2807017</v>
      </c>
      <c r="J6" s="301">
        <v>3680000</v>
      </c>
      <c r="K6" s="301">
        <v>3505956</v>
      </c>
      <c r="L6" s="301">
        <v>3286549</v>
      </c>
      <c r="M6" s="301">
        <v>0</v>
      </c>
      <c r="N6" s="301">
        <v>0</v>
      </c>
      <c r="O6" s="301"/>
      <c r="P6" s="302">
        <v>0</v>
      </c>
      <c r="Q6" s="302">
        <v>0</v>
      </c>
      <c r="R6" s="302"/>
      <c r="S6" s="301">
        <v>0</v>
      </c>
      <c r="T6" s="301">
        <v>0</v>
      </c>
      <c r="U6" s="301"/>
      <c r="V6" s="302">
        <v>0</v>
      </c>
      <c r="W6" s="302">
        <v>0</v>
      </c>
      <c r="X6" s="302"/>
      <c r="Y6" s="301">
        <v>0</v>
      </c>
      <c r="Z6" s="301">
        <v>0</v>
      </c>
      <c r="AA6" s="301"/>
      <c r="AB6" s="348">
        <v>0</v>
      </c>
      <c r="AC6" s="348">
        <v>0</v>
      </c>
      <c r="AD6" s="348"/>
      <c r="AE6" s="348">
        <v>0</v>
      </c>
      <c r="AF6" s="348">
        <v>0</v>
      </c>
      <c r="AG6" s="348"/>
      <c r="AH6" s="303">
        <f t="shared" ref="AH6:AH37" si="0">+AE6+AB6+Y6+V6+S6+P6+M6+J6+G6+D6</f>
        <v>22225247</v>
      </c>
      <c r="AI6" s="303">
        <f t="shared" ref="AI6:AI37" si="1">+AF6+AC6+Z6+W6+T6+Q6+N6+K6+H6+E6</f>
        <v>22051203</v>
      </c>
      <c r="AJ6" s="303">
        <f>+AG6+AD6+AA6+X6+U6+R6+O6+L6+I6+F6</f>
        <v>21508595</v>
      </c>
      <c r="AK6" s="339">
        <v>1</v>
      </c>
      <c r="AL6" s="339">
        <v>1</v>
      </c>
      <c r="AM6" s="339">
        <v>1</v>
      </c>
    </row>
    <row r="7" spans="1:40" ht="16.5" thickBot="1">
      <c r="A7" s="682"/>
      <c r="B7" s="306" t="s">
        <v>189</v>
      </c>
      <c r="C7" s="305" t="s">
        <v>266</v>
      </c>
      <c r="D7" s="301">
        <v>0</v>
      </c>
      <c r="E7" s="301">
        <v>0</v>
      </c>
      <c r="F7" s="301"/>
      <c r="G7" s="301">
        <v>0</v>
      </c>
      <c r="H7" s="301">
        <v>0</v>
      </c>
      <c r="I7" s="301"/>
      <c r="J7" s="301">
        <v>530000</v>
      </c>
      <c r="K7" s="301">
        <v>628562</v>
      </c>
      <c r="L7" s="301">
        <v>570141</v>
      </c>
      <c r="M7" s="301">
        <v>0</v>
      </c>
      <c r="N7" s="301">
        <v>0</v>
      </c>
      <c r="O7" s="301"/>
      <c r="P7" s="302">
        <v>0</v>
      </c>
      <c r="Q7" s="302">
        <v>0</v>
      </c>
      <c r="R7" s="302"/>
      <c r="S7" s="307">
        <v>0</v>
      </c>
      <c r="T7" s="307">
        <v>0</v>
      </c>
      <c r="U7" s="307"/>
      <c r="V7" s="302">
        <v>0</v>
      </c>
      <c r="W7" s="302">
        <v>0</v>
      </c>
      <c r="X7" s="302"/>
      <c r="Y7" s="301">
        <v>0</v>
      </c>
      <c r="Z7" s="301">
        <v>0</v>
      </c>
      <c r="AA7" s="301"/>
      <c r="AB7" s="348">
        <v>0</v>
      </c>
      <c r="AC7" s="348">
        <v>0</v>
      </c>
      <c r="AD7" s="348"/>
      <c r="AE7" s="348">
        <v>0</v>
      </c>
      <c r="AF7" s="348">
        <v>0</v>
      </c>
      <c r="AG7" s="348"/>
      <c r="AH7" s="303">
        <f t="shared" si="0"/>
        <v>530000</v>
      </c>
      <c r="AI7" s="303">
        <f t="shared" si="1"/>
        <v>628562</v>
      </c>
      <c r="AJ7" s="303">
        <f t="shared" ref="AJ7:AJ66" si="2">+AG7+AD7+AA7+X7+U7+R7+O7+L7+I7+F7</f>
        <v>570141</v>
      </c>
      <c r="AK7" s="339">
        <v>0</v>
      </c>
      <c r="AL7" s="339">
        <v>0</v>
      </c>
      <c r="AM7" s="339">
        <v>0</v>
      </c>
    </row>
    <row r="8" spans="1:40" ht="16.5" thickBot="1">
      <c r="A8" s="682"/>
      <c r="B8" s="306" t="s">
        <v>190</v>
      </c>
      <c r="C8" s="305" t="s">
        <v>209</v>
      </c>
      <c r="D8" s="301">
        <v>0</v>
      </c>
      <c r="E8" s="301">
        <v>0</v>
      </c>
      <c r="F8" s="301"/>
      <c r="G8" s="301">
        <v>0</v>
      </c>
      <c r="H8" s="301">
        <v>0</v>
      </c>
      <c r="I8" s="301"/>
      <c r="J8" s="301">
        <f>11910000+500000+10665000</f>
        <v>23075000</v>
      </c>
      <c r="K8" s="301">
        <v>20533005</v>
      </c>
      <c r="L8" s="301">
        <v>9646636</v>
      </c>
      <c r="M8" s="301">
        <v>0</v>
      </c>
      <c r="N8" s="301">
        <v>0</v>
      </c>
      <c r="O8" s="301"/>
      <c r="P8" s="302">
        <v>0</v>
      </c>
      <c r="Q8" s="302">
        <v>0</v>
      </c>
      <c r="R8" s="302"/>
      <c r="S8" s="301">
        <v>0</v>
      </c>
      <c r="T8" s="301">
        <v>0</v>
      </c>
      <c r="U8" s="301"/>
      <c r="V8" s="302">
        <v>0</v>
      </c>
      <c r="W8" s="302">
        <v>0</v>
      </c>
      <c r="X8" s="302"/>
      <c r="Y8" s="301">
        <v>0</v>
      </c>
      <c r="Z8" s="301">
        <v>0</v>
      </c>
      <c r="AA8" s="301"/>
      <c r="AB8" s="348">
        <f>11390757+2400000</f>
        <v>13790757</v>
      </c>
      <c r="AC8" s="348">
        <v>12180757</v>
      </c>
      <c r="AD8" s="348">
        <v>11559647</v>
      </c>
      <c r="AE8" s="348">
        <f>3994771+162947+4500000</f>
        <v>8657718</v>
      </c>
      <c r="AF8" s="348">
        <v>11013659</v>
      </c>
      <c r="AG8" s="348">
        <v>10690272</v>
      </c>
      <c r="AH8" s="303">
        <f t="shared" si="0"/>
        <v>45523475</v>
      </c>
      <c r="AI8" s="303">
        <f t="shared" si="1"/>
        <v>43727421</v>
      </c>
      <c r="AJ8" s="303">
        <f t="shared" si="2"/>
        <v>31896555</v>
      </c>
      <c r="AK8" s="339">
        <v>0</v>
      </c>
      <c r="AL8" s="339">
        <v>0</v>
      </c>
      <c r="AM8" s="339">
        <v>0</v>
      </c>
    </row>
    <row r="9" spans="1:40" ht="16.5" thickBot="1">
      <c r="A9" s="682"/>
      <c r="B9" s="306" t="s">
        <v>356</v>
      </c>
      <c r="C9" s="305" t="s">
        <v>357</v>
      </c>
      <c r="D9" s="301">
        <v>0</v>
      </c>
      <c r="E9" s="301">
        <v>0</v>
      </c>
      <c r="F9" s="301"/>
      <c r="G9" s="301">
        <v>0</v>
      </c>
      <c r="H9" s="301">
        <v>0</v>
      </c>
      <c r="I9" s="301"/>
      <c r="J9" s="301">
        <v>0</v>
      </c>
      <c r="K9" s="301">
        <v>0</v>
      </c>
      <c r="L9" s="301"/>
      <c r="M9" s="301">
        <v>0</v>
      </c>
      <c r="N9" s="301">
        <v>0</v>
      </c>
      <c r="O9" s="301"/>
      <c r="P9" s="302">
        <v>0</v>
      </c>
      <c r="Q9" s="302">
        <v>0</v>
      </c>
      <c r="R9" s="302"/>
      <c r="S9" s="301">
        <v>0</v>
      </c>
      <c r="T9" s="301">
        <v>0</v>
      </c>
      <c r="U9" s="301"/>
      <c r="V9" s="302">
        <v>0</v>
      </c>
      <c r="W9" s="302">
        <v>0</v>
      </c>
      <c r="X9" s="302"/>
      <c r="Y9" s="301">
        <v>0</v>
      </c>
      <c r="Z9" s="301">
        <v>0</v>
      </c>
      <c r="AA9" s="301"/>
      <c r="AB9" s="301">
        <v>0</v>
      </c>
      <c r="AC9" s="301">
        <v>0</v>
      </c>
      <c r="AD9" s="301"/>
      <c r="AE9" s="301">
        <v>0</v>
      </c>
      <c r="AF9" s="301">
        <v>0</v>
      </c>
      <c r="AG9" s="301"/>
      <c r="AH9" s="303">
        <f t="shared" si="0"/>
        <v>0</v>
      </c>
      <c r="AI9" s="303">
        <f t="shared" si="1"/>
        <v>0</v>
      </c>
      <c r="AJ9" s="303">
        <f t="shared" si="2"/>
        <v>0</v>
      </c>
      <c r="AK9" s="339">
        <v>0</v>
      </c>
      <c r="AL9" s="339">
        <v>0</v>
      </c>
      <c r="AM9" s="339">
        <v>0</v>
      </c>
    </row>
    <row r="10" spans="1:40" ht="16.5" thickBot="1">
      <c r="A10" s="682"/>
      <c r="B10" s="306" t="s">
        <v>192</v>
      </c>
      <c r="C10" s="304" t="s">
        <v>211</v>
      </c>
      <c r="D10" s="301">
        <v>6603930</v>
      </c>
      <c r="E10" s="301">
        <v>20051907</v>
      </c>
      <c r="F10" s="301">
        <v>18170964</v>
      </c>
      <c r="G10" s="301">
        <v>643882</v>
      </c>
      <c r="H10" s="301">
        <v>1953222</v>
      </c>
      <c r="I10" s="301">
        <v>1743474</v>
      </c>
      <c r="J10" s="301">
        <v>0</v>
      </c>
      <c r="K10" s="301">
        <v>9839514</v>
      </c>
      <c r="L10" s="301">
        <v>2312951</v>
      </c>
      <c r="M10" s="301">
        <v>0</v>
      </c>
      <c r="N10" s="301">
        <v>0</v>
      </c>
      <c r="O10" s="301"/>
      <c r="P10" s="302">
        <v>0</v>
      </c>
      <c r="Q10" s="302">
        <v>0</v>
      </c>
      <c r="R10" s="302"/>
      <c r="S10" s="301">
        <v>0</v>
      </c>
      <c r="T10" s="301">
        <v>0</v>
      </c>
      <c r="U10" s="301"/>
      <c r="V10" s="302">
        <v>0</v>
      </c>
      <c r="W10" s="302">
        <v>0</v>
      </c>
      <c r="X10" s="302"/>
      <c r="Y10" s="301">
        <v>0</v>
      </c>
      <c r="Z10" s="301">
        <v>0</v>
      </c>
      <c r="AA10" s="301"/>
      <c r="AB10" s="348">
        <v>0</v>
      </c>
      <c r="AC10" s="348">
        <v>980000</v>
      </c>
      <c r="AD10" s="348">
        <v>963772</v>
      </c>
      <c r="AE10" s="348">
        <v>0</v>
      </c>
      <c r="AF10" s="348">
        <v>270000</v>
      </c>
      <c r="AG10" s="348">
        <v>257906</v>
      </c>
      <c r="AH10" s="303">
        <f t="shared" si="0"/>
        <v>7247812</v>
      </c>
      <c r="AI10" s="303">
        <f t="shared" si="1"/>
        <v>33094643</v>
      </c>
      <c r="AJ10" s="303">
        <f t="shared" si="2"/>
        <v>23449067</v>
      </c>
      <c r="AK10" s="339">
        <v>27</v>
      </c>
      <c r="AL10" s="339">
        <v>15</v>
      </c>
      <c r="AM10" s="339">
        <v>15</v>
      </c>
    </row>
    <row r="11" spans="1:40" ht="16.5" thickBot="1">
      <c r="A11" s="682"/>
      <c r="B11" s="306" t="s">
        <v>306</v>
      </c>
      <c r="C11" s="304" t="s">
        <v>307</v>
      </c>
      <c r="D11" s="301">
        <v>0</v>
      </c>
      <c r="E11" s="301">
        <v>11136886</v>
      </c>
      <c r="F11" s="301">
        <v>11111726</v>
      </c>
      <c r="G11" s="301">
        <v>0</v>
      </c>
      <c r="H11" s="301">
        <v>1063945</v>
      </c>
      <c r="I11" s="301">
        <v>1063945</v>
      </c>
      <c r="J11" s="301">
        <v>0</v>
      </c>
      <c r="K11" s="301">
        <v>4718238</v>
      </c>
      <c r="L11" s="301">
        <v>4645806</v>
      </c>
      <c r="M11" s="301">
        <v>0</v>
      </c>
      <c r="N11" s="301">
        <v>0</v>
      </c>
      <c r="O11" s="301"/>
      <c r="P11" s="302">
        <v>0</v>
      </c>
      <c r="Q11" s="302">
        <v>0</v>
      </c>
      <c r="R11" s="302"/>
      <c r="S11" s="301">
        <v>0</v>
      </c>
      <c r="T11" s="301">
        <v>0</v>
      </c>
      <c r="U11" s="301"/>
      <c r="V11" s="302">
        <v>0</v>
      </c>
      <c r="W11" s="302">
        <v>0</v>
      </c>
      <c r="X11" s="302"/>
      <c r="Y11" s="301">
        <v>0</v>
      </c>
      <c r="Z11" s="301">
        <v>0</v>
      </c>
      <c r="AA11" s="301"/>
      <c r="AB11" s="301">
        <v>0</v>
      </c>
      <c r="AC11" s="301">
        <v>0</v>
      </c>
      <c r="AD11" s="301"/>
      <c r="AE11" s="301">
        <v>0</v>
      </c>
      <c r="AF11" s="301">
        <v>0</v>
      </c>
      <c r="AG11" s="301"/>
      <c r="AH11" s="303">
        <f t="shared" si="0"/>
        <v>0</v>
      </c>
      <c r="AI11" s="303">
        <f t="shared" si="1"/>
        <v>16919069</v>
      </c>
      <c r="AJ11" s="303">
        <f t="shared" si="2"/>
        <v>16821477</v>
      </c>
      <c r="AK11" s="339">
        <v>0</v>
      </c>
      <c r="AL11" s="339">
        <f>5+7</f>
        <v>12</v>
      </c>
      <c r="AM11" s="339">
        <f>5+7</f>
        <v>12</v>
      </c>
    </row>
    <row r="12" spans="1:40" ht="16.5" thickBot="1">
      <c r="A12" s="682"/>
      <c r="B12" s="306" t="s">
        <v>193</v>
      </c>
      <c r="C12" s="304" t="s">
        <v>212</v>
      </c>
      <c r="D12" s="301">
        <v>3179670</v>
      </c>
      <c r="E12" s="301">
        <v>0</v>
      </c>
      <c r="F12" s="301"/>
      <c r="G12" s="301">
        <v>310018</v>
      </c>
      <c r="H12" s="301">
        <v>0</v>
      </c>
      <c r="I12" s="301"/>
      <c r="J12" s="301">
        <v>0</v>
      </c>
      <c r="K12" s="301">
        <v>95000</v>
      </c>
      <c r="L12" s="301">
        <v>82722</v>
      </c>
      <c r="M12" s="301">
        <v>0</v>
      </c>
      <c r="N12" s="301">
        <v>0</v>
      </c>
      <c r="O12" s="301"/>
      <c r="P12" s="302">
        <v>0</v>
      </c>
      <c r="Q12" s="302">
        <v>0</v>
      </c>
      <c r="R12" s="302"/>
      <c r="S12" s="301">
        <v>0</v>
      </c>
      <c r="T12" s="301">
        <v>0</v>
      </c>
      <c r="U12" s="301"/>
      <c r="V12" s="302">
        <v>0</v>
      </c>
      <c r="W12" s="302">
        <v>0</v>
      </c>
      <c r="X12" s="302"/>
      <c r="Y12" s="301">
        <v>0</v>
      </c>
      <c r="Z12" s="301">
        <v>0</v>
      </c>
      <c r="AA12" s="301"/>
      <c r="AB12" s="348">
        <v>0</v>
      </c>
      <c r="AC12" s="348">
        <v>0</v>
      </c>
      <c r="AD12" s="348"/>
      <c r="AE12" s="348">
        <v>0</v>
      </c>
      <c r="AF12" s="348">
        <v>0</v>
      </c>
      <c r="AG12" s="348"/>
      <c r="AH12" s="303">
        <f t="shared" si="0"/>
        <v>3489688</v>
      </c>
      <c r="AI12" s="303">
        <f t="shared" si="1"/>
        <v>95000</v>
      </c>
      <c r="AJ12" s="303">
        <f t="shared" si="2"/>
        <v>82722</v>
      </c>
      <c r="AK12" s="339">
        <f>5+8</f>
        <v>13</v>
      </c>
      <c r="AL12" s="339">
        <v>0</v>
      </c>
      <c r="AM12" s="339">
        <v>0</v>
      </c>
    </row>
    <row r="13" spans="1:40" ht="16.5" thickBot="1">
      <c r="A13" s="682"/>
      <c r="B13" s="392" t="s">
        <v>194</v>
      </c>
      <c r="C13" s="304" t="s">
        <v>267</v>
      </c>
      <c r="D13" s="301">
        <v>0</v>
      </c>
      <c r="E13" s="301">
        <v>0</v>
      </c>
      <c r="F13" s="301"/>
      <c r="G13" s="301">
        <v>0</v>
      </c>
      <c r="H13" s="301">
        <v>0</v>
      </c>
      <c r="I13" s="301"/>
      <c r="J13" s="301">
        <v>5350000</v>
      </c>
      <c r="K13" s="301">
        <v>9757132</v>
      </c>
      <c r="L13" s="301">
        <v>5163502</v>
      </c>
      <c r="M13" s="301">
        <v>0</v>
      </c>
      <c r="N13" s="301">
        <v>0</v>
      </c>
      <c r="O13" s="301"/>
      <c r="P13" s="302">
        <v>0</v>
      </c>
      <c r="Q13" s="302">
        <v>0</v>
      </c>
      <c r="R13" s="302"/>
      <c r="S13" s="301">
        <v>0</v>
      </c>
      <c r="T13" s="301">
        <v>0</v>
      </c>
      <c r="U13" s="301"/>
      <c r="V13" s="302">
        <v>0</v>
      </c>
      <c r="W13" s="302">
        <v>0</v>
      </c>
      <c r="X13" s="302"/>
      <c r="Y13" s="301">
        <v>0</v>
      </c>
      <c r="Z13" s="301">
        <v>0</v>
      </c>
      <c r="AA13" s="301"/>
      <c r="AB13" s="348">
        <v>23346577</v>
      </c>
      <c r="AC13" s="348">
        <v>22423445</v>
      </c>
      <c r="AD13" s="348">
        <v>21837650</v>
      </c>
      <c r="AE13" s="348">
        <f>30550358+492000+1609850+200000+200000</f>
        <v>33052208</v>
      </c>
      <c r="AF13" s="348">
        <f>30550358+492000+1609850+200000+200000</f>
        <v>33052208</v>
      </c>
      <c r="AG13" s="348">
        <v>1560322</v>
      </c>
      <c r="AH13" s="303">
        <f t="shared" si="0"/>
        <v>61748785</v>
      </c>
      <c r="AI13" s="303">
        <f t="shared" si="1"/>
        <v>65232785</v>
      </c>
      <c r="AJ13" s="303">
        <f t="shared" si="2"/>
        <v>28561474</v>
      </c>
      <c r="AK13" s="339">
        <v>0</v>
      </c>
      <c r="AL13" s="339">
        <v>0</v>
      </c>
      <c r="AM13" s="339">
        <v>0</v>
      </c>
    </row>
    <row r="14" spans="1:40" ht="16.5" thickBot="1">
      <c r="A14" s="682"/>
      <c r="B14" s="306" t="s">
        <v>195</v>
      </c>
      <c r="C14" s="304" t="s">
        <v>268</v>
      </c>
      <c r="D14" s="301">
        <v>0</v>
      </c>
      <c r="E14" s="301">
        <v>0</v>
      </c>
      <c r="F14" s="301"/>
      <c r="G14" s="301">
        <v>0</v>
      </c>
      <c r="H14" s="301">
        <v>0</v>
      </c>
      <c r="I14" s="301"/>
      <c r="J14" s="301">
        <v>0</v>
      </c>
      <c r="K14" s="301">
        <v>0</v>
      </c>
      <c r="L14" s="301"/>
      <c r="M14" s="301">
        <v>140000</v>
      </c>
      <c r="N14" s="301">
        <v>140000</v>
      </c>
      <c r="O14" s="301">
        <v>0</v>
      </c>
      <c r="P14" s="302">
        <v>0</v>
      </c>
      <c r="Q14" s="302">
        <v>0</v>
      </c>
      <c r="R14" s="302"/>
      <c r="S14" s="301">
        <v>0</v>
      </c>
      <c r="T14" s="301">
        <v>0</v>
      </c>
      <c r="U14" s="301"/>
      <c r="V14" s="302">
        <v>0</v>
      </c>
      <c r="W14" s="302">
        <v>0</v>
      </c>
      <c r="X14" s="302"/>
      <c r="Y14" s="301">
        <v>0</v>
      </c>
      <c r="Z14" s="301">
        <v>0</v>
      </c>
      <c r="AA14" s="301"/>
      <c r="AB14" s="348">
        <v>0</v>
      </c>
      <c r="AC14" s="348">
        <v>0</v>
      </c>
      <c r="AD14" s="348"/>
      <c r="AE14" s="348">
        <v>0</v>
      </c>
      <c r="AF14" s="348">
        <v>0</v>
      </c>
      <c r="AG14" s="348"/>
      <c r="AH14" s="303">
        <f t="shared" si="0"/>
        <v>140000</v>
      </c>
      <c r="AI14" s="303">
        <f t="shared" si="1"/>
        <v>140000</v>
      </c>
      <c r="AJ14" s="303">
        <f t="shared" si="2"/>
        <v>0</v>
      </c>
      <c r="AK14" s="339">
        <v>0</v>
      </c>
      <c r="AL14" s="339">
        <v>0</v>
      </c>
      <c r="AM14" s="339">
        <v>0</v>
      </c>
    </row>
    <row r="15" spans="1:40" ht="16.5" thickBot="1">
      <c r="A15" s="682"/>
      <c r="B15" s="306" t="s">
        <v>196</v>
      </c>
      <c r="C15" s="304" t="s">
        <v>213</v>
      </c>
      <c r="D15" s="301">
        <v>0</v>
      </c>
      <c r="E15" s="301">
        <v>0</v>
      </c>
      <c r="F15" s="301"/>
      <c r="G15" s="301">
        <v>0</v>
      </c>
      <c r="H15" s="301">
        <v>0</v>
      </c>
      <c r="I15" s="301"/>
      <c r="J15" s="301">
        <v>2490000</v>
      </c>
      <c r="K15" s="301">
        <v>2490000</v>
      </c>
      <c r="L15" s="301">
        <v>1622129</v>
      </c>
      <c r="M15" s="301">
        <v>0</v>
      </c>
      <c r="N15" s="301">
        <v>0</v>
      </c>
      <c r="O15" s="301"/>
      <c r="P15" s="302">
        <v>0</v>
      </c>
      <c r="Q15" s="302">
        <v>0</v>
      </c>
      <c r="R15" s="302"/>
      <c r="S15" s="301">
        <f>34610642-2490000</f>
        <v>32120642</v>
      </c>
      <c r="T15" s="301">
        <f>34610642-2490000</f>
        <v>32120642</v>
      </c>
      <c r="U15" s="301">
        <v>0</v>
      </c>
      <c r="V15" s="302">
        <v>0</v>
      </c>
      <c r="W15" s="302">
        <v>0</v>
      </c>
      <c r="X15" s="302"/>
      <c r="Y15" s="301">
        <v>0</v>
      </c>
      <c r="Z15" s="348">
        <v>0</v>
      </c>
      <c r="AA15" s="348"/>
      <c r="AB15" s="348">
        <v>0</v>
      </c>
      <c r="AC15" s="348">
        <v>4896627</v>
      </c>
      <c r="AD15" s="348">
        <v>4896627</v>
      </c>
      <c r="AE15" s="348">
        <v>0</v>
      </c>
      <c r="AF15" s="348">
        <v>411404</v>
      </c>
      <c r="AG15" s="348">
        <v>411404</v>
      </c>
      <c r="AH15" s="303">
        <f t="shared" si="0"/>
        <v>34610642</v>
      </c>
      <c r="AI15" s="303">
        <f t="shared" si="1"/>
        <v>39918673</v>
      </c>
      <c r="AJ15" s="303">
        <f t="shared" si="2"/>
        <v>6930160</v>
      </c>
      <c r="AK15" s="339">
        <v>0</v>
      </c>
      <c r="AL15" s="339">
        <v>0</v>
      </c>
      <c r="AM15" s="339">
        <v>0</v>
      </c>
    </row>
    <row r="16" spans="1:40" ht="16.5" thickBot="1">
      <c r="A16" s="682"/>
      <c r="B16" s="306" t="s">
        <v>487</v>
      </c>
      <c r="C16" s="304" t="s">
        <v>521</v>
      </c>
      <c r="D16" s="301">
        <v>0</v>
      </c>
      <c r="E16" s="301">
        <v>8262041</v>
      </c>
      <c r="F16" s="301">
        <v>585000</v>
      </c>
      <c r="G16" s="301">
        <v>0</v>
      </c>
      <c r="H16" s="301">
        <v>456300</v>
      </c>
      <c r="I16" s="301">
        <v>102375</v>
      </c>
      <c r="J16" s="301">
        <v>0</v>
      </c>
      <c r="K16" s="301">
        <v>2541687</v>
      </c>
      <c r="L16" s="301">
        <v>225240</v>
      </c>
      <c r="M16" s="301">
        <v>0</v>
      </c>
      <c r="N16" s="301">
        <v>0</v>
      </c>
      <c r="O16" s="301"/>
      <c r="P16" s="302">
        <v>0</v>
      </c>
      <c r="Q16" s="302">
        <v>0</v>
      </c>
      <c r="R16" s="302"/>
      <c r="S16" s="301">
        <v>0</v>
      </c>
      <c r="T16" s="301">
        <v>0</v>
      </c>
      <c r="U16" s="301"/>
      <c r="V16" s="302">
        <v>0</v>
      </c>
      <c r="W16" s="302">
        <v>0</v>
      </c>
      <c r="X16" s="302"/>
      <c r="Y16" s="301">
        <v>0</v>
      </c>
      <c r="Z16" s="348">
        <v>0</v>
      </c>
      <c r="AA16" s="348"/>
      <c r="AB16" s="348">
        <v>0</v>
      </c>
      <c r="AC16" s="348">
        <v>7999996</v>
      </c>
      <c r="AD16" s="348"/>
      <c r="AE16" s="348">
        <v>0</v>
      </c>
      <c r="AF16" s="348">
        <v>18120818</v>
      </c>
      <c r="AG16" s="348">
        <v>3963441</v>
      </c>
      <c r="AH16" s="303">
        <f t="shared" si="0"/>
        <v>0</v>
      </c>
      <c r="AI16" s="303">
        <f t="shared" si="1"/>
        <v>37380842</v>
      </c>
      <c r="AJ16" s="303">
        <f t="shared" si="2"/>
        <v>4876056</v>
      </c>
      <c r="AK16" s="339">
        <v>0</v>
      </c>
      <c r="AL16" s="339">
        <v>1</v>
      </c>
      <c r="AM16" s="339">
        <v>1</v>
      </c>
      <c r="AN16" s="487" t="s">
        <v>553</v>
      </c>
    </row>
    <row r="17" spans="1:40" ht="16.5" thickBot="1">
      <c r="A17" s="682"/>
      <c r="B17" s="306" t="s">
        <v>197</v>
      </c>
      <c r="C17" s="304" t="s">
        <v>214</v>
      </c>
      <c r="D17" s="301">
        <v>0</v>
      </c>
      <c r="E17" s="301">
        <v>0</v>
      </c>
      <c r="F17" s="301"/>
      <c r="G17" s="301">
        <v>0</v>
      </c>
      <c r="H17" s="301">
        <v>0</v>
      </c>
      <c r="I17" s="301"/>
      <c r="J17" s="301">
        <v>750000</v>
      </c>
      <c r="K17" s="301">
        <v>4454692</v>
      </c>
      <c r="L17" s="301">
        <v>2408761</v>
      </c>
      <c r="M17" s="301">
        <v>0</v>
      </c>
      <c r="N17" s="301">
        <v>0</v>
      </c>
      <c r="O17" s="301"/>
      <c r="P17" s="302">
        <v>0</v>
      </c>
      <c r="Q17" s="302">
        <v>0</v>
      </c>
      <c r="R17" s="302"/>
      <c r="S17" s="301">
        <f>68457822-750000</f>
        <v>67707822</v>
      </c>
      <c r="T17" s="301">
        <v>49817347</v>
      </c>
      <c r="U17" s="301"/>
      <c r="V17" s="302">
        <v>0</v>
      </c>
      <c r="W17" s="302">
        <v>0</v>
      </c>
      <c r="X17" s="302"/>
      <c r="Y17" s="301">
        <v>0</v>
      </c>
      <c r="Z17" s="301">
        <v>0</v>
      </c>
      <c r="AA17" s="301"/>
      <c r="AB17" s="348">
        <v>0</v>
      </c>
      <c r="AC17" s="348">
        <v>10980</v>
      </c>
      <c r="AD17" s="348">
        <v>10980</v>
      </c>
      <c r="AE17" s="348">
        <v>0</v>
      </c>
      <c r="AF17" s="348">
        <v>26424316</v>
      </c>
      <c r="AG17" s="348">
        <v>26424316</v>
      </c>
      <c r="AH17" s="303">
        <f t="shared" si="0"/>
        <v>68457822</v>
      </c>
      <c r="AI17" s="303">
        <f t="shared" si="1"/>
        <v>80707335</v>
      </c>
      <c r="AJ17" s="303">
        <f t="shared" si="2"/>
        <v>28844057</v>
      </c>
      <c r="AK17" s="339">
        <v>0</v>
      </c>
      <c r="AL17" s="339">
        <v>0</v>
      </c>
      <c r="AM17" s="339">
        <v>0</v>
      </c>
    </row>
    <row r="18" spans="1:40" ht="16.5" thickBot="1">
      <c r="A18" s="682"/>
      <c r="B18" s="306" t="s">
        <v>198</v>
      </c>
      <c r="C18" s="304" t="s">
        <v>47</v>
      </c>
      <c r="D18" s="301">
        <v>0</v>
      </c>
      <c r="E18" s="301">
        <v>0</v>
      </c>
      <c r="F18" s="301"/>
      <c r="G18" s="301">
        <v>0</v>
      </c>
      <c r="H18" s="301">
        <v>0</v>
      </c>
      <c r="I18" s="301"/>
      <c r="J18" s="301">
        <v>6400000</v>
      </c>
      <c r="K18" s="301">
        <v>6400000</v>
      </c>
      <c r="L18" s="301">
        <v>5540493</v>
      </c>
      <c r="M18" s="301">
        <v>0</v>
      </c>
      <c r="N18" s="301">
        <v>0</v>
      </c>
      <c r="O18" s="301"/>
      <c r="P18" s="302">
        <v>0</v>
      </c>
      <c r="Q18" s="302">
        <v>0</v>
      </c>
      <c r="R18" s="302"/>
      <c r="S18" s="301">
        <v>0</v>
      </c>
      <c r="T18" s="301">
        <v>0</v>
      </c>
      <c r="U18" s="301"/>
      <c r="V18" s="302">
        <v>0</v>
      </c>
      <c r="W18" s="302">
        <v>0</v>
      </c>
      <c r="X18" s="302"/>
      <c r="Y18" s="301">
        <v>0</v>
      </c>
      <c r="Z18" s="301">
        <v>0</v>
      </c>
      <c r="AA18" s="301"/>
      <c r="AB18" s="348">
        <v>0</v>
      </c>
      <c r="AC18" s="348">
        <v>0</v>
      </c>
      <c r="AD18" s="348"/>
      <c r="AE18" s="348">
        <v>0</v>
      </c>
      <c r="AF18" s="348">
        <v>0</v>
      </c>
      <c r="AG18" s="348"/>
      <c r="AH18" s="303">
        <f t="shared" si="0"/>
        <v>6400000</v>
      </c>
      <c r="AI18" s="303">
        <f t="shared" si="1"/>
        <v>6400000</v>
      </c>
      <c r="AJ18" s="303">
        <f t="shared" si="2"/>
        <v>5540493</v>
      </c>
      <c r="AK18" s="339">
        <v>0</v>
      </c>
      <c r="AL18" s="339">
        <v>0</v>
      </c>
      <c r="AM18" s="339">
        <v>0</v>
      </c>
    </row>
    <row r="19" spans="1:40" ht="16.5" thickBot="1">
      <c r="A19" s="682"/>
      <c r="B19" s="306" t="s">
        <v>167</v>
      </c>
      <c r="C19" s="304" t="s">
        <v>166</v>
      </c>
      <c r="D19" s="301">
        <v>2380500</v>
      </c>
      <c r="E19" s="301">
        <v>2380500</v>
      </c>
      <c r="F19" s="301">
        <v>2380500</v>
      </c>
      <c r="G19" s="301">
        <v>464198</v>
      </c>
      <c r="H19" s="301">
        <v>464198</v>
      </c>
      <c r="I19" s="301">
        <v>444198</v>
      </c>
      <c r="J19" s="301">
        <v>2000000</v>
      </c>
      <c r="K19" s="301">
        <v>1800000</v>
      </c>
      <c r="L19" s="301">
        <v>1433824</v>
      </c>
      <c r="M19" s="301">
        <v>0</v>
      </c>
      <c r="N19" s="301">
        <v>0</v>
      </c>
      <c r="O19" s="301"/>
      <c r="P19" s="302">
        <v>0</v>
      </c>
      <c r="Q19" s="302">
        <v>0</v>
      </c>
      <c r="R19" s="302"/>
      <c r="S19" s="301">
        <v>0</v>
      </c>
      <c r="T19" s="301">
        <v>0</v>
      </c>
      <c r="U19" s="301"/>
      <c r="V19" s="302">
        <v>0</v>
      </c>
      <c r="W19" s="302">
        <v>0</v>
      </c>
      <c r="X19" s="302"/>
      <c r="Y19" s="301">
        <v>0</v>
      </c>
      <c r="Z19" s="301">
        <v>0</v>
      </c>
      <c r="AA19" s="301"/>
      <c r="AB19" s="348">
        <v>0</v>
      </c>
      <c r="AC19" s="348">
        <v>0</v>
      </c>
      <c r="AD19" s="348"/>
      <c r="AE19" s="348">
        <v>0</v>
      </c>
      <c r="AF19" s="348">
        <v>0</v>
      </c>
      <c r="AG19" s="348"/>
      <c r="AH19" s="303">
        <f t="shared" si="0"/>
        <v>4844698</v>
      </c>
      <c r="AI19" s="303">
        <f t="shared" si="1"/>
        <v>4644698</v>
      </c>
      <c r="AJ19" s="303">
        <f t="shared" si="2"/>
        <v>4258522</v>
      </c>
      <c r="AK19" s="339">
        <v>1</v>
      </c>
      <c r="AL19" s="339">
        <v>1</v>
      </c>
      <c r="AM19" s="339">
        <v>1</v>
      </c>
    </row>
    <row r="20" spans="1:40" ht="16.5" thickBot="1">
      <c r="A20" s="682"/>
      <c r="B20" s="306" t="s">
        <v>168</v>
      </c>
      <c r="C20" s="304" t="s">
        <v>215</v>
      </c>
      <c r="D20" s="301">
        <v>21692500</v>
      </c>
      <c r="E20" s="301">
        <v>22313677</v>
      </c>
      <c r="F20" s="301">
        <v>22203549</v>
      </c>
      <c r="G20" s="301">
        <v>4100087</v>
      </c>
      <c r="H20" s="301">
        <v>4310012</v>
      </c>
      <c r="I20" s="301">
        <v>4029382</v>
      </c>
      <c r="J20" s="301">
        <f>14530000+4584000+500000+386000+500000</f>
        <v>20500000</v>
      </c>
      <c r="K20" s="301">
        <v>16487084</v>
      </c>
      <c r="L20" s="301">
        <v>15327312</v>
      </c>
      <c r="M20" s="301">
        <f>2400000+61250+500000+20000+200000+200000</f>
        <v>3381250</v>
      </c>
      <c r="N20" s="301">
        <f>2400000+190692</f>
        <v>2590692</v>
      </c>
      <c r="O20" s="301">
        <v>190692</v>
      </c>
      <c r="P20" s="302">
        <v>0</v>
      </c>
      <c r="Q20" s="302">
        <v>0</v>
      </c>
      <c r="R20" s="302"/>
      <c r="S20" s="301">
        <v>2267425</v>
      </c>
      <c r="T20" s="301">
        <v>2267425</v>
      </c>
      <c r="U20" s="301"/>
      <c r="V20" s="302">
        <v>0</v>
      </c>
      <c r="W20" s="302">
        <v>0</v>
      </c>
      <c r="X20" s="302"/>
      <c r="Y20" s="301">
        <v>0</v>
      </c>
      <c r="Z20" s="301">
        <v>0</v>
      </c>
      <c r="AA20" s="301"/>
      <c r="AB20" s="348">
        <v>9827883</v>
      </c>
      <c r="AC20" s="348">
        <v>7421990</v>
      </c>
      <c r="AD20" s="348">
        <v>236370</v>
      </c>
      <c r="AE20" s="348">
        <v>0</v>
      </c>
      <c r="AF20" s="348">
        <v>0</v>
      </c>
      <c r="AG20" s="348"/>
      <c r="AH20" s="303">
        <f t="shared" si="0"/>
        <v>61769145</v>
      </c>
      <c r="AI20" s="303">
        <f t="shared" si="1"/>
        <v>55390880</v>
      </c>
      <c r="AJ20" s="303">
        <f t="shared" si="2"/>
        <v>41987305</v>
      </c>
      <c r="AK20" s="339">
        <v>9</v>
      </c>
      <c r="AL20" s="339">
        <v>10</v>
      </c>
      <c r="AM20" s="339">
        <v>10</v>
      </c>
      <c r="AN20" s="487" t="s">
        <v>484</v>
      </c>
    </row>
    <row r="21" spans="1:40" ht="16.5" thickBot="1">
      <c r="A21" s="682"/>
      <c r="B21" s="306" t="s">
        <v>199</v>
      </c>
      <c r="C21" s="304" t="s">
        <v>216</v>
      </c>
      <c r="D21" s="301">
        <v>0</v>
      </c>
      <c r="E21" s="301">
        <v>0</v>
      </c>
      <c r="F21" s="301"/>
      <c r="G21" s="301">
        <v>0</v>
      </c>
      <c r="H21" s="301">
        <v>0</v>
      </c>
      <c r="I21" s="301"/>
      <c r="J21" s="301">
        <v>2120000</v>
      </c>
      <c r="K21" s="301">
        <v>3897462</v>
      </c>
      <c r="L21" s="301">
        <v>3698901</v>
      </c>
      <c r="M21" s="301">
        <v>0</v>
      </c>
      <c r="N21" s="301">
        <v>0</v>
      </c>
      <c r="O21" s="301"/>
      <c r="P21" s="302">
        <v>0</v>
      </c>
      <c r="Q21" s="302">
        <v>0</v>
      </c>
      <c r="R21" s="302"/>
      <c r="S21" s="301">
        <v>0</v>
      </c>
      <c r="T21" s="301">
        <v>0</v>
      </c>
      <c r="U21" s="301"/>
      <c r="V21" s="302">
        <v>0</v>
      </c>
      <c r="W21" s="302">
        <v>0</v>
      </c>
      <c r="X21" s="302"/>
      <c r="Y21" s="301">
        <v>0</v>
      </c>
      <c r="Z21" s="301">
        <v>0</v>
      </c>
      <c r="AA21" s="301"/>
      <c r="AB21" s="348">
        <f>148074197+1750000</f>
        <v>149824197</v>
      </c>
      <c r="AC21" s="348">
        <v>1268750</v>
      </c>
      <c r="AD21" s="348">
        <v>1268750</v>
      </c>
      <c r="AE21" s="348">
        <v>0</v>
      </c>
      <c r="AF21" s="348">
        <v>0</v>
      </c>
      <c r="AG21" s="348"/>
      <c r="AH21" s="303">
        <f t="shared" si="0"/>
        <v>151944197</v>
      </c>
      <c r="AI21" s="303">
        <f t="shared" si="1"/>
        <v>5166212</v>
      </c>
      <c r="AJ21" s="303">
        <f t="shared" si="2"/>
        <v>4967651</v>
      </c>
      <c r="AK21" s="339">
        <v>0</v>
      </c>
      <c r="AL21" s="339">
        <v>0</v>
      </c>
      <c r="AM21" s="339">
        <v>0</v>
      </c>
    </row>
    <row r="22" spans="1:40" ht="16.5" thickBot="1">
      <c r="A22" s="682"/>
      <c r="B22" s="306" t="s">
        <v>170</v>
      </c>
      <c r="C22" s="305" t="s">
        <v>48</v>
      </c>
      <c r="D22" s="301">
        <v>11591976</v>
      </c>
      <c r="E22" s="301">
        <v>12994104</v>
      </c>
      <c r="F22" s="301">
        <v>12807022</v>
      </c>
      <c r="G22" s="301">
        <v>2260435</v>
      </c>
      <c r="H22" s="301">
        <v>2505807</v>
      </c>
      <c r="I22" s="301">
        <v>2397939</v>
      </c>
      <c r="J22" s="301">
        <v>1700000</v>
      </c>
      <c r="K22" s="301">
        <v>1700000</v>
      </c>
      <c r="L22" s="301">
        <v>1284854</v>
      </c>
      <c r="M22" s="301">
        <v>0</v>
      </c>
      <c r="N22" s="301">
        <v>0</v>
      </c>
      <c r="O22" s="301"/>
      <c r="P22" s="302">
        <v>0</v>
      </c>
      <c r="Q22" s="302">
        <v>0</v>
      </c>
      <c r="R22" s="302"/>
      <c r="S22" s="301">
        <v>0</v>
      </c>
      <c r="T22" s="301">
        <v>0</v>
      </c>
      <c r="U22" s="301"/>
      <c r="V22" s="302">
        <v>0</v>
      </c>
      <c r="W22" s="302">
        <v>0</v>
      </c>
      <c r="X22" s="302"/>
      <c r="Y22" s="301">
        <v>0</v>
      </c>
      <c r="Z22" s="301">
        <v>0</v>
      </c>
      <c r="AA22" s="301"/>
      <c r="AB22" s="348">
        <v>130000</v>
      </c>
      <c r="AC22" s="348">
        <v>130000</v>
      </c>
      <c r="AD22" s="348">
        <v>113665</v>
      </c>
      <c r="AE22" s="348">
        <v>0</v>
      </c>
      <c r="AF22" s="348">
        <v>0</v>
      </c>
      <c r="AG22" s="348"/>
      <c r="AH22" s="303">
        <f t="shared" si="0"/>
        <v>15682411</v>
      </c>
      <c r="AI22" s="303">
        <f t="shared" si="1"/>
        <v>17329911</v>
      </c>
      <c r="AJ22" s="303">
        <f t="shared" si="2"/>
        <v>16603480</v>
      </c>
      <c r="AK22" s="339">
        <v>3</v>
      </c>
      <c r="AL22" s="339">
        <v>3</v>
      </c>
      <c r="AM22" s="339">
        <v>3</v>
      </c>
    </row>
    <row r="23" spans="1:40" ht="16.5" thickBot="1">
      <c r="A23" s="682"/>
      <c r="B23" s="507" t="s">
        <v>202</v>
      </c>
      <c r="C23" s="305" t="s">
        <v>219</v>
      </c>
      <c r="D23" s="301">
        <v>120000</v>
      </c>
      <c r="E23" s="301">
        <v>260450</v>
      </c>
      <c r="F23" s="301">
        <v>260450</v>
      </c>
      <c r="G23" s="301">
        <v>23400</v>
      </c>
      <c r="H23" s="301">
        <v>48000</v>
      </c>
      <c r="I23" s="301">
        <v>42281</v>
      </c>
      <c r="J23" s="301">
        <v>2330000</v>
      </c>
      <c r="K23" s="301">
        <v>1894033</v>
      </c>
      <c r="L23" s="301">
        <v>1480148</v>
      </c>
      <c r="M23" s="301">
        <v>1500000</v>
      </c>
      <c r="N23" s="301">
        <v>0</v>
      </c>
      <c r="O23" s="301">
        <v>0</v>
      </c>
      <c r="P23" s="302">
        <v>0</v>
      </c>
      <c r="Q23" s="302">
        <v>0</v>
      </c>
      <c r="R23" s="302"/>
      <c r="S23" s="301">
        <v>0</v>
      </c>
      <c r="T23" s="301">
        <v>0</v>
      </c>
      <c r="U23" s="301"/>
      <c r="V23" s="302">
        <v>0</v>
      </c>
      <c r="W23" s="302">
        <v>0</v>
      </c>
      <c r="X23" s="302"/>
      <c r="Y23" s="301">
        <v>0</v>
      </c>
      <c r="Z23" s="301">
        <v>0</v>
      </c>
      <c r="AA23" s="301"/>
      <c r="AB23" s="348">
        <v>23529412</v>
      </c>
      <c r="AC23" s="348">
        <v>210079</v>
      </c>
      <c r="AD23" s="348">
        <v>210079</v>
      </c>
      <c r="AE23" s="348">
        <v>0</v>
      </c>
      <c r="AF23" s="348">
        <v>23590250</v>
      </c>
      <c r="AG23" s="348">
        <v>23590250</v>
      </c>
      <c r="AH23" s="303">
        <f t="shared" si="0"/>
        <v>27502812</v>
      </c>
      <c r="AI23" s="303">
        <f t="shared" si="1"/>
        <v>26002812</v>
      </c>
      <c r="AJ23" s="303">
        <f t="shared" si="2"/>
        <v>25583208</v>
      </c>
      <c r="AK23" s="339">
        <v>0</v>
      </c>
      <c r="AL23" s="339">
        <v>0</v>
      </c>
      <c r="AM23" s="339">
        <v>0</v>
      </c>
    </row>
    <row r="24" spans="1:40" ht="16.5" thickBot="1">
      <c r="A24" s="682"/>
      <c r="B24" s="306" t="s">
        <v>269</v>
      </c>
      <c r="C24" s="305" t="s">
        <v>220</v>
      </c>
      <c r="D24" s="301">
        <v>0</v>
      </c>
      <c r="E24" s="301">
        <v>0</v>
      </c>
      <c r="F24" s="301"/>
      <c r="G24" s="301">
        <v>0</v>
      </c>
      <c r="H24" s="301">
        <v>0</v>
      </c>
      <c r="I24" s="301"/>
      <c r="J24" s="301">
        <v>0</v>
      </c>
      <c r="K24" s="301">
        <v>0</v>
      </c>
      <c r="L24" s="301"/>
      <c r="M24" s="301">
        <v>79255883</v>
      </c>
      <c r="N24" s="301">
        <v>80816358</v>
      </c>
      <c r="O24" s="301">
        <v>78795406</v>
      </c>
      <c r="P24" s="302">
        <v>0</v>
      </c>
      <c r="Q24" s="302">
        <v>0</v>
      </c>
      <c r="R24" s="302"/>
      <c r="S24" s="301">
        <v>0</v>
      </c>
      <c r="T24" s="301">
        <v>0</v>
      </c>
      <c r="U24" s="301"/>
      <c r="V24" s="302">
        <v>0</v>
      </c>
      <c r="W24" s="302">
        <v>0</v>
      </c>
      <c r="X24" s="302"/>
      <c r="Y24" s="301">
        <v>0</v>
      </c>
      <c r="Z24" s="301">
        <v>0</v>
      </c>
      <c r="AA24" s="301"/>
      <c r="AB24" s="348">
        <v>0</v>
      </c>
      <c r="AC24" s="348">
        <v>0</v>
      </c>
      <c r="AD24" s="348"/>
      <c r="AE24" s="348">
        <v>0</v>
      </c>
      <c r="AF24" s="348">
        <v>0</v>
      </c>
      <c r="AG24" s="348"/>
      <c r="AH24" s="303">
        <f t="shared" si="0"/>
        <v>79255883</v>
      </c>
      <c r="AI24" s="303">
        <f t="shared" si="1"/>
        <v>80816358</v>
      </c>
      <c r="AJ24" s="303">
        <f t="shared" si="2"/>
        <v>78795406</v>
      </c>
      <c r="AK24" s="339">
        <v>0</v>
      </c>
      <c r="AL24" s="339">
        <v>0</v>
      </c>
      <c r="AM24" s="339">
        <v>0</v>
      </c>
    </row>
    <row r="25" spans="1:40" ht="63.75" customHeight="1" thickBot="1">
      <c r="A25" s="682"/>
      <c r="B25" s="306" t="s">
        <v>269</v>
      </c>
      <c r="C25" s="383" t="s">
        <v>559</v>
      </c>
      <c r="D25" s="301">
        <v>0</v>
      </c>
      <c r="E25" s="301">
        <v>0</v>
      </c>
      <c r="F25" s="301"/>
      <c r="G25" s="301">
        <v>0</v>
      </c>
      <c r="H25" s="301">
        <v>0</v>
      </c>
      <c r="I25" s="301"/>
      <c r="J25" s="301">
        <v>0</v>
      </c>
      <c r="K25" s="301">
        <v>0</v>
      </c>
      <c r="L25" s="301"/>
      <c r="M25" s="301">
        <f>150000+110000+10000</f>
        <v>270000</v>
      </c>
      <c r="N25" s="301">
        <f>150000+110000+10000+8932904+2400000</f>
        <v>11602904</v>
      </c>
      <c r="O25" s="301">
        <f>9179359+2251250</f>
        <v>11430609</v>
      </c>
      <c r="P25" s="301">
        <v>0</v>
      </c>
      <c r="Q25" s="301">
        <v>0</v>
      </c>
      <c r="R25" s="301"/>
      <c r="S25" s="301">
        <v>0</v>
      </c>
      <c r="T25" s="301">
        <v>0</v>
      </c>
      <c r="U25" s="301"/>
      <c r="V25" s="301">
        <v>0</v>
      </c>
      <c r="W25" s="301">
        <v>0</v>
      </c>
      <c r="X25" s="301"/>
      <c r="Y25" s="301">
        <v>0</v>
      </c>
      <c r="Z25" s="301">
        <v>0</v>
      </c>
      <c r="AA25" s="301"/>
      <c r="AB25" s="301">
        <v>0</v>
      </c>
      <c r="AC25" s="301">
        <v>0</v>
      </c>
      <c r="AD25" s="301"/>
      <c r="AE25" s="301">
        <v>0</v>
      </c>
      <c r="AF25" s="301">
        <v>0</v>
      </c>
      <c r="AG25" s="301"/>
      <c r="AH25" s="303">
        <f t="shared" si="0"/>
        <v>270000</v>
      </c>
      <c r="AI25" s="303">
        <f t="shared" si="1"/>
        <v>11602904</v>
      </c>
      <c r="AJ25" s="303">
        <f t="shared" si="2"/>
        <v>11430609</v>
      </c>
      <c r="AK25" s="339"/>
      <c r="AL25" s="339"/>
      <c r="AM25" s="339"/>
    </row>
    <row r="26" spans="1:40" ht="42" customHeight="1" thickBot="1">
      <c r="A26" s="682"/>
      <c r="B26" s="306" t="s">
        <v>269</v>
      </c>
      <c r="C26" s="383" t="s">
        <v>519</v>
      </c>
      <c r="D26" s="301">
        <v>0</v>
      </c>
      <c r="E26" s="301">
        <v>0</v>
      </c>
      <c r="F26" s="301"/>
      <c r="G26" s="301">
        <v>0</v>
      </c>
      <c r="H26" s="301">
        <v>0</v>
      </c>
      <c r="I26" s="301"/>
      <c r="J26" s="301">
        <v>0</v>
      </c>
      <c r="K26" s="301">
        <v>0</v>
      </c>
      <c r="L26" s="301"/>
      <c r="M26" s="301">
        <v>0</v>
      </c>
      <c r="N26" s="301">
        <v>155500000</v>
      </c>
      <c r="O26" s="301">
        <v>155500000</v>
      </c>
      <c r="P26" s="301">
        <v>0</v>
      </c>
      <c r="Q26" s="301">
        <v>0</v>
      </c>
      <c r="R26" s="301"/>
      <c r="S26" s="301">
        <v>0</v>
      </c>
      <c r="T26" s="301">
        <v>0</v>
      </c>
      <c r="U26" s="301"/>
      <c r="V26" s="301">
        <v>0</v>
      </c>
      <c r="W26" s="301">
        <v>0</v>
      </c>
      <c r="X26" s="301"/>
      <c r="Y26" s="301">
        <v>0</v>
      </c>
      <c r="Z26" s="301">
        <v>0</v>
      </c>
      <c r="AA26" s="301"/>
      <c r="AB26" s="301">
        <v>0</v>
      </c>
      <c r="AC26" s="301">
        <v>0</v>
      </c>
      <c r="AD26" s="301"/>
      <c r="AE26" s="301">
        <v>0</v>
      </c>
      <c r="AF26" s="301">
        <v>0</v>
      </c>
      <c r="AG26" s="301"/>
      <c r="AH26" s="303">
        <f t="shared" si="0"/>
        <v>0</v>
      </c>
      <c r="AI26" s="303">
        <f t="shared" si="1"/>
        <v>155500000</v>
      </c>
      <c r="AJ26" s="303">
        <f t="shared" si="2"/>
        <v>155500000</v>
      </c>
      <c r="AK26" s="339"/>
      <c r="AL26" s="339"/>
      <c r="AM26" s="339"/>
    </row>
    <row r="27" spans="1:40" ht="16.5" thickBot="1">
      <c r="A27" s="682"/>
      <c r="B27" s="306" t="s">
        <v>205</v>
      </c>
      <c r="C27" s="305" t="s">
        <v>172</v>
      </c>
      <c r="D27" s="301">
        <v>5545044</v>
      </c>
      <c r="E27" s="301">
        <v>5785044</v>
      </c>
      <c r="F27" s="301">
        <v>5651197</v>
      </c>
      <c r="G27" s="301">
        <v>1081284</v>
      </c>
      <c r="H27" s="301">
        <v>1081284</v>
      </c>
      <c r="I27" s="301">
        <v>1071677</v>
      </c>
      <c r="J27" s="301">
        <f>144000+2410000+40000+106000</f>
        <v>2700000</v>
      </c>
      <c r="K27" s="301">
        <v>3245100</v>
      </c>
      <c r="L27" s="301">
        <v>2090946</v>
      </c>
      <c r="M27" s="301">
        <v>0</v>
      </c>
      <c r="N27" s="301">
        <v>0</v>
      </c>
      <c r="O27" s="301"/>
      <c r="P27" s="302">
        <v>0</v>
      </c>
      <c r="Q27" s="302">
        <v>0</v>
      </c>
      <c r="R27" s="302"/>
      <c r="S27" s="301">
        <v>0</v>
      </c>
      <c r="T27" s="301">
        <v>0</v>
      </c>
      <c r="U27" s="301"/>
      <c r="V27" s="302">
        <v>0</v>
      </c>
      <c r="W27" s="302">
        <v>0</v>
      </c>
      <c r="X27" s="302"/>
      <c r="Y27" s="301">
        <v>0</v>
      </c>
      <c r="Z27" s="301">
        <v>0</v>
      </c>
      <c r="AA27" s="301"/>
      <c r="AB27" s="348">
        <f>200000+50000</f>
        <v>250000</v>
      </c>
      <c r="AC27" s="348">
        <f>200000+50000</f>
        <v>250000</v>
      </c>
      <c r="AD27" s="348">
        <v>0</v>
      </c>
      <c r="AE27" s="348">
        <v>150000</v>
      </c>
      <c r="AF27" s="348">
        <v>150000</v>
      </c>
      <c r="AG27" s="348">
        <v>0</v>
      </c>
      <c r="AH27" s="303">
        <f t="shared" si="0"/>
        <v>9726328</v>
      </c>
      <c r="AI27" s="303">
        <f t="shared" si="1"/>
        <v>10511428</v>
      </c>
      <c r="AJ27" s="303">
        <f t="shared" si="2"/>
        <v>8813820</v>
      </c>
      <c r="AK27" s="339">
        <v>2</v>
      </c>
      <c r="AL27" s="339">
        <v>2</v>
      </c>
      <c r="AM27" s="339">
        <v>2</v>
      </c>
    </row>
    <row r="28" spans="1:40" ht="16.5" thickBot="1">
      <c r="A28" s="682"/>
      <c r="B28" s="306" t="s">
        <v>206</v>
      </c>
      <c r="C28" s="305" t="s">
        <v>222</v>
      </c>
      <c r="D28" s="301">
        <v>0</v>
      </c>
      <c r="E28" s="301">
        <v>0</v>
      </c>
      <c r="F28" s="301"/>
      <c r="G28" s="301">
        <v>0</v>
      </c>
      <c r="H28" s="301">
        <v>0</v>
      </c>
      <c r="I28" s="301"/>
      <c r="J28" s="301">
        <v>600000</v>
      </c>
      <c r="K28" s="301">
        <v>600000</v>
      </c>
      <c r="L28" s="301">
        <v>47290</v>
      </c>
      <c r="M28" s="301">
        <v>0</v>
      </c>
      <c r="N28" s="301">
        <v>0</v>
      </c>
      <c r="O28" s="301"/>
      <c r="P28" s="302">
        <v>0</v>
      </c>
      <c r="Q28" s="302">
        <v>0</v>
      </c>
      <c r="R28" s="302"/>
      <c r="S28" s="301">
        <v>5056084</v>
      </c>
      <c r="T28" s="301">
        <v>5056084</v>
      </c>
      <c r="U28" s="301">
        <v>0</v>
      </c>
      <c r="V28" s="302">
        <v>0</v>
      </c>
      <c r="W28" s="302">
        <v>0</v>
      </c>
      <c r="X28" s="302"/>
      <c r="Y28" s="301">
        <v>0</v>
      </c>
      <c r="Z28" s="301">
        <v>0</v>
      </c>
      <c r="AA28" s="301"/>
      <c r="AB28" s="348">
        <v>500000</v>
      </c>
      <c r="AC28" s="348">
        <v>500000</v>
      </c>
      <c r="AD28" s="348">
        <v>73900</v>
      </c>
      <c r="AE28" s="348">
        <v>1000000</v>
      </c>
      <c r="AF28" s="348">
        <v>1000000</v>
      </c>
      <c r="AG28" s="348">
        <v>476248</v>
      </c>
      <c r="AH28" s="303">
        <f t="shared" si="0"/>
        <v>7156084</v>
      </c>
      <c r="AI28" s="303">
        <f t="shared" si="1"/>
        <v>7156084</v>
      </c>
      <c r="AJ28" s="303">
        <f t="shared" si="2"/>
        <v>597438</v>
      </c>
      <c r="AK28" s="339">
        <v>0</v>
      </c>
      <c r="AL28" s="339">
        <v>0</v>
      </c>
      <c r="AM28" s="339">
        <v>0</v>
      </c>
    </row>
    <row r="29" spans="1:40" ht="32.25" thickBot="1">
      <c r="A29" s="682"/>
      <c r="B29" s="306" t="s">
        <v>358</v>
      </c>
      <c r="C29" s="383" t="s">
        <v>522</v>
      </c>
      <c r="D29" s="301">
        <v>0</v>
      </c>
      <c r="E29" s="301">
        <v>0</v>
      </c>
      <c r="F29" s="301"/>
      <c r="G29" s="301">
        <v>0</v>
      </c>
      <c r="H29" s="301">
        <v>0</v>
      </c>
      <c r="I29" s="301"/>
      <c r="J29" s="301">
        <v>0</v>
      </c>
      <c r="K29" s="301">
        <v>4660165</v>
      </c>
      <c r="L29" s="301">
        <v>4660165</v>
      </c>
      <c r="M29" s="301">
        <v>0</v>
      </c>
      <c r="N29" s="301">
        <v>0</v>
      </c>
      <c r="O29" s="301"/>
      <c r="P29" s="302">
        <v>0</v>
      </c>
      <c r="Q29" s="302">
        <v>0</v>
      </c>
      <c r="R29" s="302"/>
      <c r="S29" s="301">
        <v>0</v>
      </c>
      <c r="T29" s="301">
        <v>0</v>
      </c>
      <c r="U29" s="301"/>
      <c r="V29" s="302">
        <v>0</v>
      </c>
      <c r="W29" s="302">
        <v>0</v>
      </c>
      <c r="X29" s="302"/>
      <c r="Y29" s="301">
        <v>0</v>
      </c>
      <c r="Z29" s="301">
        <v>0</v>
      </c>
      <c r="AA29" s="301"/>
      <c r="AB29" s="348">
        <v>0</v>
      </c>
      <c r="AC29" s="348">
        <v>0</v>
      </c>
      <c r="AD29" s="348"/>
      <c r="AE29" s="348">
        <v>0</v>
      </c>
      <c r="AF29" s="348">
        <v>0</v>
      </c>
      <c r="AG29" s="348"/>
      <c r="AH29" s="303">
        <f t="shared" si="0"/>
        <v>0</v>
      </c>
      <c r="AI29" s="303">
        <f t="shared" si="1"/>
        <v>4660165</v>
      </c>
      <c r="AJ29" s="303">
        <f t="shared" si="2"/>
        <v>4660165</v>
      </c>
      <c r="AK29" s="339">
        <v>0</v>
      </c>
      <c r="AL29" s="339"/>
      <c r="AM29" s="339"/>
    </row>
    <row r="30" spans="1:40" ht="16.5" thickBot="1">
      <c r="A30" s="682"/>
      <c r="B30" s="306" t="s">
        <v>207</v>
      </c>
      <c r="C30" s="305" t="s">
        <v>223</v>
      </c>
      <c r="D30" s="301">
        <v>0</v>
      </c>
      <c r="E30" s="301">
        <v>0</v>
      </c>
      <c r="F30" s="301"/>
      <c r="G30" s="301">
        <v>0</v>
      </c>
      <c r="H30" s="301">
        <v>0</v>
      </c>
      <c r="I30" s="301"/>
      <c r="J30" s="301">
        <v>0</v>
      </c>
      <c r="K30" s="301">
        <v>0</v>
      </c>
      <c r="L30" s="301"/>
      <c r="M30" s="301">
        <v>0</v>
      </c>
      <c r="N30" s="301">
        <v>0</v>
      </c>
      <c r="O30" s="301"/>
      <c r="P30" s="302">
        <f>700000+1600000+100000</f>
        <v>2400000</v>
      </c>
      <c r="Q30" s="302">
        <f>700000+1600000+100000</f>
        <v>2400000</v>
      </c>
      <c r="R30" s="302">
        <f>461122+1548500</f>
        <v>2009622</v>
      </c>
      <c r="S30" s="301">
        <v>0</v>
      </c>
      <c r="T30" s="301">
        <v>0</v>
      </c>
      <c r="U30" s="301"/>
      <c r="V30" s="302">
        <v>0</v>
      </c>
      <c r="W30" s="302">
        <v>0</v>
      </c>
      <c r="X30" s="302"/>
      <c r="Y30" s="301">
        <v>0</v>
      </c>
      <c r="Z30" s="301">
        <v>0</v>
      </c>
      <c r="AA30" s="301"/>
      <c r="AB30" s="348">
        <v>0</v>
      </c>
      <c r="AC30" s="348">
        <v>0</v>
      </c>
      <c r="AD30" s="348"/>
      <c r="AE30" s="348">
        <v>0</v>
      </c>
      <c r="AF30" s="348">
        <v>0</v>
      </c>
      <c r="AG30" s="348"/>
      <c r="AH30" s="303">
        <f t="shared" si="0"/>
        <v>2400000</v>
      </c>
      <c r="AI30" s="303">
        <f t="shared" si="1"/>
        <v>2400000</v>
      </c>
      <c r="AJ30" s="303">
        <f t="shared" si="2"/>
        <v>2009622</v>
      </c>
      <c r="AK30" s="339">
        <v>0</v>
      </c>
      <c r="AL30" s="339">
        <v>0</v>
      </c>
      <c r="AM30" s="339">
        <v>0</v>
      </c>
    </row>
    <row r="31" spans="1:40" ht="16.5" thickBot="1">
      <c r="A31" s="682"/>
      <c r="B31" s="306" t="s">
        <v>229</v>
      </c>
      <c r="C31" s="382" t="s">
        <v>231</v>
      </c>
      <c r="D31" s="301">
        <v>0</v>
      </c>
      <c r="E31" s="301">
        <v>0</v>
      </c>
      <c r="F31" s="301"/>
      <c r="G31" s="301">
        <v>0</v>
      </c>
      <c r="H31" s="301">
        <v>0</v>
      </c>
      <c r="I31" s="301"/>
      <c r="J31" s="301">
        <v>0</v>
      </c>
      <c r="K31" s="301">
        <v>1269313</v>
      </c>
      <c r="L31" s="301">
        <v>1253100</v>
      </c>
      <c r="M31" s="301">
        <v>0</v>
      </c>
      <c r="N31" s="301">
        <v>0</v>
      </c>
      <c r="O31" s="301"/>
      <c r="P31" s="302">
        <v>0</v>
      </c>
      <c r="Q31" s="302">
        <v>0</v>
      </c>
      <c r="R31" s="302"/>
      <c r="S31" s="301">
        <v>0</v>
      </c>
      <c r="T31" s="301">
        <v>0</v>
      </c>
      <c r="U31" s="301"/>
      <c r="V31" s="302">
        <v>0</v>
      </c>
      <c r="W31" s="302">
        <v>0</v>
      </c>
      <c r="X31" s="302"/>
      <c r="Y31" s="301">
        <v>0</v>
      </c>
      <c r="Z31" s="301">
        <v>0</v>
      </c>
      <c r="AA31" s="301"/>
      <c r="AB31" s="348">
        <f>2734000+1700000+180000+500000</f>
        <v>5114000</v>
      </c>
      <c r="AC31" s="348">
        <v>3828905</v>
      </c>
      <c r="AD31" s="348">
        <v>2724404</v>
      </c>
      <c r="AE31" s="348">
        <v>0</v>
      </c>
      <c r="AF31" s="348">
        <v>398526</v>
      </c>
      <c r="AG31" s="348">
        <v>398526</v>
      </c>
      <c r="AH31" s="303">
        <f t="shared" si="0"/>
        <v>5114000</v>
      </c>
      <c r="AI31" s="303">
        <f t="shared" si="1"/>
        <v>5496744</v>
      </c>
      <c r="AJ31" s="303">
        <f t="shared" si="2"/>
        <v>4376030</v>
      </c>
      <c r="AK31" s="339">
        <v>0</v>
      </c>
      <c r="AL31" s="339">
        <v>0</v>
      </c>
      <c r="AM31" s="339">
        <v>0</v>
      </c>
      <c r="AN31" s="492"/>
    </row>
    <row r="32" spans="1:40" ht="16.5" thickBot="1">
      <c r="A32" s="682"/>
      <c r="B32" s="306" t="s">
        <v>270</v>
      </c>
      <c r="C32" s="305" t="s">
        <v>271</v>
      </c>
      <c r="D32" s="301">
        <v>0</v>
      </c>
      <c r="E32" s="301">
        <v>0</v>
      </c>
      <c r="F32" s="301"/>
      <c r="G32" s="301">
        <v>0</v>
      </c>
      <c r="H32" s="301">
        <v>0</v>
      </c>
      <c r="I32" s="301"/>
      <c r="J32" s="301">
        <v>0</v>
      </c>
      <c r="K32" s="301">
        <v>0</v>
      </c>
      <c r="L32" s="301"/>
      <c r="M32" s="301">
        <v>0</v>
      </c>
      <c r="N32" s="301">
        <v>0</v>
      </c>
      <c r="O32" s="301"/>
      <c r="P32" s="302">
        <v>0</v>
      </c>
      <c r="Q32" s="302">
        <v>0</v>
      </c>
      <c r="R32" s="302"/>
      <c r="S32" s="301">
        <v>0</v>
      </c>
      <c r="T32" s="301">
        <v>0</v>
      </c>
      <c r="U32" s="301"/>
      <c r="V32" s="302">
        <v>10420711</v>
      </c>
      <c r="W32" s="302">
        <v>10420711</v>
      </c>
      <c r="X32" s="302">
        <v>10420711</v>
      </c>
      <c r="Y32" s="301">
        <v>0</v>
      </c>
      <c r="Z32" s="301">
        <v>0</v>
      </c>
      <c r="AA32" s="301"/>
      <c r="AB32" s="301">
        <v>0</v>
      </c>
      <c r="AC32" s="301">
        <v>0</v>
      </c>
      <c r="AD32" s="301"/>
      <c r="AE32" s="301">
        <v>0</v>
      </c>
      <c r="AF32" s="301">
        <v>0</v>
      </c>
      <c r="AG32" s="301"/>
      <c r="AH32" s="303">
        <f t="shared" si="0"/>
        <v>10420711</v>
      </c>
      <c r="AI32" s="303">
        <f t="shared" si="1"/>
        <v>10420711</v>
      </c>
      <c r="AJ32" s="303">
        <f t="shared" si="2"/>
        <v>10420711</v>
      </c>
      <c r="AK32" s="339">
        <v>0</v>
      </c>
      <c r="AL32" s="339">
        <v>0</v>
      </c>
      <c r="AM32" s="339">
        <v>0</v>
      </c>
    </row>
    <row r="33" spans="1:42" ht="35.25" customHeight="1" thickBot="1">
      <c r="A33" s="682"/>
      <c r="B33" s="306" t="s">
        <v>428</v>
      </c>
      <c r="C33" s="305" t="s">
        <v>429</v>
      </c>
      <c r="D33" s="301">
        <v>0</v>
      </c>
      <c r="E33" s="301">
        <v>0</v>
      </c>
      <c r="F33" s="301"/>
      <c r="G33" s="301">
        <v>0</v>
      </c>
      <c r="H33" s="301">
        <v>0</v>
      </c>
      <c r="I33" s="301"/>
      <c r="J33" s="301">
        <v>0</v>
      </c>
      <c r="K33" s="301">
        <v>416151</v>
      </c>
      <c r="L33" s="301">
        <v>259646</v>
      </c>
      <c r="M33" s="301">
        <v>0</v>
      </c>
      <c r="N33" s="301">
        <v>0</v>
      </c>
      <c r="O33" s="301"/>
      <c r="P33" s="301">
        <v>0</v>
      </c>
      <c r="Q33" s="301">
        <v>0</v>
      </c>
      <c r="R33" s="301"/>
      <c r="S33" s="301">
        <v>0</v>
      </c>
      <c r="T33" s="301">
        <v>0</v>
      </c>
      <c r="U33" s="301"/>
      <c r="V33" s="301">
        <v>0</v>
      </c>
      <c r="W33" s="301">
        <v>0</v>
      </c>
      <c r="X33" s="301"/>
      <c r="Y33" s="301">
        <f>893700+749868</f>
        <v>1643568</v>
      </c>
      <c r="Z33" s="301">
        <v>898197</v>
      </c>
      <c r="AA33" s="301">
        <v>742256</v>
      </c>
      <c r="AB33" s="301">
        <v>0</v>
      </c>
      <c r="AC33" s="301">
        <v>329220</v>
      </c>
      <c r="AD33" s="301">
        <v>329220</v>
      </c>
      <c r="AE33" s="301">
        <v>0</v>
      </c>
      <c r="AF33" s="301">
        <v>0</v>
      </c>
      <c r="AG33" s="301"/>
      <c r="AH33" s="303">
        <f t="shared" si="0"/>
        <v>1643568</v>
      </c>
      <c r="AI33" s="303">
        <f t="shared" si="1"/>
        <v>1643568</v>
      </c>
      <c r="AJ33" s="303">
        <f t="shared" si="2"/>
        <v>1331122</v>
      </c>
      <c r="AK33" s="339">
        <v>0</v>
      </c>
      <c r="AL33" s="339">
        <v>0</v>
      </c>
      <c r="AM33" s="339">
        <v>0</v>
      </c>
    </row>
    <row r="34" spans="1:42" ht="16.5" thickBot="1">
      <c r="A34" s="682"/>
      <c r="B34" s="190" t="s">
        <v>51</v>
      </c>
      <c r="C34" s="190"/>
      <c r="D34" s="303">
        <f>SUM(D6:D33)</f>
        <v>66615909</v>
      </c>
      <c r="E34" s="303">
        <f>SUM(E6:E33)</f>
        <v>98686898</v>
      </c>
      <c r="F34" s="303">
        <f t="shared" ref="F34:AG34" si="3">SUM(F6:F33)</f>
        <v>88585437</v>
      </c>
      <c r="G34" s="303">
        <f t="shared" si="3"/>
        <v>11926262</v>
      </c>
      <c r="H34" s="303">
        <f t="shared" si="3"/>
        <v>14925726</v>
      </c>
      <c r="I34" s="303">
        <f t="shared" si="3"/>
        <v>13702288</v>
      </c>
      <c r="J34" s="303">
        <f t="shared" si="3"/>
        <v>74225000</v>
      </c>
      <c r="K34" s="303">
        <f t="shared" si="3"/>
        <v>100933094</v>
      </c>
      <c r="L34" s="303">
        <f t="shared" si="3"/>
        <v>67041116</v>
      </c>
      <c r="M34" s="303">
        <f t="shared" si="3"/>
        <v>84547133</v>
      </c>
      <c r="N34" s="303">
        <f t="shared" si="3"/>
        <v>250649954</v>
      </c>
      <c r="O34" s="303">
        <f t="shared" si="3"/>
        <v>245916707</v>
      </c>
      <c r="P34" s="303">
        <f t="shared" si="3"/>
        <v>2400000</v>
      </c>
      <c r="Q34" s="303">
        <f t="shared" si="3"/>
        <v>2400000</v>
      </c>
      <c r="R34" s="303">
        <f t="shared" si="3"/>
        <v>2009622</v>
      </c>
      <c r="S34" s="303">
        <f t="shared" si="3"/>
        <v>107151973</v>
      </c>
      <c r="T34" s="303">
        <f t="shared" si="3"/>
        <v>89261498</v>
      </c>
      <c r="U34" s="303">
        <f t="shared" si="3"/>
        <v>0</v>
      </c>
      <c r="V34" s="303">
        <f t="shared" si="3"/>
        <v>10420711</v>
      </c>
      <c r="W34" s="303">
        <f t="shared" si="3"/>
        <v>10420711</v>
      </c>
      <c r="X34" s="303">
        <f t="shared" si="3"/>
        <v>10420711</v>
      </c>
      <c r="Y34" s="303">
        <f t="shared" si="3"/>
        <v>1643568</v>
      </c>
      <c r="Z34" s="303">
        <f t="shared" si="3"/>
        <v>898197</v>
      </c>
      <c r="AA34" s="303">
        <f t="shared" si="3"/>
        <v>742256</v>
      </c>
      <c r="AB34" s="303">
        <f t="shared" si="3"/>
        <v>226312826</v>
      </c>
      <c r="AC34" s="303">
        <f t="shared" si="3"/>
        <v>62430749</v>
      </c>
      <c r="AD34" s="303">
        <f t="shared" si="3"/>
        <v>44225064</v>
      </c>
      <c r="AE34" s="303">
        <f t="shared" si="3"/>
        <v>42859926</v>
      </c>
      <c r="AF34" s="303">
        <f t="shared" si="3"/>
        <v>114431181</v>
      </c>
      <c r="AG34" s="303">
        <f t="shared" si="3"/>
        <v>67772685</v>
      </c>
      <c r="AH34" s="303">
        <f t="shared" si="0"/>
        <v>628103308</v>
      </c>
      <c r="AI34" s="303">
        <f>+AF34+AC34+Z34+W34+T34+Q34+N34+K34+H34+E34</f>
        <v>745038008</v>
      </c>
      <c r="AJ34" s="303">
        <f>+AG34+AD34+AA34+X34+U34+R34+O34+L34+I34+F34</f>
        <v>540415886</v>
      </c>
      <c r="AK34" s="349">
        <f>SUM(AK6:AK33)</f>
        <v>56</v>
      </c>
      <c r="AL34" s="349">
        <f>SUM(AL6:AL33)</f>
        <v>45</v>
      </c>
      <c r="AM34" s="349">
        <f>SUM(AM6:AM33)</f>
        <v>45</v>
      </c>
      <c r="AO34" s="490"/>
      <c r="AP34" s="490"/>
    </row>
    <row r="35" spans="1:42" ht="16.5" thickBot="1">
      <c r="A35" s="682"/>
      <c r="B35" s="306" t="s">
        <v>201</v>
      </c>
      <c r="C35" s="305" t="s">
        <v>218</v>
      </c>
      <c r="D35" s="301">
        <v>770400</v>
      </c>
      <c r="E35" s="301">
        <v>770400</v>
      </c>
      <c r="F35" s="301">
        <v>770400</v>
      </c>
      <c r="G35" s="301">
        <v>0</v>
      </c>
      <c r="H35" s="301">
        <v>11267</v>
      </c>
      <c r="I35" s="301">
        <v>11267</v>
      </c>
      <c r="J35" s="301">
        <v>395000</v>
      </c>
      <c r="K35" s="301">
        <v>383733</v>
      </c>
      <c r="L35" s="301">
        <v>15215</v>
      </c>
      <c r="M35" s="301">
        <v>0</v>
      </c>
      <c r="N35" s="301">
        <v>0</v>
      </c>
      <c r="O35" s="301"/>
      <c r="P35" s="302">
        <v>0</v>
      </c>
      <c r="Q35" s="302">
        <v>0</v>
      </c>
      <c r="R35" s="302"/>
      <c r="S35" s="301">
        <v>0</v>
      </c>
      <c r="T35" s="301">
        <v>0</v>
      </c>
      <c r="U35" s="301"/>
      <c r="V35" s="302">
        <v>0</v>
      </c>
      <c r="W35" s="302">
        <v>0</v>
      </c>
      <c r="X35" s="302"/>
      <c r="Y35" s="301">
        <v>0</v>
      </c>
      <c r="Z35" s="301">
        <v>0</v>
      </c>
      <c r="AA35" s="301"/>
      <c r="AB35" s="301">
        <v>0</v>
      </c>
      <c r="AC35" s="301">
        <v>0</v>
      </c>
      <c r="AD35" s="301"/>
      <c r="AE35" s="301">
        <v>0</v>
      </c>
      <c r="AF35" s="301">
        <v>0</v>
      </c>
      <c r="AG35" s="301"/>
      <c r="AH35" s="303">
        <f t="shared" si="0"/>
        <v>1165400</v>
      </c>
      <c r="AI35" s="303">
        <f t="shared" si="1"/>
        <v>1165400</v>
      </c>
      <c r="AJ35" s="303">
        <f t="shared" si="2"/>
        <v>796882</v>
      </c>
      <c r="AK35" s="339">
        <v>1</v>
      </c>
      <c r="AL35" s="339">
        <v>1</v>
      </c>
      <c r="AM35" s="339">
        <v>1</v>
      </c>
      <c r="AO35" s="490"/>
    </row>
    <row r="36" spans="1:42" ht="16.5" thickBot="1">
      <c r="A36" s="682"/>
      <c r="B36" s="306" t="s">
        <v>207</v>
      </c>
      <c r="C36" s="305" t="s">
        <v>178</v>
      </c>
      <c r="D36" s="301">
        <v>0</v>
      </c>
      <c r="E36" s="301">
        <v>0</v>
      </c>
      <c r="F36" s="301"/>
      <c r="G36" s="301">
        <v>0</v>
      </c>
      <c r="H36" s="301">
        <v>0</v>
      </c>
      <c r="I36" s="301"/>
      <c r="J36" s="301">
        <v>0</v>
      </c>
      <c r="K36" s="301">
        <v>0</v>
      </c>
      <c r="L36" s="301"/>
      <c r="M36" s="301">
        <v>0</v>
      </c>
      <c r="N36" s="301">
        <v>0</v>
      </c>
      <c r="O36" s="301"/>
      <c r="P36" s="302">
        <v>567000</v>
      </c>
      <c r="Q36" s="302">
        <v>567000</v>
      </c>
      <c r="R36" s="302">
        <v>190800</v>
      </c>
      <c r="S36" s="301">
        <v>0</v>
      </c>
      <c r="T36" s="301">
        <v>0</v>
      </c>
      <c r="U36" s="301"/>
      <c r="V36" s="302">
        <v>0</v>
      </c>
      <c r="W36" s="302">
        <v>0</v>
      </c>
      <c r="X36" s="302"/>
      <c r="Y36" s="301">
        <v>0</v>
      </c>
      <c r="Z36" s="301">
        <v>0</v>
      </c>
      <c r="AA36" s="301"/>
      <c r="AB36" s="301">
        <v>0</v>
      </c>
      <c r="AC36" s="301">
        <v>0</v>
      </c>
      <c r="AD36" s="301"/>
      <c r="AE36" s="301">
        <v>0</v>
      </c>
      <c r="AF36" s="301">
        <v>0</v>
      </c>
      <c r="AG36" s="301"/>
      <c r="AH36" s="303">
        <f t="shared" si="0"/>
        <v>567000</v>
      </c>
      <c r="AI36" s="303">
        <f t="shared" si="1"/>
        <v>567000</v>
      </c>
      <c r="AJ36" s="303">
        <f t="shared" si="2"/>
        <v>190800</v>
      </c>
      <c r="AK36" s="339">
        <v>0</v>
      </c>
      <c r="AL36" s="339">
        <v>0</v>
      </c>
      <c r="AM36" s="339">
        <v>0</v>
      </c>
      <c r="AO36" s="490"/>
    </row>
    <row r="37" spans="1:42" ht="32.25" customHeight="1" thickBot="1">
      <c r="A37" s="682"/>
      <c r="B37" s="306" t="s">
        <v>207</v>
      </c>
      <c r="C37" s="383" t="s">
        <v>241</v>
      </c>
      <c r="D37" s="301">
        <v>0</v>
      </c>
      <c r="E37" s="301">
        <v>0</v>
      </c>
      <c r="F37" s="301"/>
      <c r="G37" s="301">
        <v>0</v>
      </c>
      <c r="H37" s="301">
        <v>0</v>
      </c>
      <c r="I37" s="301"/>
      <c r="J37" s="301">
        <v>0</v>
      </c>
      <c r="K37" s="301">
        <v>0</v>
      </c>
      <c r="L37" s="301"/>
      <c r="M37" s="301">
        <v>0</v>
      </c>
      <c r="N37" s="301">
        <v>0</v>
      </c>
      <c r="O37" s="301"/>
      <c r="P37" s="302">
        <v>800000</v>
      </c>
      <c r="Q37" s="302">
        <v>800000</v>
      </c>
      <c r="R37" s="302">
        <v>240000</v>
      </c>
      <c r="S37" s="301">
        <v>0</v>
      </c>
      <c r="T37" s="301">
        <v>0</v>
      </c>
      <c r="U37" s="301"/>
      <c r="V37" s="302">
        <v>0</v>
      </c>
      <c r="W37" s="302">
        <v>0</v>
      </c>
      <c r="X37" s="302"/>
      <c r="Y37" s="301">
        <v>0</v>
      </c>
      <c r="Z37" s="301">
        <v>0</v>
      </c>
      <c r="AA37" s="301"/>
      <c r="AB37" s="301">
        <v>0</v>
      </c>
      <c r="AC37" s="301">
        <v>0</v>
      </c>
      <c r="AD37" s="301"/>
      <c r="AE37" s="301">
        <v>0</v>
      </c>
      <c r="AF37" s="301">
        <v>0</v>
      </c>
      <c r="AG37" s="301"/>
      <c r="AH37" s="303">
        <f t="shared" si="0"/>
        <v>800000</v>
      </c>
      <c r="AI37" s="303">
        <f t="shared" si="1"/>
        <v>800000</v>
      </c>
      <c r="AJ37" s="303">
        <f t="shared" si="2"/>
        <v>240000</v>
      </c>
      <c r="AK37" s="339">
        <v>0</v>
      </c>
      <c r="AL37" s="339">
        <v>0</v>
      </c>
      <c r="AM37" s="339">
        <v>0</v>
      </c>
    </row>
    <row r="38" spans="1:42" ht="16.5" thickBot="1">
      <c r="A38" s="682"/>
      <c r="B38" s="493" t="s">
        <v>302</v>
      </c>
      <c r="C38" s="305" t="s">
        <v>303</v>
      </c>
      <c r="D38" s="301">
        <v>0</v>
      </c>
      <c r="E38" s="301">
        <v>0</v>
      </c>
      <c r="F38" s="301"/>
      <c r="G38" s="301">
        <v>0</v>
      </c>
      <c r="H38" s="301">
        <v>0</v>
      </c>
      <c r="I38" s="301"/>
      <c r="J38" s="301">
        <v>0</v>
      </c>
      <c r="K38" s="301">
        <v>0</v>
      </c>
      <c r="L38" s="301"/>
      <c r="M38" s="301">
        <v>0</v>
      </c>
      <c r="N38" s="301">
        <v>0</v>
      </c>
      <c r="O38" s="301"/>
      <c r="P38" s="302">
        <v>1000000</v>
      </c>
      <c r="Q38" s="302">
        <v>1000000</v>
      </c>
      <c r="R38" s="302"/>
      <c r="S38" s="301">
        <v>0</v>
      </c>
      <c r="T38" s="301">
        <v>0</v>
      </c>
      <c r="U38" s="301"/>
      <c r="V38" s="302">
        <v>0</v>
      </c>
      <c r="W38" s="302">
        <v>0</v>
      </c>
      <c r="X38" s="302"/>
      <c r="Y38" s="301">
        <v>0</v>
      </c>
      <c r="Z38" s="301">
        <v>0</v>
      </c>
      <c r="AA38" s="301"/>
      <c r="AB38" s="301">
        <v>0</v>
      </c>
      <c r="AC38" s="301">
        <v>0</v>
      </c>
      <c r="AD38" s="301"/>
      <c r="AE38" s="301">
        <v>0</v>
      </c>
      <c r="AF38" s="301">
        <v>0</v>
      </c>
      <c r="AG38" s="301"/>
      <c r="AH38" s="303">
        <f t="shared" ref="AH38:AH65" si="4">+AE38+AB38+Y38+V38+S38+P38+M38+J38+G38+D38</f>
        <v>1000000</v>
      </c>
      <c r="AI38" s="303">
        <f t="shared" ref="AI38:AI65" si="5">+AF38+AC38+Z38+W38+T38+Q38+N38+K38+H38+E38</f>
        <v>1000000</v>
      </c>
      <c r="AJ38" s="303">
        <f t="shared" si="2"/>
        <v>0</v>
      </c>
      <c r="AK38" s="339">
        <v>0</v>
      </c>
      <c r="AL38" s="339">
        <v>0</v>
      </c>
      <c r="AM38" s="339">
        <v>0</v>
      </c>
    </row>
    <row r="39" spans="1:42" ht="16.5" thickBot="1">
      <c r="A39" s="682"/>
      <c r="B39" s="494" t="s">
        <v>191</v>
      </c>
      <c r="C39" s="304" t="s">
        <v>210</v>
      </c>
      <c r="D39" s="301">
        <v>0</v>
      </c>
      <c r="E39" s="301">
        <v>0</v>
      </c>
      <c r="F39" s="301"/>
      <c r="G39" s="301">
        <v>0</v>
      </c>
      <c r="H39" s="301">
        <v>0</v>
      </c>
      <c r="I39" s="301"/>
      <c r="J39" s="301">
        <v>0</v>
      </c>
      <c r="K39" s="301">
        <v>0</v>
      </c>
      <c r="L39" s="301"/>
      <c r="M39" s="301">
        <v>0</v>
      </c>
      <c r="N39" s="301">
        <v>0</v>
      </c>
      <c r="O39" s="301"/>
      <c r="P39" s="302">
        <v>0</v>
      </c>
      <c r="Q39" s="302">
        <v>0</v>
      </c>
      <c r="R39" s="302"/>
      <c r="S39" s="301">
        <v>0</v>
      </c>
      <c r="T39" s="301">
        <v>0</v>
      </c>
      <c r="U39" s="301"/>
      <c r="V39" s="302">
        <v>0</v>
      </c>
      <c r="W39" s="302">
        <v>0</v>
      </c>
      <c r="X39" s="302"/>
      <c r="Y39" s="301">
        <v>0</v>
      </c>
      <c r="Z39" s="301">
        <v>0</v>
      </c>
      <c r="AA39" s="301"/>
      <c r="AB39" s="348">
        <v>0</v>
      </c>
      <c r="AC39" s="348">
        <v>0</v>
      </c>
      <c r="AD39" s="348"/>
      <c r="AE39" s="301">
        <v>0</v>
      </c>
      <c r="AF39" s="301">
        <v>0</v>
      </c>
      <c r="AG39" s="301"/>
      <c r="AH39" s="303">
        <f t="shared" si="4"/>
        <v>0</v>
      </c>
      <c r="AI39" s="303">
        <f t="shared" si="5"/>
        <v>0</v>
      </c>
      <c r="AJ39" s="303">
        <f t="shared" si="2"/>
        <v>0</v>
      </c>
      <c r="AK39" s="339">
        <v>0</v>
      </c>
      <c r="AL39" s="339">
        <v>0</v>
      </c>
      <c r="AM39" s="339">
        <v>0</v>
      </c>
    </row>
    <row r="40" spans="1:42" ht="16.5" thickBot="1">
      <c r="A40" s="682"/>
      <c r="B40" s="306" t="s">
        <v>298</v>
      </c>
      <c r="C40" s="304" t="s">
        <v>300</v>
      </c>
      <c r="D40" s="301">
        <v>8483000</v>
      </c>
      <c r="E40" s="301">
        <v>8783000</v>
      </c>
      <c r="F40" s="301">
        <v>8289500</v>
      </c>
      <c r="G40" s="301">
        <v>1573000</v>
      </c>
      <c r="H40" s="301">
        <v>1573000</v>
      </c>
      <c r="I40" s="301">
        <v>1461844</v>
      </c>
      <c r="J40" s="301">
        <f>34740770+12300000</f>
        <v>47040770</v>
      </c>
      <c r="K40" s="301">
        <v>47273877</v>
      </c>
      <c r="L40" s="301">
        <v>14610645</v>
      </c>
      <c r="M40" s="301">
        <v>0</v>
      </c>
      <c r="N40" s="301">
        <v>490000</v>
      </c>
      <c r="O40" s="301">
        <v>490000</v>
      </c>
      <c r="P40" s="302">
        <v>0</v>
      </c>
      <c r="Q40" s="302">
        <v>0</v>
      </c>
      <c r="R40" s="302"/>
      <c r="S40" s="301">
        <v>0</v>
      </c>
      <c r="T40" s="301">
        <v>0</v>
      </c>
      <c r="U40" s="301"/>
      <c r="V40" s="302">
        <v>0</v>
      </c>
      <c r="W40" s="302">
        <v>0</v>
      </c>
      <c r="X40" s="302"/>
      <c r="Y40" s="301">
        <v>0</v>
      </c>
      <c r="Z40" s="301">
        <v>0</v>
      </c>
      <c r="AA40" s="301"/>
      <c r="AB40" s="348">
        <v>5000000</v>
      </c>
      <c r="AC40" s="348">
        <v>3976893</v>
      </c>
      <c r="AD40" s="348">
        <v>2500000</v>
      </c>
      <c r="AE40" s="301">
        <v>0</v>
      </c>
      <c r="AF40" s="301">
        <v>0</v>
      </c>
      <c r="AG40" s="301"/>
      <c r="AH40" s="303">
        <f t="shared" si="4"/>
        <v>62096770</v>
      </c>
      <c r="AI40" s="303">
        <f t="shared" si="5"/>
        <v>62096770</v>
      </c>
      <c r="AJ40" s="303">
        <f t="shared" si="2"/>
        <v>27351989</v>
      </c>
      <c r="AK40" s="339">
        <v>0</v>
      </c>
      <c r="AL40" s="339">
        <v>0</v>
      </c>
      <c r="AM40" s="339">
        <v>0</v>
      </c>
    </row>
    <row r="41" spans="1:42" ht="16.5" thickBot="1">
      <c r="A41" s="682"/>
      <c r="B41" s="306" t="s">
        <v>299</v>
      </c>
      <c r="C41" s="304" t="s">
        <v>301</v>
      </c>
      <c r="D41" s="301">
        <v>13360000</v>
      </c>
      <c r="E41" s="301">
        <v>14734643</v>
      </c>
      <c r="F41" s="301">
        <v>14672560</v>
      </c>
      <c r="G41" s="301">
        <v>2537000</v>
      </c>
      <c r="H41" s="301">
        <v>2853790</v>
      </c>
      <c r="I41" s="301">
        <v>2853790</v>
      </c>
      <c r="J41" s="301">
        <f>29105898+8450000</f>
        <v>37555898</v>
      </c>
      <c r="K41" s="301">
        <v>35864465</v>
      </c>
      <c r="L41" s="301">
        <v>22331388</v>
      </c>
      <c r="M41" s="301">
        <v>0</v>
      </c>
      <c r="N41" s="301">
        <v>0</v>
      </c>
      <c r="O41" s="301"/>
      <c r="P41" s="302">
        <v>0</v>
      </c>
      <c r="Q41" s="302">
        <v>0</v>
      </c>
      <c r="R41" s="302"/>
      <c r="S41" s="301">
        <v>0</v>
      </c>
      <c r="T41" s="301">
        <v>0</v>
      </c>
      <c r="U41" s="301"/>
      <c r="V41" s="302">
        <v>0</v>
      </c>
      <c r="W41" s="302">
        <v>0</v>
      </c>
      <c r="X41" s="302"/>
      <c r="Y41" s="301">
        <v>0</v>
      </c>
      <c r="Z41" s="301">
        <v>0</v>
      </c>
      <c r="AA41" s="301"/>
      <c r="AB41" s="348">
        <v>0</v>
      </c>
      <c r="AC41" s="348">
        <v>0</v>
      </c>
      <c r="AD41" s="348"/>
      <c r="AE41" s="301">
        <v>0</v>
      </c>
      <c r="AF41" s="301">
        <v>0</v>
      </c>
      <c r="AG41" s="301"/>
      <c r="AH41" s="303">
        <f t="shared" si="4"/>
        <v>53452898</v>
      </c>
      <c r="AI41" s="303">
        <f t="shared" si="5"/>
        <v>53452898</v>
      </c>
      <c r="AJ41" s="303">
        <f t="shared" si="2"/>
        <v>39857738</v>
      </c>
      <c r="AK41" s="339">
        <v>0</v>
      </c>
      <c r="AL41" s="339">
        <v>0</v>
      </c>
      <c r="AM41" s="339">
        <v>0</v>
      </c>
      <c r="AN41" s="492"/>
    </row>
    <row r="42" spans="1:42" ht="16.5" thickBot="1">
      <c r="A42" s="682"/>
      <c r="B42" s="190" t="s">
        <v>52</v>
      </c>
      <c r="C42" s="190"/>
      <c r="D42" s="303">
        <f t="shared" ref="D42:AG42" si="6">SUM(D35:D41)</f>
        <v>22613400</v>
      </c>
      <c r="E42" s="303">
        <f t="shared" si="6"/>
        <v>24288043</v>
      </c>
      <c r="F42" s="303">
        <f t="shared" si="6"/>
        <v>23732460</v>
      </c>
      <c r="G42" s="303">
        <f t="shared" si="6"/>
        <v>4110000</v>
      </c>
      <c r="H42" s="303">
        <f t="shared" si="6"/>
        <v>4438057</v>
      </c>
      <c r="I42" s="303">
        <f t="shared" si="6"/>
        <v>4326901</v>
      </c>
      <c r="J42" s="303">
        <f t="shared" si="6"/>
        <v>84991668</v>
      </c>
      <c r="K42" s="303">
        <f t="shared" si="6"/>
        <v>83522075</v>
      </c>
      <c r="L42" s="303">
        <f t="shared" si="6"/>
        <v>36957248</v>
      </c>
      <c r="M42" s="303">
        <f t="shared" si="6"/>
        <v>0</v>
      </c>
      <c r="N42" s="303">
        <f t="shared" si="6"/>
        <v>490000</v>
      </c>
      <c r="O42" s="303">
        <f t="shared" si="6"/>
        <v>490000</v>
      </c>
      <c r="P42" s="303">
        <f t="shared" si="6"/>
        <v>2367000</v>
      </c>
      <c r="Q42" s="303">
        <f t="shared" si="6"/>
        <v>2367000</v>
      </c>
      <c r="R42" s="303">
        <f t="shared" si="6"/>
        <v>430800</v>
      </c>
      <c r="S42" s="303">
        <f t="shared" si="6"/>
        <v>0</v>
      </c>
      <c r="T42" s="303">
        <f t="shared" si="6"/>
        <v>0</v>
      </c>
      <c r="U42" s="303">
        <f t="shared" si="6"/>
        <v>0</v>
      </c>
      <c r="V42" s="303">
        <f t="shared" si="6"/>
        <v>0</v>
      </c>
      <c r="W42" s="303">
        <f t="shared" si="6"/>
        <v>0</v>
      </c>
      <c r="X42" s="303">
        <f t="shared" si="6"/>
        <v>0</v>
      </c>
      <c r="Y42" s="303">
        <f t="shared" si="6"/>
        <v>0</v>
      </c>
      <c r="Z42" s="303">
        <f t="shared" si="6"/>
        <v>0</v>
      </c>
      <c r="AA42" s="303">
        <f t="shared" si="6"/>
        <v>0</v>
      </c>
      <c r="AB42" s="303">
        <f t="shared" si="6"/>
        <v>5000000</v>
      </c>
      <c r="AC42" s="303">
        <f t="shared" si="6"/>
        <v>3976893</v>
      </c>
      <c r="AD42" s="303">
        <f t="shared" si="6"/>
        <v>2500000</v>
      </c>
      <c r="AE42" s="303">
        <f t="shared" si="6"/>
        <v>0</v>
      </c>
      <c r="AF42" s="303">
        <f t="shared" si="6"/>
        <v>0</v>
      </c>
      <c r="AG42" s="303">
        <f t="shared" si="6"/>
        <v>0</v>
      </c>
      <c r="AH42" s="303">
        <f t="shared" si="4"/>
        <v>119082068</v>
      </c>
      <c r="AI42" s="303">
        <f t="shared" si="5"/>
        <v>119082068</v>
      </c>
      <c r="AJ42" s="303">
        <f t="shared" si="2"/>
        <v>68437409</v>
      </c>
      <c r="AK42" s="337">
        <v>0</v>
      </c>
      <c r="AL42" s="337">
        <v>0</v>
      </c>
      <c r="AM42" s="337">
        <v>0</v>
      </c>
    </row>
    <row r="43" spans="1:42" ht="16.5" thickBot="1">
      <c r="A43" s="682"/>
      <c r="B43" s="683" t="s">
        <v>53</v>
      </c>
      <c r="C43" s="684"/>
      <c r="D43" s="303">
        <f t="shared" ref="D43:AG43" si="7">D34+D42</f>
        <v>89229309</v>
      </c>
      <c r="E43" s="303">
        <f t="shared" si="7"/>
        <v>122974941</v>
      </c>
      <c r="F43" s="303">
        <f t="shared" si="7"/>
        <v>112317897</v>
      </c>
      <c r="G43" s="303">
        <f t="shared" si="7"/>
        <v>16036262</v>
      </c>
      <c r="H43" s="303">
        <f t="shared" si="7"/>
        <v>19363783</v>
      </c>
      <c r="I43" s="303">
        <f t="shared" si="7"/>
        <v>18029189</v>
      </c>
      <c r="J43" s="303">
        <f t="shared" si="7"/>
        <v>159216668</v>
      </c>
      <c r="K43" s="303">
        <f t="shared" si="7"/>
        <v>184455169</v>
      </c>
      <c r="L43" s="303">
        <f t="shared" si="7"/>
        <v>103998364</v>
      </c>
      <c r="M43" s="303">
        <f t="shared" si="7"/>
        <v>84547133</v>
      </c>
      <c r="N43" s="303">
        <f t="shared" si="7"/>
        <v>251139954</v>
      </c>
      <c r="O43" s="303">
        <f t="shared" si="7"/>
        <v>246406707</v>
      </c>
      <c r="P43" s="303">
        <f t="shared" si="7"/>
        <v>4767000</v>
      </c>
      <c r="Q43" s="303">
        <f t="shared" si="7"/>
        <v>4767000</v>
      </c>
      <c r="R43" s="303">
        <f t="shared" si="7"/>
        <v>2440422</v>
      </c>
      <c r="S43" s="303">
        <f t="shared" si="7"/>
        <v>107151973</v>
      </c>
      <c r="T43" s="303">
        <f t="shared" si="7"/>
        <v>89261498</v>
      </c>
      <c r="U43" s="303">
        <f t="shared" si="7"/>
        <v>0</v>
      </c>
      <c r="V43" s="303">
        <f t="shared" si="7"/>
        <v>10420711</v>
      </c>
      <c r="W43" s="303">
        <f t="shared" si="7"/>
        <v>10420711</v>
      </c>
      <c r="X43" s="303">
        <f t="shared" si="7"/>
        <v>10420711</v>
      </c>
      <c r="Y43" s="303">
        <f t="shared" si="7"/>
        <v>1643568</v>
      </c>
      <c r="Z43" s="303">
        <f t="shared" si="7"/>
        <v>898197</v>
      </c>
      <c r="AA43" s="303">
        <f t="shared" si="7"/>
        <v>742256</v>
      </c>
      <c r="AB43" s="303">
        <f t="shared" si="7"/>
        <v>231312826</v>
      </c>
      <c r="AC43" s="303">
        <f t="shared" si="7"/>
        <v>66407642</v>
      </c>
      <c r="AD43" s="303">
        <f t="shared" si="7"/>
        <v>46725064</v>
      </c>
      <c r="AE43" s="303">
        <f t="shared" si="7"/>
        <v>42859926</v>
      </c>
      <c r="AF43" s="303">
        <f t="shared" si="7"/>
        <v>114431181</v>
      </c>
      <c r="AG43" s="303">
        <f t="shared" si="7"/>
        <v>67772685</v>
      </c>
      <c r="AH43" s="303">
        <f t="shared" si="4"/>
        <v>747185376</v>
      </c>
      <c r="AI43" s="303">
        <f t="shared" si="5"/>
        <v>864120076</v>
      </c>
      <c r="AJ43" s="303">
        <f t="shared" si="2"/>
        <v>608853295</v>
      </c>
      <c r="AK43" s="337">
        <f>SUM(AK34,AK42)</f>
        <v>56</v>
      </c>
      <c r="AL43" s="337">
        <f>SUM(AL34,AL42)</f>
        <v>45</v>
      </c>
      <c r="AM43" s="337">
        <f>SUM(AM34,AM42)</f>
        <v>45</v>
      </c>
      <c r="AO43" s="495">
        <f>+AI43+Y68</f>
        <v>1080329410</v>
      </c>
    </row>
    <row r="44" spans="1:42" ht="37.9" customHeight="1" thickBot="1">
      <c r="A44" s="682" t="s">
        <v>39</v>
      </c>
      <c r="B44" s="392" t="s">
        <v>165</v>
      </c>
      <c r="C44" s="305" t="s">
        <v>208</v>
      </c>
      <c r="D44" s="301">
        <f>71480000-D46-D47</f>
        <v>59398000</v>
      </c>
      <c r="E44" s="301">
        <v>69409668</v>
      </c>
      <c r="F44" s="301">
        <v>68269907</v>
      </c>
      <c r="G44" s="301">
        <f>13820000-G46-G47</f>
        <v>11651210</v>
      </c>
      <c r="H44" s="301">
        <v>13721179</v>
      </c>
      <c r="I44" s="301">
        <v>13000164</v>
      </c>
      <c r="J44" s="301">
        <v>12850000</v>
      </c>
      <c r="K44" s="301">
        <v>12561989</v>
      </c>
      <c r="L44" s="301">
        <v>12327081</v>
      </c>
      <c r="M44" s="301">
        <v>0</v>
      </c>
      <c r="N44" s="301">
        <v>0</v>
      </c>
      <c r="O44" s="301"/>
      <c r="P44" s="302">
        <v>0</v>
      </c>
      <c r="Q44" s="302">
        <v>0</v>
      </c>
      <c r="R44" s="302"/>
      <c r="S44" s="301">
        <v>0</v>
      </c>
      <c r="T44" s="301">
        <v>0</v>
      </c>
      <c r="U44" s="301"/>
      <c r="V44" s="302">
        <v>0</v>
      </c>
      <c r="W44" s="302">
        <v>0</v>
      </c>
      <c r="X44" s="302"/>
      <c r="Y44" s="301"/>
      <c r="Z44" s="301"/>
      <c r="AA44" s="301"/>
      <c r="AB44" s="301">
        <v>1324500</v>
      </c>
      <c r="AC44" s="301">
        <v>1498906</v>
      </c>
      <c r="AD44" s="301">
        <v>1497117</v>
      </c>
      <c r="AE44" s="301">
        <v>0</v>
      </c>
      <c r="AF44" s="301">
        <v>0</v>
      </c>
      <c r="AG44" s="301"/>
      <c r="AH44" s="303">
        <f t="shared" si="4"/>
        <v>85223710</v>
      </c>
      <c r="AI44" s="303">
        <f t="shared" si="5"/>
        <v>97191742</v>
      </c>
      <c r="AJ44" s="303">
        <f t="shared" si="2"/>
        <v>95094269</v>
      </c>
      <c r="AK44" s="338">
        <v>17</v>
      </c>
      <c r="AL44" s="338">
        <v>17</v>
      </c>
      <c r="AM44" s="338">
        <v>17</v>
      </c>
    </row>
    <row r="45" spans="1:42" ht="37.9" customHeight="1" thickBot="1">
      <c r="A45" s="682"/>
      <c r="B45" s="424" t="s">
        <v>523</v>
      </c>
      <c r="C45" s="305" t="s">
        <v>558</v>
      </c>
      <c r="D45" s="301">
        <v>0</v>
      </c>
      <c r="E45" s="301">
        <v>5116204</v>
      </c>
      <c r="F45" s="301">
        <v>5116204</v>
      </c>
      <c r="G45" s="301">
        <v>0</v>
      </c>
      <c r="H45" s="301">
        <v>937016</v>
      </c>
      <c r="I45" s="301">
        <v>937016</v>
      </c>
      <c r="J45" s="301">
        <v>0</v>
      </c>
      <c r="K45" s="301">
        <v>366871</v>
      </c>
      <c r="L45" s="301">
        <v>338903</v>
      </c>
      <c r="M45" s="301">
        <v>0</v>
      </c>
      <c r="N45" s="301">
        <v>108328</v>
      </c>
      <c r="O45" s="301">
        <v>108328</v>
      </c>
      <c r="P45" s="302">
        <v>0</v>
      </c>
      <c r="Q45" s="302">
        <v>0</v>
      </c>
      <c r="R45" s="302"/>
      <c r="S45" s="301">
        <v>0</v>
      </c>
      <c r="T45" s="301">
        <v>0</v>
      </c>
      <c r="U45" s="301"/>
      <c r="V45" s="302">
        <v>0</v>
      </c>
      <c r="W45" s="302">
        <v>0</v>
      </c>
      <c r="X45" s="302"/>
      <c r="Y45" s="301">
        <v>0</v>
      </c>
      <c r="Z45" s="301">
        <v>0</v>
      </c>
      <c r="AA45" s="301"/>
      <c r="AB45" s="301">
        <v>0</v>
      </c>
      <c r="AC45" s="301">
        <v>0</v>
      </c>
      <c r="AD45" s="301"/>
      <c r="AE45" s="301">
        <v>0</v>
      </c>
      <c r="AF45" s="301">
        <v>0</v>
      </c>
      <c r="AG45" s="301"/>
      <c r="AH45" s="303">
        <f t="shared" si="4"/>
        <v>0</v>
      </c>
      <c r="AI45" s="303">
        <f t="shared" si="5"/>
        <v>6528419</v>
      </c>
      <c r="AJ45" s="303">
        <f t="shared" si="2"/>
        <v>6500451</v>
      </c>
      <c r="AK45" s="338">
        <v>0</v>
      </c>
      <c r="AL45" s="338">
        <v>0</v>
      </c>
      <c r="AM45" s="338">
        <v>0</v>
      </c>
    </row>
    <row r="46" spans="1:42" ht="22.5" customHeight="1" thickBot="1">
      <c r="A46" s="682"/>
      <c r="B46" s="424" t="s">
        <v>298</v>
      </c>
      <c r="C46" s="304" t="s">
        <v>300</v>
      </c>
      <c r="D46" s="301">
        <v>6262000</v>
      </c>
      <c r="E46" s="301">
        <v>6514000</v>
      </c>
      <c r="F46" s="301">
        <v>6513000</v>
      </c>
      <c r="G46" s="301">
        <v>1104090</v>
      </c>
      <c r="H46" s="301">
        <v>1107935</v>
      </c>
      <c r="I46" s="301">
        <v>1107935</v>
      </c>
      <c r="J46" s="301">
        <v>0</v>
      </c>
      <c r="K46" s="301">
        <v>0</v>
      </c>
      <c r="L46" s="301"/>
      <c r="M46" s="301">
        <v>0</v>
      </c>
      <c r="N46" s="301">
        <v>0</v>
      </c>
      <c r="O46" s="301"/>
      <c r="P46" s="301">
        <v>0</v>
      </c>
      <c r="Q46" s="301">
        <v>0</v>
      </c>
      <c r="R46" s="301"/>
      <c r="S46" s="301">
        <v>0</v>
      </c>
      <c r="T46" s="301">
        <v>0</v>
      </c>
      <c r="U46" s="301"/>
      <c r="V46" s="301">
        <v>0</v>
      </c>
      <c r="W46" s="301">
        <v>0</v>
      </c>
      <c r="X46" s="301"/>
      <c r="Y46" s="301">
        <v>0</v>
      </c>
      <c r="Z46" s="301">
        <v>0</v>
      </c>
      <c r="AA46" s="301"/>
      <c r="AB46" s="301">
        <v>0</v>
      </c>
      <c r="AC46" s="301">
        <v>0</v>
      </c>
      <c r="AD46" s="301"/>
      <c r="AE46" s="301">
        <v>0</v>
      </c>
      <c r="AF46" s="301">
        <v>0</v>
      </c>
      <c r="AG46" s="301"/>
      <c r="AH46" s="303">
        <f t="shared" si="4"/>
        <v>7366090</v>
      </c>
      <c r="AI46" s="303">
        <f t="shared" si="5"/>
        <v>7621935</v>
      </c>
      <c r="AJ46" s="303">
        <f t="shared" si="2"/>
        <v>7620935</v>
      </c>
      <c r="AK46" s="338">
        <v>0</v>
      </c>
      <c r="AL46" s="338">
        <v>0</v>
      </c>
      <c r="AM46" s="338">
        <v>0</v>
      </c>
    </row>
    <row r="47" spans="1:42" ht="39" customHeight="1" thickBot="1">
      <c r="A47" s="682"/>
      <c r="B47" s="425" t="s">
        <v>311</v>
      </c>
      <c r="C47" s="304" t="s">
        <v>301</v>
      </c>
      <c r="D47" s="301">
        <v>5820000</v>
      </c>
      <c r="E47" s="301">
        <v>5820000</v>
      </c>
      <c r="F47" s="301">
        <v>5820000</v>
      </c>
      <c r="G47" s="301">
        <v>1064700</v>
      </c>
      <c r="H47" s="301">
        <v>1060855</v>
      </c>
      <c r="I47" s="301">
        <v>1019200</v>
      </c>
      <c r="J47" s="301">
        <v>0</v>
      </c>
      <c r="K47" s="301">
        <v>0</v>
      </c>
      <c r="L47" s="301"/>
      <c r="M47" s="301">
        <v>0</v>
      </c>
      <c r="N47" s="301">
        <v>0</v>
      </c>
      <c r="O47" s="301"/>
      <c r="P47" s="301">
        <v>0</v>
      </c>
      <c r="Q47" s="301">
        <v>0</v>
      </c>
      <c r="R47" s="301"/>
      <c r="S47" s="301">
        <v>0</v>
      </c>
      <c r="T47" s="301">
        <v>0</v>
      </c>
      <c r="U47" s="301"/>
      <c r="V47" s="301">
        <v>0</v>
      </c>
      <c r="W47" s="301">
        <v>0</v>
      </c>
      <c r="X47" s="301"/>
      <c r="Y47" s="301">
        <v>0</v>
      </c>
      <c r="Z47" s="301">
        <v>0</v>
      </c>
      <c r="AA47" s="301"/>
      <c r="AB47" s="301">
        <v>0</v>
      </c>
      <c r="AC47" s="301">
        <v>0</v>
      </c>
      <c r="AD47" s="301"/>
      <c r="AE47" s="301">
        <v>0</v>
      </c>
      <c r="AF47" s="301">
        <v>0</v>
      </c>
      <c r="AG47" s="301"/>
      <c r="AH47" s="303">
        <f t="shared" si="4"/>
        <v>6884700</v>
      </c>
      <c r="AI47" s="303">
        <f t="shared" si="5"/>
        <v>6880855</v>
      </c>
      <c r="AJ47" s="303">
        <f t="shared" si="2"/>
        <v>6839200</v>
      </c>
      <c r="AK47" s="338">
        <v>0</v>
      </c>
      <c r="AL47" s="338">
        <v>0</v>
      </c>
      <c r="AM47" s="338">
        <v>0</v>
      </c>
    </row>
    <row r="48" spans="1:42" ht="16.5" thickBot="1">
      <c r="A48" s="682"/>
      <c r="B48" s="683" t="s">
        <v>54</v>
      </c>
      <c r="C48" s="684"/>
      <c r="D48" s="303">
        <f>+D44+D46+D47+D45</f>
        <v>71480000</v>
      </c>
      <c r="E48" s="303">
        <f t="shared" ref="E48:AG48" si="8">+E44+E46+E47+E45</f>
        <v>86859872</v>
      </c>
      <c r="F48" s="303">
        <f t="shared" si="8"/>
        <v>85719111</v>
      </c>
      <c r="G48" s="303">
        <f t="shared" si="8"/>
        <v>13820000</v>
      </c>
      <c r="H48" s="303">
        <f t="shared" si="8"/>
        <v>16826985</v>
      </c>
      <c r="I48" s="303">
        <f t="shared" si="8"/>
        <v>16064315</v>
      </c>
      <c r="J48" s="303">
        <f t="shared" si="8"/>
        <v>12850000</v>
      </c>
      <c r="K48" s="303">
        <f t="shared" si="8"/>
        <v>12928860</v>
      </c>
      <c r="L48" s="303">
        <f t="shared" si="8"/>
        <v>12665984</v>
      </c>
      <c r="M48" s="303">
        <f t="shared" si="8"/>
        <v>0</v>
      </c>
      <c r="N48" s="303">
        <f t="shared" si="8"/>
        <v>108328</v>
      </c>
      <c r="O48" s="303">
        <f t="shared" si="8"/>
        <v>108328</v>
      </c>
      <c r="P48" s="303">
        <f t="shared" si="8"/>
        <v>0</v>
      </c>
      <c r="Q48" s="303">
        <f t="shared" si="8"/>
        <v>0</v>
      </c>
      <c r="R48" s="303">
        <f t="shared" si="8"/>
        <v>0</v>
      </c>
      <c r="S48" s="303">
        <f t="shared" si="8"/>
        <v>0</v>
      </c>
      <c r="T48" s="303">
        <f t="shared" si="8"/>
        <v>0</v>
      </c>
      <c r="U48" s="303">
        <f t="shared" si="8"/>
        <v>0</v>
      </c>
      <c r="V48" s="303">
        <f t="shared" si="8"/>
        <v>0</v>
      </c>
      <c r="W48" s="303">
        <f t="shared" si="8"/>
        <v>0</v>
      </c>
      <c r="X48" s="303">
        <f t="shared" si="8"/>
        <v>0</v>
      </c>
      <c r="Y48" s="303">
        <f t="shared" si="8"/>
        <v>0</v>
      </c>
      <c r="Z48" s="303">
        <f t="shared" si="8"/>
        <v>0</v>
      </c>
      <c r="AA48" s="303">
        <f t="shared" si="8"/>
        <v>0</v>
      </c>
      <c r="AB48" s="303">
        <f t="shared" si="8"/>
        <v>1324500</v>
      </c>
      <c r="AC48" s="303">
        <f t="shared" si="8"/>
        <v>1498906</v>
      </c>
      <c r="AD48" s="303">
        <f t="shared" si="8"/>
        <v>1497117</v>
      </c>
      <c r="AE48" s="303">
        <f t="shared" si="8"/>
        <v>0</v>
      </c>
      <c r="AF48" s="303">
        <f t="shared" si="8"/>
        <v>0</v>
      </c>
      <c r="AG48" s="303">
        <f t="shared" si="8"/>
        <v>0</v>
      </c>
      <c r="AH48" s="303">
        <f t="shared" si="4"/>
        <v>99474500</v>
      </c>
      <c r="AI48" s="303">
        <f t="shared" si="5"/>
        <v>118222951</v>
      </c>
      <c r="AJ48" s="303">
        <f t="shared" si="2"/>
        <v>116054855</v>
      </c>
      <c r="AK48" s="337">
        <v>17</v>
      </c>
      <c r="AL48" s="337">
        <v>17</v>
      </c>
      <c r="AM48" s="337">
        <v>17</v>
      </c>
    </row>
    <row r="49" spans="1:40" ht="18.95" customHeight="1" thickBot="1">
      <c r="A49" s="682" t="s">
        <v>41</v>
      </c>
      <c r="B49" s="306" t="s">
        <v>229</v>
      </c>
      <c r="C49" s="305" t="s">
        <v>231</v>
      </c>
      <c r="D49" s="301">
        <v>7326600</v>
      </c>
      <c r="E49" s="301">
        <v>2061100</v>
      </c>
      <c r="F49" s="301">
        <v>2060100</v>
      </c>
      <c r="G49" s="301">
        <v>1255000</v>
      </c>
      <c r="H49" s="301">
        <v>214210</v>
      </c>
      <c r="I49" s="301">
        <v>214210</v>
      </c>
      <c r="J49" s="301">
        <f>8010000-J50-J51-J52</f>
        <v>6795000</v>
      </c>
      <c r="K49" s="301">
        <v>6951210</v>
      </c>
      <c r="L49" s="301">
        <v>6490903</v>
      </c>
      <c r="M49" s="301">
        <v>20000</v>
      </c>
      <c r="N49" s="301">
        <v>20000</v>
      </c>
      <c r="O49" s="301">
        <v>20000</v>
      </c>
      <c r="P49" s="302">
        <v>0</v>
      </c>
      <c r="Q49" s="302">
        <v>0</v>
      </c>
      <c r="R49" s="302"/>
      <c r="S49" s="301">
        <v>0</v>
      </c>
      <c r="T49" s="301">
        <v>0</v>
      </c>
      <c r="U49" s="301"/>
      <c r="V49" s="302">
        <v>0</v>
      </c>
      <c r="W49" s="302">
        <v>0</v>
      </c>
      <c r="X49" s="302"/>
      <c r="Y49" s="301"/>
      <c r="Z49" s="301"/>
      <c r="AA49" s="301"/>
      <c r="AB49" s="301">
        <v>127000</v>
      </c>
      <c r="AC49" s="301">
        <v>127000</v>
      </c>
      <c r="AD49" s="301">
        <v>30208</v>
      </c>
      <c r="AE49" s="301">
        <v>0</v>
      </c>
      <c r="AF49" s="301">
        <v>0</v>
      </c>
      <c r="AG49" s="301"/>
      <c r="AH49" s="303">
        <f t="shared" si="4"/>
        <v>15523600</v>
      </c>
      <c r="AI49" s="303">
        <f t="shared" si="5"/>
        <v>9373520</v>
      </c>
      <c r="AJ49" s="303">
        <f t="shared" si="2"/>
        <v>8815421</v>
      </c>
      <c r="AK49" s="338">
        <v>3</v>
      </c>
      <c r="AL49" s="338">
        <v>3</v>
      </c>
      <c r="AM49" s="338">
        <v>3</v>
      </c>
      <c r="AN49" s="492"/>
    </row>
    <row r="50" spans="1:40" ht="30.75" customHeight="1" thickBot="1">
      <c r="A50" s="682"/>
      <c r="B50" s="498" t="s">
        <v>430</v>
      </c>
      <c r="C50" s="499" t="s">
        <v>431</v>
      </c>
      <c r="D50" s="301">
        <v>0</v>
      </c>
      <c r="E50" s="301">
        <v>1935500</v>
      </c>
      <c r="F50" s="301">
        <v>1935500</v>
      </c>
      <c r="G50" s="301">
        <v>0</v>
      </c>
      <c r="H50" s="301">
        <v>418275</v>
      </c>
      <c r="I50" s="301">
        <v>365723</v>
      </c>
      <c r="J50" s="301">
        <v>50000</v>
      </c>
      <c r="K50" s="301">
        <v>470000</v>
      </c>
      <c r="L50" s="301">
        <v>433552</v>
      </c>
      <c r="M50" s="301">
        <v>0</v>
      </c>
      <c r="N50" s="301">
        <v>0</v>
      </c>
      <c r="O50" s="301"/>
      <c r="P50" s="301">
        <v>0</v>
      </c>
      <c r="Q50" s="301">
        <v>0</v>
      </c>
      <c r="R50" s="301"/>
      <c r="S50" s="301">
        <v>0</v>
      </c>
      <c r="T50" s="301">
        <v>0</v>
      </c>
      <c r="U50" s="301"/>
      <c r="V50" s="301">
        <v>0</v>
      </c>
      <c r="W50" s="301">
        <v>0</v>
      </c>
      <c r="X50" s="301"/>
      <c r="Y50" s="301">
        <v>0</v>
      </c>
      <c r="Z50" s="301">
        <v>0</v>
      </c>
      <c r="AA50" s="301"/>
      <c r="AB50" s="301">
        <v>0</v>
      </c>
      <c r="AC50" s="301">
        <v>0</v>
      </c>
      <c r="AD50" s="301"/>
      <c r="AE50" s="301">
        <v>0</v>
      </c>
      <c r="AF50" s="301">
        <v>0</v>
      </c>
      <c r="AG50" s="301"/>
      <c r="AH50" s="303">
        <f t="shared" si="4"/>
        <v>50000</v>
      </c>
      <c r="AI50" s="303">
        <f t="shared" si="5"/>
        <v>2823775</v>
      </c>
      <c r="AJ50" s="303">
        <f t="shared" si="2"/>
        <v>2734775</v>
      </c>
      <c r="AK50" s="338">
        <v>0</v>
      </c>
      <c r="AL50" s="338">
        <v>0</v>
      </c>
      <c r="AM50" s="338">
        <v>0</v>
      </c>
    </row>
    <row r="51" spans="1:40" ht="18.95" customHeight="1" thickBot="1">
      <c r="A51" s="682"/>
      <c r="B51" s="498" t="s">
        <v>432</v>
      </c>
      <c r="C51" s="500" t="s">
        <v>433</v>
      </c>
      <c r="D51" s="301">
        <v>0</v>
      </c>
      <c r="E51" s="301">
        <v>3741480</v>
      </c>
      <c r="F51" s="301">
        <v>3310800</v>
      </c>
      <c r="G51" s="301">
        <v>0</v>
      </c>
      <c r="H51" s="301">
        <v>754825</v>
      </c>
      <c r="I51" s="301">
        <v>628911</v>
      </c>
      <c r="J51" s="301">
        <f>1000000+15000+100000</f>
        <v>1115000</v>
      </c>
      <c r="K51" s="301">
        <v>45000</v>
      </c>
      <c r="L51" s="301">
        <v>15220</v>
      </c>
      <c r="M51" s="301">
        <v>0</v>
      </c>
      <c r="N51" s="301">
        <v>0</v>
      </c>
      <c r="O51" s="301"/>
      <c r="P51" s="301">
        <v>0</v>
      </c>
      <c r="Q51" s="301">
        <v>0</v>
      </c>
      <c r="R51" s="301"/>
      <c r="S51" s="301">
        <v>0</v>
      </c>
      <c r="T51" s="301">
        <v>0</v>
      </c>
      <c r="U51" s="301"/>
      <c r="V51" s="301">
        <v>0</v>
      </c>
      <c r="W51" s="301">
        <v>0</v>
      </c>
      <c r="X51" s="301"/>
      <c r="Y51" s="301">
        <v>0</v>
      </c>
      <c r="Z51" s="301">
        <v>0</v>
      </c>
      <c r="AA51" s="301"/>
      <c r="AB51" s="301">
        <v>0</v>
      </c>
      <c r="AC51" s="301">
        <v>0</v>
      </c>
      <c r="AD51" s="301"/>
      <c r="AE51" s="301">
        <v>0</v>
      </c>
      <c r="AF51" s="301">
        <v>0</v>
      </c>
      <c r="AG51" s="301"/>
      <c r="AH51" s="303">
        <f t="shared" si="4"/>
        <v>1115000</v>
      </c>
      <c r="AI51" s="303">
        <f t="shared" si="5"/>
        <v>4541305</v>
      </c>
      <c r="AJ51" s="303">
        <f t="shared" si="2"/>
        <v>3954931</v>
      </c>
      <c r="AK51" s="338">
        <v>0</v>
      </c>
      <c r="AL51" s="338">
        <v>0</v>
      </c>
      <c r="AM51" s="338">
        <v>0</v>
      </c>
    </row>
    <row r="52" spans="1:40" ht="32.25" customHeight="1" thickBot="1">
      <c r="A52" s="682"/>
      <c r="B52" s="498" t="s">
        <v>434</v>
      </c>
      <c r="C52" s="499" t="s">
        <v>435</v>
      </c>
      <c r="D52" s="301">
        <v>0</v>
      </c>
      <c r="E52" s="301">
        <v>0</v>
      </c>
      <c r="F52" s="301"/>
      <c r="G52" s="301">
        <v>0</v>
      </c>
      <c r="H52" s="301">
        <v>0</v>
      </c>
      <c r="I52" s="301"/>
      <c r="J52" s="301">
        <v>50000</v>
      </c>
      <c r="K52" s="301">
        <v>0</v>
      </c>
      <c r="L52" s="301"/>
      <c r="M52" s="301">
        <v>0</v>
      </c>
      <c r="N52" s="301">
        <v>0</v>
      </c>
      <c r="O52" s="301"/>
      <c r="P52" s="301">
        <v>0</v>
      </c>
      <c r="Q52" s="301">
        <v>0</v>
      </c>
      <c r="R52" s="301"/>
      <c r="S52" s="301">
        <v>0</v>
      </c>
      <c r="T52" s="301">
        <v>0</v>
      </c>
      <c r="U52" s="301"/>
      <c r="V52" s="301">
        <v>0</v>
      </c>
      <c r="W52" s="301">
        <v>0</v>
      </c>
      <c r="X52" s="301"/>
      <c r="Y52" s="301">
        <v>0</v>
      </c>
      <c r="Z52" s="301">
        <v>0</v>
      </c>
      <c r="AA52" s="301"/>
      <c r="AB52" s="301">
        <v>0</v>
      </c>
      <c r="AC52" s="301">
        <v>0</v>
      </c>
      <c r="AD52" s="301"/>
      <c r="AE52" s="301">
        <v>0</v>
      </c>
      <c r="AF52" s="301">
        <v>0</v>
      </c>
      <c r="AG52" s="301"/>
      <c r="AH52" s="303">
        <f t="shared" si="4"/>
        <v>50000</v>
      </c>
      <c r="AI52" s="303">
        <f t="shared" si="5"/>
        <v>0</v>
      </c>
      <c r="AJ52" s="303">
        <f t="shared" si="2"/>
        <v>0</v>
      </c>
      <c r="AK52" s="338">
        <v>0</v>
      </c>
      <c r="AL52" s="338">
        <v>0</v>
      </c>
      <c r="AM52" s="338">
        <v>0</v>
      </c>
    </row>
    <row r="53" spans="1:40" ht="22.5" customHeight="1" thickBot="1">
      <c r="A53" s="682"/>
      <c r="B53" s="683" t="s">
        <v>230</v>
      </c>
      <c r="C53" s="684"/>
      <c r="D53" s="303">
        <f>SUM(+D49+D50+D51+D52)</f>
        <v>7326600</v>
      </c>
      <c r="E53" s="303">
        <f t="shared" ref="E53:AG53" si="9">SUM(+E49+E50+E51+E52)</f>
        <v>7738080</v>
      </c>
      <c r="F53" s="303">
        <f t="shared" si="9"/>
        <v>7306400</v>
      </c>
      <c r="G53" s="303">
        <f t="shared" si="9"/>
        <v>1255000</v>
      </c>
      <c r="H53" s="303">
        <f t="shared" si="9"/>
        <v>1387310</v>
      </c>
      <c r="I53" s="303">
        <f t="shared" si="9"/>
        <v>1208844</v>
      </c>
      <c r="J53" s="303">
        <f t="shared" si="9"/>
        <v>8010000</v>
      </c>
      <c r="K53" s="303">
        <f t="shared" si="9"/>
        <v>7466210</v>
      </c>
      <c r="L53" s="303">
        <f t="shared" si="9"/>
        <v>6939675</v>
      </c>
      <c r="M53" s="303">
        <f t="shared" si="9"/>
        <v>20000</v>
      </c>
      <c r="N53" s="303">
        <f t="shared" si="9"/>
        <v>20000</v>
      </c>
      <c r="O53" s="303">
        <f t="shared" si="9"/>
        <v>20000</v>
      </c>
      <c r="P53" s="303">
        <f t="shared" si="9"/>
        <v>0</v>
      </c>
      <c r="Q53" s="303">
        <f t="shared" si="9"/>
        <v>0</v>
      </c>
      <c r="R53" s="303">
        <f t="shared" si="9"/>
        <v>0</v>
      </c>
      <c r="S53" s="303">
        <f t="shared" si="9"/>
        <v>0</v>
      </c>
      <c r="T53" s="303">
        <f t="shared" si="9"/>
        <v>0</v>
      </c>
      <c r="U53" s="303">
        <f t="shared" si="9"/>
        <v>0</v>
      </c>
      <c r="V53" s="303">
        <f t="shared" si="9"/>
        <v>0</v>
      </c>
      <c r="W53" s="303">
        <f t="shared" si="9"/>
        <v>0</v>
      </c>
      <c r="X53" s="303">
        <f t="shared" si="9"/>
        <v>0</v>
      </c>
      <c r="Y53" s="303">
        <f t="shared" si="9"/>
        <v>0</v>
      </c>
      <c r="Z53" s="303">
        <f t="shared" si="9"/>
        <v>0</v>
      </c>
      <c r="AA53" s="303">
        <f t="shared" si="9"/>
        <v>0</v>
      </c>
      <c r="AB53" s="303">
        <f t="shared" si="9"/>
        <v>127000</v>
      </c>
      <c r="AC53" s="303">
        <f t="shared" si="9"/>
        <v>127000</v>
      </c>
      <c r="AD53" s="303">
        <f t="shared" si="9"/>
        <v>30208</v>
      </c>
      <c r="AE53" s="303">
        <f t="shared" si="9"/>
        <v>0</v>
      </c>
      <c r="AF53" s="303">
        <f t="shared" si="9"/>
        <v>0</v>
      </c>
      <c r="AG53" s="303">
        <f t="shared" si="9"/>
        <v>0</v>
      </c>
      <c r="AH53" s="303">
        <f t="shared" si="4"/>
        <v>16738600</v>
      </c>
      <c r="AI53" s="303">
        <f t="shared" si="5"/>
        <v>16738600</v>
      </c>
      <c r="AJ53" s="303">
        <f t="shared" si="2"/>
        <v>15505127</v>
      </c>
      <c r="AK53" s="337">
        <v>3</v>
      </c>
      <c r="AL53" s="337">
        <v>3</v>
      </c>
      <c r="AM53" s="337">
        <v>3</v>
      </c>
    </row>
    <row r="54" spans="1:40" ht="15.75" customHeight="1" thickBot="1">
      <c r="A54" s="489"/>
      <c r="B54" s="392" t="s">
        <v>360</v>
      </c>
      <c r="C54" s="305" t="s">
        <v>361</v>
      </c>
      <c r="D54" s="301">
        <v>0</v>
      </c>
      <c r="E54" s="301">
        <v>0</v>
      </c>
      <c r="F54" s="301"/>
      <c r="G54" s="301">
        <v>0</v>
      </c>
      <c r="H54" s="301">
        <v>0</v>
      </c>
      <c r="I54" s="301"/>
      <c r="J54" s="301">
        <v>1010000</v>
      </c>
      <c r="K54" s="301">
        <v>1010000</v>
      </c>
      <c r="L54" s="301">
        <v>960776</v>
      </c>
      <c r="M54" s="301">
        <v>0</v>
      </c>
      <c r="N54" s="301">
        <v>0</v>
      </c>
      <c r="O54" s="301"/>
      <c r="P54" s="301">
        <v>0</v>
      </c>
      <c r="Q54" s="301">
        <v>0</v>
      </c>
      <c r="R54" s="301"/>
      <c r="S54" s="301">
        <v>0</v>
      </c>
      <c r="T54" s="301">
        <v>0</v>
      </c>
      <c r="U54" s="301"/>
      <c r="V54" s="301">
        <v>0</v>
      </c>
      <c r="W54" s="301">
        <v>0</v>
      </c>
      <c r="X54" s="301"/>
      <c r="Y54" s="301">
        <v>0</v>
      </c>
      <c r="Z54" s="301">
        <v>0</v>
      </c>
      <c r="AA54" s="301"/>
      <c r="AB54" s="301">
        <v>0</v>
      </c>
      <c r="AC54" s="301">
        <v>0</v>
      </c>
      <c r="AD54" s="301"/>
      <c r="AE54" s="301">
        <v>0</v>
      </c>
      <c r="AF54" s="301">
        <v>0</v>
      </c>
      <c r="AG54" s="301"/>
      <c r="AH54" s="303">
        <f t="shared" si="4"/>
        <v>1010000</v>
      </c>
      <c r="AI54" s="303">
        <f t="shared" si="5"/>
        <v>1010000</v>
      </c>
      <c r="AJ54" s="303">
        <f t="shared" si="2"/>
        <v>960776</v>
      </c>
      <c r="AK54" s="338"/>
      <c r="AL54" s="338"/>
      <c r="AM54" s="338"/>
    </row>
    <row r="55" spans="1:40" ht="15.75" customHeight="1" thickBot="1">
      <c r="A55" s="682" t="s">
        <v>43</v>
      </c>
      <c r="B55" s="392" t="s">
        <v>234</v>
      </c>
      <c r="C55" s="305" t="s">
        <v>232</v>
      </c>
      <c r="D55" s="301">
        <v>3350000</v>
      </c>
      <c r="E55" s="301">
        <v>3350000</v>
      </c>
      <c r="F55" s="301">
        <v>3222900</v>
      </c>
      <c r="G55" s="301">
        <v>650000</v>
      </c>
      <c r="H55" s="301">
        <v>650000</v>
      </c>
      <c r="I55" s="301">
        <v>601586</v>
      </c>
      <c r="J55" s="301">
        <f>2300000-1000000</f>
        <v>1300000</v>
      </c>
      <c r="K55" s="301">
        <v>1320000</v>
      </c>
      <c r="L55" s="301">
        <v>1125529</v>
      </c>
      <c r="M55" s="301">
        <v>0</v>
      </c>
      <c r="N55" s="301">
        <v>0</v>
      </c>
      <c r="O55" s="301"/>
      <c r="P55" s="302">
        <v>0</v>
      </c>
      <c r="Q55" s="302">
        <v>0</v>
      </c>
      <c r="R55" s="302"/>
      <c r="S55" s="301">
        <v>0</v>
      </c>
      <c r="T55" s="301">
        <v>0</v>
      </c>
      <c r="U55" s="301"/>
      <c r="V55" s="302">
        <v>0</v>
      </c>
      <c r="W55" s="302">
        <v>0</v>
      </c>
      <c r="X55" s="302"/>
      <c r="Y55" s="301"/>
      <c r="Z55" s="301"/>
      <c r="AA55" s="301"/>
      <c r="AB55" s="301">
        <v>317500</v>
      </c>
      <c r="AC55" s="301">
        <v>297500</v>
      </c>
      <c r="AD55" s="301">
        <v>254000</v>
      </c>
      <c r="AE55" s="301">
        <v>0</v>
      </c>
      <c r="AF55" s="301">
        <v>0</v>
      </c>
      <c r="AG55" s="301"/>
      <c r="AH55" s="303">
        <f t="shared" si="4"/>
        <v>5617500</v>
      </c>
      <c r="AI55" s="303">
        <f t="shared" si="5"/>
        <v>5617500</v>
      </c>
      <c r="AJ55" s="303">
        <f t="shared" si="2"/>
        <v>5204015</v>
      </c>
      <c r="AK55" s="338">
        <v>1</v>
      </c>
      <c r="AL55" s="338">
        <v>1</v>
      </c>
      <c r="AM55" s="338">
        <v>1</v>
      </c>
    </row>
    <row r="56" spans="1:40" ht="23.25" customHeight="1" thickBot="1">
      <c r="A56" s="682"/>
      <c r="B56" s="683" t="s">
        <v>233</v>
      </c>
      <c r="C56" s="684"/>
      <c r="D56" s="303">
        <f>SUM(D54:D55)</f>
        <v>3350000</v>
      </c>
      <c r="E56" s="303">
        <f t="shared" ref="E56:AG56" si="10">SUM(E54:E55)</f>
        <v>3350000</v>
      </c>
      <c r="F56" s="303">
        <f t="shared" si="10"/>
        <v>3222900</v>
      </c>
      <c r="G56" s="303">
        <f t="shared" si="10"/>
        <v>650000</v>
      </c>
      <c r="H56" s="303">
        <f t="shared" si="10"/>
        <v>650000</v>
      </c>
      <c r="I56" s="303">
        <f t="shared" si="10"/>
        <v>601586</v>
      </c>
      <c r="J56" s="303">
        <f t="shared" si="10"/>
        <v>2310000</v>
      </c>
      <c r="K56" s="303">
        <f t="shared" si="10"/>
        <v>2330000</v>
      </c>
      <c r="L56" s="303">
        <f t="shared" si="10"/>
        <v>2086305</v>
      </c>
      <c r="M56" s="303">
        <f t="shared" si="10"/>
        <v>0</v>
      </c>
      <c r="N56" s="303">
        <f t="shared" si="10"/>
        <v>0</v>
      </c>
      <c r="O56" s="303">
        <f t="shared" si="10"/>
        <v>0</v>
      </c>
      <c r="P56" s="303">
        <f t="shared" si="10"/>
        <v>0</v>
      </c>
      <c r="Q56" s="303">
        <f t="shared" si="10"/>
        <v>0</v>
      </c>
      <c r="R56" s="303">
        <f t="shared" si="10"/>
        <v>0</v>
      </c>
      <c r="S56" s="303">
        <f t="shared" si="10"/>
        <v>0</v>
      </c>
      <c r="T56" s="303">
        <f t="shared" si="10"/>
        <v>0</v>
      </c>
      <c r="U56" s="303">
        <f t="shared" si="10"/>
        <v>0</v>
      </c>
      <c r="V56" s="303">
        <f t="shared" si="10"/>
        <v>0</v>
      </c>
      <c r="W56" s="303">
        <f t="shared" si="10"/>
        <v>0</v>
      </c>
      <c r="X56" s="303">
        <f t="shared" si="10"/>
        <v>0</v>
      </c>
      <c r="Y56" s="303">
        <f t="shared" si="10"/>
        <v>0</v>
      </c>
      <c r="Z56" s="303">
        <f t="shared" si="10"/>
        <v>0</v>
      </c>
      <c r="AA56" s="303">
        <f t="shared" si="10"/>
        <v>0</v>
      </c>
      <c r="AB56" s="303">
        <f t="shared" si="10"/>
        <v>317500</v>
      </c>
      <c r="AC56" s="303">
        <f t="shared" si="10"/>
        <v>297500</v>
      </c>
      <c r="AD56" s="303">
        <f t="shared" si="10"/>
        <v>254000</v>
      </c>
      <c r="AE56" s="303">
        <f t="shared" si="10"/>
        <v>0</v>
      </c>
      <c r="AF56" s="303">
        <f t="shared" si="10"/>
        <v>0</v>
      </c>
      <c r="AG56" s="303">
        <f t="shared" si="10"/>
        <v>0</v>
      </c>
      <c r="AH56" s="303">
        <f t="shared" si="4"/>
        <v>6627500</v>
      </c>
      <c r="AI56" s="303">
        <f t="shared" si="5"/>
        <v>6627500</v>
      </c>
      <c r="AJ56" s="303">
        <f t="shared" si="2"/>
        <v>6164791</v>
      </c>
      <c r="AK56" s="337">
        <v>1</v>
      </c>
      <c r="AL56" s="337">
        <v>1</v>
      </c>
      <c r="AM56" s="337">
        <v>1</v>
      </c>
    </row>
    <row r="57" spans="1:40" ht="21" customHeight="1" thickBot="1">
      <c r="A57" s="685" t="s">
        <v>156</v>
      </c>
      <c r="B57" s="203" t="s">
        <v>235</v>
      </c>
      <c r="C57" s="204" t="s">
        <v>225</v>
      </c>
      <c r="D57" s="334">
        <v>7300000</v>
      </c>
      <c r="E57" s="334">
        <v>9317692</v>
      </c>
      <c r="F57" s="334">
        <v>9267692</v>
      </c>
      <c r="G57" s="334">
        <v>1417372</v>
      </c>
      <c r="H57" s="334">
        <v>1745397</v>
      </c>
      <c r="I57" s="334">
        <v>1745397</v>
      </c>
      <c r="J57" s="334">
        <v>1480000</v>
      </c>
      <c r="K57" s="334">
        <v>852020</v>
      </c>
      <c r="L57" s="334">
        <v>681974</v>
      </c>
      <c r="M57" s="334">
        <v>0</v>
      </c>
      <c r="N57" s="334">
        <v>0</v>
      </c>
      <c r="O57" s="334"/>
      <c r="P57" s="335">
        <v>0</v>
      </c>
      <c r="Q57" s="335">
        <v>0</v>
      </c>
      <c r="R57" s="335"/>
      <c r="S57" s="334">
        <v>0</v>
      </c>
      <c r="T57" s="334">
        <v>0</v>
      </c>
      <c r="U57" s="334"/>
      <c r="V57" s="335">
        <v>0</v>
      </c>
      <c r="W57" s="335">
        <v>0</v>
      </c>
      <c r="X57" s="335"/>
      <c r="Y57" s="301">
        <v>0</v>
      </c>
      <c r="Z57" s="301">
        <v>0</v>
      </c>
      <c r="AA57" s="301"/>
      <c r="AB57" s="334">
        <v>0</v>
      </c>
      <c r="AC57" s="334">
        <v>0</v>
      </c>
      <c r="AD57" s="334"/>
      <c r="AE57" s="334">
        <v>0</v>
      </c>
      <c r="AF57" s="334">
        <v>0</v>
      </c>
      <c r="AG57" s="334"/>
      <c r="AH57" s="303">
        <f t="shared" si="4"/>
        <v>10197372</v>
      </c>
      <c r="AI57" s="303">
        <f t="shared" si="5"/>
        <v>11915109</v>
      </c>
      <c r="AJ57" s="303">
        <f t="shared" si="2"/>
        <v>11695063</v>
      </c>
      <c r="AK57" s="336">
        <v>4</v>
      </c>
      <c r="AL57" s="336">
        <v>4</v>
      </c>
      <c r="AM57" s="336">
        <v>4</v>
      </c>
    </row>
    <row r="58" spans="1:40" ht="21" customHeight="1" thickBot="1">
      <c r="A58" s="686"/>
      <c r="B58" s="203" t="s">
        <v>236</v>
      </c>
      <c r="C58" s="204" t="s">
        <v>226</v>
      </c>
      <c r="D58" s="334">
        <f>7180000+40000</f>
        <v>7220000</v>
      </c>
      <c r="E58" s="334">
        <v>4283494</v>
      </c>
      <c r="F58" s="334">
        <v>4233494</v>
      </c>
      <c r="G58" s="334">
        <f>1366967+7873</f>
        <v>1374840</v>
      </c>
      <c r="H58" s="334">
        <v>1366967</v>
      </c>
      <c r="I58" s="334">
        <v>759338</v>
      </c>
      <c r="J58" s="334">
        <v>1200000</v>
      </c>
      <c r="K58" s="334">
        <v>1110000</v>
      </c>
      <c r="L58" s="334">
        <v>639525</v>
      </c>
      <c r="M58" s="334">
        <v>0</v>
      </c>
      <c r="N58" s="334">
        <v>0</v>
      </c>
      <c r="O58" s="334"/>
      <c r="P58" s="335">
        <v>0</v>
      </c>
      <c r="Q58" s="335">
        <v>0</v>
      </c>
      <c r="R58" s="335"/>
      <c r="S58" s="334">
        <v>0</v>
      </c>
      <c r="T58" s="334">
        <v>0</v>
      </c>
      <c r="U58" s="334"/>
      <c r="V58" s="335">
        <v>0</v>
      </c>
      <c r="W58" s="335">
        <v>0</v>
      </c>
      <c r="X58" s="335"/>
      <c r="Y58" s="301">
        <v>0</v>
      </c>
      <c r="Z58" s="301">
        <v>0</v>
      </c>
      <c r="AA58" s="301"/>
      <c r="AB58" s="334">
        <v>0</v>
      </c>
      <c r="AC58" s="334">
        <v>0</v>
      </c>
      <c r="AD58" s="334"/>
      <c r="AE58" s="334">
        <v>0</v>
      </c>
      <c r="AF58" s="334">
        <v>0</v>
      </c>
      <c r="AG58" s="334"/>
      <c r="AH58" s="303">
        <f t="shared" si="4"/>
        <v>9794840</v>
      </c>
      <c r="AI58" s="303">
        <f t="shared" si="5"/>
        <v>6760461</v>
      </c>
      <c r="AJ58" s="303">
        <f t="shared" si="2"/>
        <v>5632357</v>
      </c>
      <c r="AK58" s="336">
        <v>2</v>
      </c>
      <c r="AL58" s="336">
        <v>2</v>
      </c>
      <c r="AM58" s="336">
        <v>2</v>
      </c>
    </row>
    <row r="59" spans="1:40" ht="21" customHeight="1" thickBot="1">
      <c r="A59" s="686"/>
      <c r="B59" s="203" t="s">
        <v>237</v>
      </c>
      <c r="C59" s="204" t="s">
        <v>227</v>
      </c>
      <c r="D59" s="334">
        <v>2480000</v>
      </c>
      <c r="E59" s="334">
        <v>6733737</v>
      </c>
      <c r="F59" s="334">
        <v>5943064</v>
      </c>
      <c r="G59" s="334">
        <v>483402</v>
      </c>
      <c r="H59" s="334">
        <v>1257107</v>
      </c>
      <c r="I59" s="334">
        <v>1086467</v>
      </c>
      <c r="J59" s="334">
        <v>4000000</v>
      </c>
      <c r="K59" s="334">
        <v>2921355</v>
      </c>
      <c r="L59" s="334">
        <v>2509008</v>
      </c>
      <c r="M59" s="334">
        <v>0</v>
      </c>
      <c r="N59" s="334">
        <v>0</v>
      </c>
      <c r="O59" s="334"/>
      <c r="P59" s="335">
        <v>0</v>
      </c>
      <c r="Q59" s="335">
        <v>0</v>
      </c>
      <c r="R59" s="335"/>
      <c r="S59" s="334">
        <v>0</v>
      </c>
      <c r="T59" s="334">
        <v>0</v>
      </c>
      <c r="U59" s="334"/>
      <c r="V59" s="335">
        <v>0</v>
      </c>
      <c r="W59" s="335">
        <v>0</v>
      </c>
      <c r="X59" s="335"/>
      <c r="Y59" s="301">
        <v>0</v>
      </c>
      <c r="Z59" s="301">
        <v>0</v>
      </c>
      <c r="AA59" s="301"/>
      <c r="AB59" s="334">
        <v>630000</v>
      </c>
      <c r="AC59" s="334">
        <v>293363</v>
      </c>
      <c r="AD59" s="334">
        <v>194773</v>
      </c>
      <c r="AE59" s="334">
        <v>0</v>
      </c>
      <c r="AF59" s="334">
        <v>0</v>
      </c>
      <c r="AG59" s="334"/>
      <c r="AH59" s="303">
        <f t="shared" si="4"/>
        <v>7593402</v>
      </c>
      <c r="AI59" s="303">
        <f t="shared" si="5"/>
        <v>11205562</v>
      </c>
      <c r="AJ59" s="303">
        <f t="shared" si="2"/>
        <v>9733312</v>
      </c>
      <c r="AK59" s="336">
        <v>2</v>
      </c>
      <c r="AL59" s="336">
        <v>6</v>
      </c>
      <c r="AM59" s="336">
        <v>6</v>
      </c>
      <c r="AN59" s="487" t="s">
        <v>485</v>
      </c>
    </row>
    <row r="60" spans="1:40" ht="40.5" customHeight="1" thickBot="1">
      <c r="A60" s="686"/>
      <c r="B60" s="203" t="s">
        <v>436</v>
      </c>
      <c r="C60" s="423" t="s">
        <v>437</v>
      </c>
      <c r="D60" s="301">
        <v>0</v>
      </c>
      <c r="E60" s="301">
        <v>0</v>
      </c>
      <c r="F60" s="301"/>
      <c r="G60" s="301">
        <v>0</v>
      </c>
      <c r="H60" s="301">
        <v>0</v>
      </c>
      <c r="I60" s="301"/>
      <c r="J60" s="334">
        <v>500000</v>
      </c>
      <c r="K60" s="334">
        <v>836353</v>
      </c>
      <c r="L60" s="334">
        <v>690076</v>
      </c>
      <c r="M60" s="301">
        <v>0</v>
      </c>
      <c r="N60" s="301">
        <v>0</v>
      </c>
      <c r="O60" s="301"/>
      <c r="P60" s="301">
        <v>0</v>
      </c>
      <c r="Q60" s="301">
        <v>0</v>
      </c>
      <c r="R60" s="301"/>
      <c r="S60" s="301">
        <v>0</v>
      </c>
      <c r="T60" s="301">
        <v>0</v>
      </c>
      <c r="U60" s="301"/>
      <c r="V60" s="301">
        <v>0</v>
      </c>
      <c r="W60" s="301">
        <v>0</v>
      </c>
      <c r="X60" s="301"/>
      <c r="Y60" s="301">
        <v>0</v>
      </c>
      <c r="Z60" s="301">
        <v>0</v>
      </c>
      <c r="AA60" s="301"/>
      <c r="AB60" s="301">
        <v>0</v>
      </c>
      <c r="AC60" s="301">
        <v>0</v>
      </c>
      <c r="AD60" s="301"/>
      <c r="AE60" s="301">
        <v>0</v>
      </c>
      <c r="AF60" s="301">
        <v>0</v>
      </c>
      <c r="AG60" s="301"/>
      <c r="AH60" s="303">
        <f t="shared" si="4"/>
        <v>500000</v>
      </c>
      <c r="AI60" s="303">
        <f t="shared" si="5"/>
        <v>836353</v>
      </c>
      <c r="AJ60" s="303">
        <f t="shared" si="2"/>
        <v>690076</v>
      </c>
      <c r="AK60" s="336">
        <v>0</v>
      </c>
      <c r="AL60" s="336">
        <v>0</v>
      </c>
      <c r="AM60" s="336">
        <v>0</v>
      </c>
    </row>
    <row r="61" spans="1:40" ht="21" customHeight="1" thickBot="1">
      <c r="A61" s="686"/>
      <c r="B61" s="203" t="s">
        <v>238</v>
      </c>
      <c r="C61" s="204" t="s">
        <v>228</v>
      </c>
      <c r="D61" s="334">
        <v>2440000</v>
      </c>
      <c r="E61" s="334">
        <v>2628322</v>
      </c>
      <c r="F61" s="334">
        <v>2252342</v>
      </c>
      <c r="G61" s="334">
        <v>475473</v>
      </c>
      <c r="H61" s="334">
        <v>475473</v>
      </c>
      <c r="I61" s="334">
        <v>448021</v>
      </c>
      <c r="J61" s="334">
        <v>15000000</v>
      </c>
      <c r="K61" s="334">
        <v>20445918</v>
      </c>
      <c r="L61" s="334">
        <v>16724001</v>
      </c>
      <c r="M61" s="334">
        <v>0</v>
      </c>
      <c r="N61" s="334">
        <v>0</v>
      </c>
      <c r="O61" s="334"/>
      <c r="P61" s="335">
        <v>0</v>
      </c>
      <c r="Q61" s="335">
        <v>0</v>
      </c>
      <c r="R61" s="335"/>
      <c r="S61" s="334">
        <v>0</v>
      </c>
      <c r="T61" s="334">
        <v>0</v>
      </c>
      <c r="U61" s="334"/>
      <c r="V61" s="335">
        <v>0</v>
      </c>
      <c r="W61" s="335">
        <v>0</v>
      </c>
      <c r="X61" s="335"/>
      <c r="Y61" s="301">
        <v>0</v>
      </c>
      <c r="Z61" s="301">
        <v>0</v>
      </c>
      <c r="AA61" s="301"/>
      <c r="AB61" s="334">
        <v>0</v>
      </c>
      <c r="AC61" s="334">
        <v>0</v>
      </c>
      <c r="AD61" s="334"/>
      <c r="AE61" s="334">
        <v>0</v>
      </c>
      <c r="AF61" s="334">
        <v>0</v>
      </c>
      <c r="AG61" s="334"/>
      <c r="AH61" s="303">
        <f t="shared" si="4"/>
        <v>17915473</v>
      </c>
      <c r="AI61" s="303">
        <f t="shared" si="5"/>
        <v>23549713</v>
      </c>
      <c r="AJ61" s="303">
        <f t="shared" si="2"/>
        <v>19424364</v>
      </c>
      <c r="AK61" s="336">
        <v>1</v>
      </c>
      <c r="AL61" s="336">
        <v>1</v>
      </c>
      <c r="AM61" s="336">
        <v>1</v>
      </c>
    </row>
    <row r="62" spans="1:40" ht="21" customHeight="1" thickBot="1">
      <c r="A62" s="686"/>
      <c r="B62" s="203" t="s">
        <v>204</v>
      </c>
      <c r="C62" s="204" t="s">
        <v>273</v>
      </c>
      <c r="D62" s="334">
        <v>0</v>
      </c>
      <c r="E62" s="334">
        <v>0</v>
      </c>
      <c r="F62" s="334"/>
      <c r="G62" s="334">
        <v>0</v>
      </c>
      <c r="H62" s="334">
        <v>0</v>
      </c>
      <c r="I62" s="334"/>
      <c r="J62" s="334">
        <v>1500000</v>
      </c>
      <c r="K62" s="334">
        <v>1350000</v>
      </c>
      <c r="L62" s="334">
        <v>1112895</v>
      </c>
      <c r="M62" s="334">
        <v>0</v>
      </c>
      <c r="N62" s="334">
        <v>0</v>
      </c>
      <c r="O62" s="334"/>
      <c r="P62" s="335">
        <v>0</v>
      </c>
      <c r="Q62" s="335">
        <v>0</v>
      </c>
      <c r="R62" s="335"/>
      <c r="S62" s="334">
        <v>0</v>
      </c>
      <c r="T62" s="334">
        <v>0</v>
      </c>
      <c r="U62" s="334"/>
      <c r="V62" s="335">
        <v>0</v>
      </c>
      <c r="W62" s="335">
        <v>0</v>
      </c>
      <c r="X62" s="335"/>
      <c r="Y62" s="301">
        <v>0</v>
      </c>
      <c r="Z62" s="301">
        <v>0</v>
      </c>
      <c r="AA62" s="301"/>
      <c r="AB62" s="334">
        <v>0</v>
      </c>
      <c r="AC62" s="334">
        <v>0</v>
      </c>
      <c r="AD62" s="334"/>
      <c r="AE62" s="334">
        <v>0</v>
      </c>
      <c r="AF62" s="334">
        <v>0</v>
      </c>
      <c r="AG62" s="334"/>
      <c r="AH62" s="303">
        <f t="shared" si="4"/>
        <v>1500000</v>
      </c>
      <c r="AI62" s="303">
        <f t="shared" si="5"/>
        <v>1350000</v>
      </c>
      <c r="AJ62" s="303">
        <f t="shared" si="2"/>
        <v>1112895</v>
      </c>
      <c r="AK62" s="336">
        <v>0</v>
      </c>
      <c r="AL62" s="336">
        <v>0</v>
      </c>
      <c r="AM62" s="336">
        <v>0</v>
      </c>
    </row>
    <row r="63" spans="1:40" ht="21" customHeight="1" thickBot="1">
      <c r="A63" s="686"/>
      <c r="B63" s="203" t="s">
        <v>203</v>
      </c>
      <c r="C63" s="204" t="s">
        <v>272</v>
      </c>
      <c r="D63" s="334">
        <v>0</v>
      </c>
      <c r="E63" s="334">
        <v>0</v>
      </c>
      <c r="F63" s="334"/>
      <c r="G63" s="334">
        <v>0</v>
      </c>
      <c r="H63" s="334">
        <v>0</v>
      </c>
      <c r="I63" s="334"/>
      <c r="J63" s="334">
        <v>2500000</v>
      </c>
      <c r="K63" s="334">
        <v>4981186</v>
      </c>
      <c r="L63" s="334">
        <v>4935757</v>
      </c>
      <c r="M63" s="334">
        <v>0</v>
      </c>
      <c r="N63" s="334">
        <v>0</v>
      </c>
      <c r="O63" s="334"/>
      <c r="P63" s="335">
        <v>0</v>
      </c>
      <c r="Q63" s="335">
        <v>0</v>
      </c>
      <c r="R63" s="335"/>
      <c r="S63" s="334">
        <v>0</v>
      </c>
      <c r="T63" s="334">
        <v>0</v>
      </c>
      <c r="U63" s="334"/>
      <c r="V63" s="335">
        <v>0</v>
      </c>
      <c r="W63" s="335">
        <v>0</v>
      </c>
      <c r="X63" s="335"/>
      <c r="Y63" s="301">
        <v>0</v>
      </c>
      <c r="Z63" s="301">
        <v>0</v>
      </c>
      <c r="AA63" s="301"/>
      <c r="AB63" s="334">
        <v>0</v>
      </c>
      <c r="AC63" s="334">
        <v>0</v>
      </c>
      <c r="AD63" s="334"/>
      <c r="AE63" s="334">
        <v>0</v>
      </c>
      <c r="AF63" s="334">
        <v>0</v>
      </c>
      <c r="AG63" s="334"/>
      <c r="AH63" s="303">
        <f t="shared" si="4"/>
        <v>2500000</v>
      </c>
      <c r="AI63" s="303">
        <f t="shared" si="5"/>
        <v>4981186</v>
      </c>
      <c r="AJ63" s="303">
        <f t="shared" si="2"/>
        <v>4935757</v>
      </c>
      <c r="AK63" s="336">
        <v>0</v>
      </c>
      <c r="AL63" s="336">
        <v>0</v>
      </c>
      <c r="AM63" s="336">
        <v>0</v>
      </c>
    </row>
    <row r="64" spans="1:40" ht="21" customHeight="1" thickBot="1">
      <c r="A64" s="686"/>
      <c r="B64" s="203" t="s">
        <v>171</v>
      </c>
      <c r="C64" s="204" t="s">
        <v>221</v>
      </c>
      <c r="D64" s="334">
        <f>20960000+500000</f>
        <v>21460000</v>
      </c>
      <c r="E64" s="334">
        <v>21395497</v>
      </c>
      <c r="F64" s="334">
        <v>21261407</v>
      </c>
      <c r="G64" s="334">
        <v>4086713</v>
      </c>
      <c r="H64" s="334">
        <v>4094586</v>
      </c>
      <c r="I64" s="334">
        <v>3963863</v>
      </c>
      <c r="J64" s="334">
        <v>35000000</v>
      </c>
      <c r="K64" s="334">
        <v>28073112</v>
      </c>
      <c r="L64" s="334">
        <v>27794029</v>
      </c>
      <c r="M64" s="334">
        <v>0</v>
      </c>
      <c r="N64" s="334">
        <v>0</v>
      </c>
      <c r="O64" s="334"/>
      <c r="P64" s="335">
        <v>0</v>
      </c>
      <c r="Q64" s="335">
        <v>0</v>
      </c>
      <c r="R64" s="335"/>
      <c r="S64" s="334">
        <v>0</v>
      </c>
      <c r="T64" s="334">
        <v>0</v>
      </c>
      <c r="U64" s="334"/>
      <c r="V64" s="335">
        <v>0</v>
      </c>
      <c r="W64" s="335">
        <v>0</v>
      </c>
      <c r="X64" s="335"/>
      <c r="Y64" s="301">
        <v>0</v>
      </c>
      <c r="Z64" s="301">
        <v>0</v>
      </c>
      <c r="AA64" s="301"/>
      <c r="AB64" s="334">
        <v>0</v>
      </c>
      <c r="AC64" s="334">
        <v>416443</v>
      </c>
      <c r="AD64" s="334">
        <v>388503</v>
      </c>
      <c r="AE64" s="334">
        <v>0</v>
      </c>
      <c r="AF64" s="334">
        <v>0</v>
      </c>
      <c r="AG64" s="334"/>
      <c r="AH64" s="303">
        <f t="shared" si="4"/>
        <v>60546713</v>
      </c>
      <c r="AI64" s="303">
        <f t="shared" si="5"/>
        <v>53979638</v>
      </c>
      <c r="AJ64" s="303">
        <f t="shared" si="2"/>
        <v>53407802</v>
      </c>
      <c r="AK64" s="336">
        <v>9</v>
      </c>
      <c r="AL64" s="336">
        <v>8</v>
      </c>
      <c r="AM64" s="336">
        <v>8</v>
      </c>
      <c r="AN64" s="487" t="s">
        <v>486</v>
      </c>
    </row>
    <row r="65" spans="1:39" ht="33" customHeight="1" thickBot="1">
      <c r="A65" s="687"/>
      <c r="B65" s="688" t="s">
        <v>239</v>
      </c>
      <c r="C65" s="689"/>
      <c r="D65" s="303">
        <f>SUM(D57:D64)</f>
        <v>40900000</v>
      </c>
      <c r="E65" s="303">
        <f t="shared" ref="E65:AG65" si="11">SUM(E57:E64)</f>
        <v>44358742</v>
      </c>
      <c r="F65" s="303">
        <f t="shared" si="11"/>
        <v>42957999</v>
      </c>
      <c r="G65" s="303">
        <f t="shared" si="11"/>
        <v>7837800</v>
      </c>
      <c r="H65" s="303">
        <f t="shared" si="11"/>
        <v>8939530</v>
      </c>
      <c r="I65" s="303">
        <f t="shared" si="11"/>
        <v>8003086</v>
      </c>
      <c r="J65" s="303">
        <f t="shared" si="11"/>
        <v>61180000</v>
      </c>
      <c r="K65" s="303">
        <f t="shared" si="11"/>
        <v>60569944</v>
      </c>
      <c r="L65" s="303">
        <f t="shared" si="11"/>
        <v>55087265</v>
      </c>
      <c r="M65" s="303">
        <f t="shared" si="11"/>
        <v>0</v>
      </c>
      <c r="N65" s="303">
        <f t="shared" si="11"/>
        <v>0</v>
      </c>
      <c r="O65" s="303">
        <f t="shared" si="11"/>
        <v>0</v>
      </c>
      <c r="P65" s="303">
        <f t="shared" si="11"/>
        <v>0</v>
      </c>
      <c r="Q65" s="303">
        <f t="shared" si="11"/>
        <v>0</v>
      </c>
      <c r="R65" s="303">
        <f t="shared" si="11"/>
        <v>0</v>
      </c>
      <c r="S65" s="303">
        <f t="shared" si="11"/>
        <v>0</v>
      </c>
      <c r="T65" s="303">
        <f t="shared" si="11"/>
        <v>0</v>
      </c>
      <c r="U65" s="303">
        <f t="shared" si="11"/>
        <v>0</v>
      </c>
      <c r="V65" s="303">
        <f t="shared" si="11"/>
        <v>0</v>
      </c>
      <c r="W65" s="303">
        <f t="shared" si="11"/>
        <v>0</v>
      </c>
      <c r="X65" s="303">
        <f t="shared" si="11"/>
        <v>0</v>
      </c>
      <c r="Y65" s="303">
        <f t="shared" si="11"/>
        <v>0</v>
      </c>
      <c r="Z65" s="303">
        <f t="shared" si="11"/>
        <v>0</v>
      </c>
      <c r="AA65" s="303">
        <f t="shared" si="11"/>
        <v>0</v>
      </c>
      <c r="AB65" s="303">
        <f t="shared" si="11"/>
        <v>630000</v>
      </c>
      <c r="AC65" s="303">
        <f t="shared" si="11"/>
        <v>709806</v>
      </c>
      <c r="AD65" s="303">
        <f t="shared" si="11"/>
        <v>583276</v>
      </c>
      <c r="AE65" s="303">
        <f t="shared" si="11"/>
        <v>0</v>
      </c>
      <c r="AF65" s="303">
        <f t="shared" si="11"/>
        <v>0</v>
      </c>
      <c r="AG65" s="303">
        <f t="shared" si="11"/>
        <v>0</v>
      </c>
      <c r="AH65" s="303">
        <f t="shared" si="4"/>
        <v>110547800</v>
      </c>
      <c r="AI65" s="303">
        <f t="shared" si="5"/>
        <v>114578022</v>
      </c>
      <c r="AJ65" s="303">
        <f t="shared" si="2"/>
        <v>106631626</v>
      </c>
      <c r="AK65" s="337">
        <f>SUM(AK57:AK64)</f>
        <v>18</v>
      </c>
      <c r="AL65" s="337">
        <f>SUM(AL57:AL64)</f>
        <v>21</v>
      </c>
      <c r="AM65" s="337">
        <f>SUM(AM57:AM64)</f>
        <v>21</v>
      </c>
    </row>
    <row r="66" spans="1:39" ht="26.25" customHeight="1" thickBot="1">
      <c r="A66" s="681" t="s">
        <v>55</v>
      </c>
      <c r="B66" s="681"/>
      <c r="C66" s="681"/>
      <c r="D66" s="303">
        <f t="shared" ref="D66:AK66" si="12">SUM(D43,D48,D53,D56,D65)</f>
        <v>212285909</v>
      </c>
      <c r="E66" s="303">
        <f t="shared" si="12"/>
        <v>265281635</v>
      </c>
      <c r="F66" s="303">
        <f t="shared" si="12"/>
        <v>251524307</v>
      </c>
      <c r="G66" s="303">
        <f t="shared" si="12"/>
        <v>39599062</v>
      </c>
      <c r="H66" s="303">
        <f t="shared" si="12"/>
        <v>47167608</v>
      </c>
      <c r="I66" s="303">
        <f t="shared" si="12"/>
        <v>43907020</v>
      </c>
      <c r="J66" s="303">
        <f t="shared" si="12"/>
        <v>243566668</v>
      </c>
      <c r="K66" s="303">
        <f t="shared" si="12"/>
        <v>267750183</v>
      </c>
      <c r="L66" s="303">
        <f t="shared" si="12"/>
        <v>180777593</v>
      </c>
      <c r="M66" s="303">
        <f t="shared" si="12"/>
        <v>84567133</v>
      </c>
      <c r="N66" s="303">
        <f t="shared" si="12"/>
        <v>251268282</v>
      </c>
      <c r="O66" s="303">
        <f t="shared" si="12"/>
        <v>246535035</v>
      </c>
      <c r="P66" s="303">
        <f t="shared" si="12"/>
        <v>4767000</v>
      </c>
      <c r="Q66" s="303">
        <f t="shared" si="12"/>
        <v>4767000</v>
      </c>
      <c r="R66" s="303">
        <f t="shared" si="12"/>
        <v>2440422</v>
      </c>
      <c r="S66" s="303">
        <f t="shared" si="12"/>
        <v>107151973</v>
      </c>
      <c r="T66" s="303">
        <f t="shared" si="12"/>
        <v>89261498</v>
      </c>
      <c r="U66" s="303">
        <f t="shared" si="12"/>
        <v>0</v>
      </c>
      <c r="V66" s="303">
        <f t="shared" si="12"/>
        <v>10420711</v>
      </c>
      <c r="W66" s="303">
        <f t="shared" si="12"/>
        <v>10420711</v>
      </c>
      <c r="X66" s="303">
        <f t="shared" si="12"/>
        <v>10420711</v>
      </c>
      <c r="Y66" s="303">
        <f t="shared" si="12"/>
        <v>1643568</v>
      </c>
      <c r="Z66" s="303">
        <f t="shared" si="12"/>
        <v>898197</v>
      </c>
      <c r="AA66" s="303">
        <f t="shared" si="12"/>
        <v>742256</v>
      </c>
      <c r="AB66" s="303">
        <f t="shared" si="12"/>
        <v>233711826</v>
      </c>
      <c r="AC66" s="303">
        <f t="shared" si="12"/>
        <v>69040854</v>
      </c>
      <c r="AD66" s="303">
        <f t="shared" si="12"/>
        <v>49089665</v>
      </c>
      <c r="AE66" s="303">
        <f t="shared" si="12"/>
        <v>42859926</v>
      </c>
      <c r="AF66" s="303">
        <f t="shared" si="12"/>
        <v>114431181</v>
      </c>
      <c r="AG66" s="303">
        <f t="shared" si="12"/>
        <v>67772685</v>
      </c>
      <c r="AH66" s="303">
        <f t="shared" si="12"/>
        <v>980573776</v>
      </c>
      <c r="AI66" s="303">
        <f>SUM(AI43,AI48,AI53,AI56,AI65)</f>
        <v>1120287149</v>
      </c>
      <c r="AJ66" s="303">
        <f t="shared" si="2"/>
        <v>853209694</v>
      </c>
      <c r="AK66" s="337">
        <f t="shared" si="12"/>
        <v>95</v>
      </c>
      <c r="AL66" s="337">
        <f t="shared" ref="AL66:AM66" si="13">SUM(AL43,AL48,AL53,AL56,AL65)</f>
        <v>87</v>
      </c>
      <c r="AM66" s="337">
        <f t="shared" si="13"/>
        <v>87</v>
      </c>
    </row>
    <row r="68" spans="1:39">
      <c r="N68" s="509"/>
      <c r="X68" s="487" t="s">
        <v>520</v>
      </c>
      <c r="Y68" s="488">
        <v>216209334</v>
      </c>
    </row>
    <row r="69" spans="1:39">
      <c r="N69" s="509"/>
    </row>
    <row r="70" spans="1:39">
      <c r="N70" s="509"/>
    </row>
  </sheetData>
  <mergeCells count="20">
    <mergeCell ref="A66:C66"/>
    <mergeCell ref="A6:A43"/>
    <mergeCell ref="B43:C43"/>
    <mergeCell ref="A44:A48"/>
    <mergeCell ref="B48:C48"/>
    <mergeCell ref="A49:A53"/>
    <mergeCell ref="B53:C53"/>
    <mergeCell ref="A55:A56"/>
    <mergeCell ref="B56:C56"/>
    <mergeCell ref="A57:A65"/>
    <mergeCell ref="B65:C65"/>
    <mergeCell ref="AL4:AL5"/>
    <mergeCell ref="AM4:AM5"/>
    <mergeCell ref="A4:A5"/>
    <mergeCell ref="B4:B5"/>
    <mergeCell ref="C4:C5"/>
    <mergeCell ref="D4:L4"/>
    <mergeCell ref="AK4:AK5"/>
    <mergeCell ref="AI4:AI5"/>
    <mergeCell ref="AH4:AH5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50" fitToWidth="2" orientation="landscape" r:id="rId1"/>
  <colBreaks count="1" manualBreakCount="1">
    <brk id="21" max="6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AM70"/>
  <sheetViews>
    <sheetView view="pageBreakPreview" zoomScale="60" zoomScaleNormal="90" workbookViewId="0">
      <pane xSplit="2" ySplit="5" topLeftCell="C12" activePane="bottomRight" state="frozen"/>
      <selection activeCell="C156" sqref="C156"/>
      <selection pane="topRight" activeCell="C156" sqref="C156"/>
      <selection pane="bottomLeft" activeCell="C156" sqref="C156"/>
      <selection pane="bottomRight" activeCell="M2" sqref="M2"/>
    </sheetView>
  </sheetViews>
  <sheetFormatPr defaultColWidth="8.85546875" defaultRowHeight="12.75"/>
  <cols>
    <col min="1" max="1" width="8.28515625" style="38" customWidth="1"/>
    <col min="2" max="2" width="12.140625" style="38" customWidth="1"/>
    <col min="3" max="3" width="49.5703125" style="38" customWidth="1"/>
    <col min="4" max="4" width="16" style="38" customWidth="1"/>
    <col min="5" max="5" width="17.28515625" style="483" customWidth="1"/>
    <col min="6" max="6" width="14.42578125" style="38" customWidth="1"/>
    <col min="7" max="7" width="14.42578125" style="483" customWidth="1"/>
    <col min="8" max="8" width="15.28515625" style="38" customWidth="1"/>
    <col min="9" max="12" width="15.28515625" style="483" customWidth="1"/>
    <col min="13" max="13" width="20.42578125" style="483" customWidth="1"/>
    <col min="14" max="14" width="18.5703125" style="38" customWidth="1"/>
    <col min="15" max="15" width="14.85546875" style="483" customWidth="1"/>
    <col min="16" max="16" width="14.85546875" style="38" customWidth="1"/>
    <col min="17" max="19" width="14.85546875" style="483" customWidth="1"/>
    <col min="20" max="20" width="16.85546875" style="38" customWidth="1"/>
    <col min="21" max="21" width="16.85546875" style="483" customWidth="1"/>
    <col min="22" max="23" width="18" style="38" customWidth="1"/>
    <col min="24" max="24" width="15.85546875" style="38" customWidth="1"/>
    <col min="25" max="25" width="17.7109375" style="38" customWidth="1"/>
    <col min="26" max="26" width="17.85546875" style="38" customWidth="1"/>
    <col min="27" max="27" width="15.85546875" style="38" customWidth="1"/>
    <col min="28" max="28" width="15.140625" style="38" customWidth="1"/>
    <col min="29" max="29" width="15.5703125" style="43" customWidth="1"/>
    <col min="30" max="30" width="18.140625" style="38" customWidth="1"/>
    <col min="31" max="32" width="18.140625" style="36" customWidth="1"/>
    <col min="33" max="33" width="17.140625" style="36" customWidth="1"/>
    <col min="34" max="16384" width="8.85546875" style="36"/>
  </cols>
  <sheetData>
    <row r="1" spans="1:39" ht="15.75">
      <c r="A1" s="35" t="s">
        <v>949</v>
      </c>
      <c r="B1" s="35"/>
      <c r="C1" s="35"/>
      <c r="D1" s="35"/>
      <c r="E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4"/>
      <c r="Y1" s="34"/>
      <c r="Z1" s="34"/>
      <c r="AA1" s="34"/>
      <c r="AB1" s="34"/>
      <c r="AC1" s="34"/>
      <c r="AD1" s="35"/>
      <c r="AE1" s="34"/>
      <c r="AF1" s="35"/>
    </row>
    <row r="2" spans="1:39" ht="33.75" customHeight="1">
      <c r="A2" s="589" t="s">
        <v>416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91" t="s">
        <v>675</v>
      </c>
      <c r="V2" s="589"/>
      <c r="W2" s="589"/>
      <c r="X2" s="181"/>
      <c r="Y2" s="181"/>
      <c r="Z2" s="181"/>
      <c r="AA2" s="181"/>
      <c r="AB2" s="181"/>
      <c r="AC2" s="181"/>
      <c r="AD2" s="181"/>
      <c r="AE2" s="181"/>
      <c r="AF2" s="181"/>
      <c r="AG2" s="592" t="s">
        <v>676</v>
      </c>
      <c r="AH2" s="181"/>
      <c r="AI2" s="181"/>
      <c r="AJ2" s="181"/>
      <c r="AK2" s="181"/>
      <c r="AL2" s="181"/>
      <c r="AM2" s="37"/>
    </row>
    <row r="3" spans="1:39" ht="16.5" thickBot="1">
      <c r="A3" s="492"/>
      <c r="B3" s="93"/>
      <c r="C3" s="93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492"/>
      <c r="O3" s="502"/>
      <c r="P3" s="502"/>
      <c r="Q3" s="502"/>
      <c r="R3" s="502"/>
      <c r="S3" s="502"/>
      <c r="T3" s="502"/>
      <c r="U3" s="502"/>
      <c r="V3" s="492"/>
      <c r="W3" s="502" t="s">
        <v>258</v>
      </c>
      <c r="X3" s="39"/>
      <c r="Y3" s="39"/>
      <c r="Z3" s="39"/>
      <c r="AA3" s="39"/>
      <c r="AB3" s="39"/>
      <c r="AC3" s="39"/>
      <c r="AD3" s="39"/>
      <c r="AE3" s="39"/>
      <c r="AF3" s="39"/>
      <c r="AG3" s="40"/>
      <c r="AH3" s="40"/>
      <c r="AI3" s="40"/>
      <c r="AJ3" s="41"/>
      <c r="AK3" s="38"/>
    </row>
    <row r="4" spans="1:39" ht="39" customHeight="1">
      <c r="A4" s="672" t="s">
        <v>45</v>
      </c>
      <c r="B4" s="674" t="s">
        <v>256</v>
      </c>
      <c r="C4" s="693" t="s">
        <v>46</v>
      </c>
      <c r="D4" s="690" t="s">
        <v>240</v>
      </c>
      <c r="E4" s="691"/>
      <c r="F4" s="691"/>
      <c r="G4" s="691"/>
      <c r="H4" s="691"/>
      <c r="I4" s="691"/>
      <c r="J4" s="691"/>
      <c r="K4" s="691"/>
      <c r="L4" s="691"/>
      <c r="M4" s="691"/>
      <c r="N4" s="691"/>
      <c r="O4" s="691"/>
      <c r="P4" s="691"/>
      <c r="Q4" s="691"/>
      <c r="R4" s="691"/>
      <c r="S4" s="691"/>
      <c r="T4" s="691"/>
      <c r="U4" s="691"/>
      <c r="V4" s="691"/>
      <c r="W4" s="691"/>
      <c r="X4" s="691"/>
      <c r="Y4" s="691"/>
      <c r="Z4" s="691"/>
      <c r="AA4" s="691"/>
      <c r="AB4" s="691"/>
      <c r="AC4" s="691"/>
      <c r="AD4" s="691"/>
      <c r="AE4" s="691"/>
      <c r="AF4" s="691"/>
      <c r="AG4" s="692"/>
    </row>
    <row r="5" spans="1:39" ht="114" customHeight="1" thickBot="1">
      <c r="A5" s="673"/>
      <c r="B5" s="675"/>
      <c r="C5" s="677"/>
      <c r="D5" s="562" t="s">
        <v>440</v>
      </c>
      <c r="E5" s="562" t="s">
        <v>504</v>
      </c>
      <c r="F5" s="562" t="s">
        <v>635</v>
      </c>
      <c r="G5" s="562" t="s">
        <v>441</v>
      </c>
      <c r="H5" s="562" t="s">
        <v>505</v>
      </c>
      <c r="I5" s="562" t="s">
        <v>636</v>
      </c>
      <c r="J5" s="562" t="s">
        <v>442</v>
      </c>
      <c r="K5" s="562" t="s">
        <v>506</v>
      </c>
      <c r="L5" s="562" t="s">
        <v>637</v>
      </c>
      <c r="M5" s="562" t="s">
        <v>653</v>
      </c>
      <c r="N5" s="562" t="s">
        <v>654</v>
      </c>
      <c r="O5" s="562" t="s">
        <v>655</v>
      </c>
      <c r="P5" s="562" t="s">
        <v>525</v>
      </c>
      <c r="Q5" s="562" t="s">
        <v>526</v>
      </c>
      <c r="R5" s="562" t="s">
        <v>638</v>
      </c>
      <c r="S5" s="562" t="s">
        <v>364</v>
      </c>
      <c r="T5" s="562" t="s">
        <v>507</v>
      </c>
      <c r="U5" s="562" t="s">
        <v>639</v>
      </c>
      <c r="V5" s="562" t="s">
        <v>369</v>
      </c>
      <c r="W5" s="562" t="s">
        <v>508</v>
      </c>
      <c r="X5" s="562" t="s">
        <v>640</v>
      </c>
      <c r="Y5" s="562" t="s">
        <v>580</v>
      </c>
      <c r="Z5" s="562" t="s">
        <v>582</v>
      </c>
      <c r="AA5" s="562" t="s">
        <v>641</v>
      </c>
      <c r="AB5" s="562" t="s">
        <v>443</v>
      </c>
      <c r="AC5" s="562" t="s">
        <v>509</v>
      </c>
      <c r="AD5" s="562" t="s">
        <v>642</v>
      </c>
      <c r="AE5" s="555" t="s">
        <v>308</v>
      </c>
      <c r="AF5" s="555" t="s">
        <v>510</v>
      </c>
      <c r="AG5" s="555" t="s">
        <v>643</v>
      </c>
    </row>
    <row r="6" spans="1:39" ht="16.5" thickBot="1">
      <c r="A6" s="682" t="s">
        <v>38</v>
      </c>
      <c r="B6" s="306" t="s">
        <v>165</v>
      </c>
      <c r="C6" s="305" t="s">
        <v>208</v>
      </c>
      <c r="D6" s="301">
        <v>5000</v>
      </c>
      <c r="E6" s="301">
        <v>70800</v>
      </c>
      <c r="F6" s="301">
        <v>65963</v>
      </c>
      <c r="G6" s="301">
        <f>15586559+2400000</f>
        <v>17986559</v>
      </c>
      <c r="H6" s="301">
        <v>28799177</v>
      </c>
      <c r="I6" s="301">
        <v>147618</v>
      </c>
      <c r="J6" s="301"/>
      <c r="K6" s="301"/>
      <c r="L6" s="301"/>
      <c r="M6" s="301"/>
      <c r="N6" s="301"/>
      <c r="O6" s="301"/>
      <c r="P6" s="301"/>
      <c r="Q6" s="301"/>
      <c r="R6" s="301"/>
      <c r="S6" s="301">
        <f>45452932+460780</f>
        <v>45913712</v>
      </c>
      <c r="T6" s="301">
        <f>45452932+460780</f>
        <v>45913712</v>
      </c>
      <c r="U6" s="301">
        <v>0</v>
      </c>
      <c r="V6" s="301"/>
      <c r="W6" s="301"/>
      <c r="X6" s="301"/>
      <c r="Y6" s="301"/>
      <c r="Z6" s="301"/>
      <c r="AA6" s="301"/>
      <c r="AB6" s="348"/>
      <c r="AC6" s="348"/>
      <c r="AD6" s="348"/>
      <c r="AE6" s="358">
        <f t="shared" ref="AE6:AE37" si="0">+AB6+V6+S6+J6+G6+D6+P6+M6+Y6</f>
        <v>63905271</v>
      </c>
      <c r="AF6" s="358">
        <f t="shared" ref="AF6:AF37" si="1">+AC6+W6+T6+K6+H6+E6+Q6+N6+Z6</f>
        <v>74783689</v>
      </c>
      <c r="AG6" s="358">
        <f>+AD6+X6+U6+L6+I6+F6+R6+O6+AA6</f>
        <v>213581</v>
      </c>
    </row>
    <row r="7" spans="1:39" ht="16.5" thickBot="1">
      <c r="A7" s="682"/>
      <c r="B7" s="306" t="s">
        <v>189</v>
      </c>
      <c r="C7" s="305" t="s">
        <v>266</v>
      </c>
      <c r="D7" s="301">
        <v>60000</v>
      </c>
      <c r="E7" s="301">
        <v>60000</v>
      </c>
      <c r="F7" s="301">
        <v>60000</v>
      </c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  <c r="AA7" s="301"/>
      <c r="AB7" s="348"/>
      <c r="AC7" s="348"/>
      <c r="AD7" s="348"/>
      <c r="AE7" s="358">
        <f t="shared" si="0"/>
        <v>60000</v>
      </c>
      <c r="AF7" s="358">
        <f t="shared" si="1"/>
        <v>60000</v>
      </c>
      <c r="AG7" s="358">
        <f t="shared" ref="AG7:AG62" si="2">+AD7+X7+U7+L7+I7+F7+R7+O7+AA7</f>
        <v>60000</v>
      </c>
    </row>
    <row r="8" spans="1:39" ht="16.5" thickBot="1">
      <c r="A8" s="682"/>
      <c r="B8" s="306" t="s">
        <v>190</v>
      </c>
      <c r="C8" s="305" t="s">
        <v>209</v>
      </c>
      <c r="D8" s="301">
        <v>12400000</v>
      </c>
      <c r="E8" s="301">
        <v>12334200</v>
      </c>
      <c r="F8" s="301">
        <v>9168592</v>
      </c>
      <c r="G8" s="301">
        <v>10665000</v>
      </c>
      <c r="H8" s="301">
        <v>0</v>
      </c>
      <c r="I8" s="301">
        <v>0</v>
      </c>
      <c r="J8" s="301"/>
      <c r="K8" s="301"/>
      <c r="L8" s="301"/>
      <c r="M8" s="301"/>
      <c r="N8" s="301">
        <v>77000</v>
      </c>
      <c r="O8" s="301">
        <v>77000</v>
      </c>
      <c r="P8" s="301"/>
      <c r="Q8" s="301"/>
      <c r="R8" s="301"/>
      <c r="S8" s="301">
        <f>4656766+93750</f>
        <v>4750516</v>
      </c>
      <c r="T8" s="301">
        <f>4656766+93750</f>
        <v>4750516</v>
      </c>
      <c r="U8" s="301">
        <v>0</v>
      </c>
      <c r="V8" s="301"/>
      <c r="W8" s="301"/>
      <c r="X8" s="301"/>
      <c r="Y8" s="301"/>
      <c r="Z8" s="301"/>
      <c r="AA8" s="301"/>
      <c r="AB8" s="348"/>
      <c r="AC8" s="348"/>
      <c r="AD8" s="348"/>
      <c r="AE8" s="358">
        <f t="shared" si="0"/>
        <v>27815516</v>
      </c>
      <c r="AF8" s="358">
        <f t="shared" si="1"/>
        <v>17161716</v>
      </c>
      <c r="AG8" s="358">
        <f t="shared" si="2"/>
        <v>9245592</v>
      </c>
    </row>
    <row r="9" spans="1:39" ht="16.5" thickBot="1">
      <c r="A9" s="682"/>
      <c r="B9" s="306" t="s">
        <v>296</v>
      </c>
      <c r="C9" s="305" t="s">
        <v>297</v>
      </c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48"/>
      <c r="T9" s="348"/>
      <c r="U9" s="348"/>
      <c r="V9" s="348"/>
      <c r="W9" s="348"/>
      <c r="X9" s="348"/>
      <c r="Y9" s="348"/>
      <c r="Z9" s="348"/>
      <c r="AA9" s="348"/>
      <c r="AB9" s="348"/>
      <c r="AC9" s="348"/>
      <c r="AD9" s="348"/>
      <c r="AE9" s="358">
        <f t="shared" si="0"/>
        <v>0</v>
      </c>
      <c r="AF9" s="358">
        <f t="shared" si="1"/>
        <v>0</v>
      </c>
      <c r="AG9" s="358">
        <f t="shared" si="2"/>
        <v>0</v>
      </c>
    </row>
    <row r="10" spans="1:39" ht="16.5" thickBot="1">
      <c r="A10" s="682"/>
      <c r="B10" s="306" t="s">
        <v>356</v>
      </c>
      <c r="C10" s="305" t="s">
        <v>357</v>
      </c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1"/>
      <c r="S10" s="348"/>
      <c r="T10" s="348"/>
      <c r="U10" s="348"/>
      <c r="V10" s="348"/>
      <c r="W10" s="348"/>
      <c r="X10" s="348"/>
      <c r="Y10" s="348"/>
      <c r="Z10" s="348"/>
      <c r="AA10" s="348"/>
      <c r="AB10" s="348"/>
      <c r="AC10" s="348"/>
      <c r="AD10" s="348"/>
      <c r="AE10" s="358">
        <f t="shared" si="0"/>
        <v>0</v>
      </c>
      <c r="AF10" s="358">
        <f t="shared" si="1"/>
        <v>0</v>
      </c>
      <c r="AG10" s="358">
        <f t="shared" si="2"/>
        <v>0</v>
      </c>
    </row>
    <row r="11" spans="1:39" ht="16.5" thickBot="1">
      <c r="A11" s="682"/>
      <c r="B11" s="306" t="s">
        <v>192</v>
      </c>
      <c r="C11" s="304" t="s">
        <v>211</v>
      </c>
      <c r="D11" s="301"/>
      <c r="E11" s="301"/>
      <c r="F11" s="301"/>
      <c r="G11" s="301">
        <v>0</v>
      </c>
      <c r="H11" s="301">
        <v>25771670</v>
      </c>
      <c r="I11" s="301">
        <v>25771670</v>
      </c>
      <c r="J11" s="301"/>
      <c r="K11" s="301"/>
      <c r="L11" s="301"/>
      <c r="M11" s="301"/>
      <c r="N11" s="301"/>
      <c r="O11" s="301"/>
      <c r="P11" s="301"/>
      <c r="Q11" s="301"/>
      <c r="R11" s="301"/>
      <c r="S11" s="301">
        <f>5431530</f>
        <v>5431530</v>
      </c>
      <c r="T11" s="301">
        <f>5431530</f>
        <v>5431530</v>
      </c>
      <c r="U11" s="301">
        <v>0</v>
      </c>
      <c r="V11" s="301"/>
      <c r="W11" s="301"/>
      <c r="X11" s="301"/>
      <c r="Y11" s="301"/>
      <c r="Z11" s="301"/>
      <c r="AA11" s="301"/>
      <c r="AB11" s="348"/>
      <c r="AC11" s="348"/>
      <c r="AD11" s="348"/>
      <c r="AE11" s="358">
        <f t="shared" si="0"/>
        <v>5431530</v>
      </c>
      <c r="AF11" s="358">
        <f t="shared" si="1"/>
        <v>31203200</v>
      </c>
      <c r="AG11" s="358">
        <f t="shared" si="2"/>
        <v>25771670</v>
      </c>
    </row>
    <row r="12" spans="1:39" ht="16.5" thickBot="1">
      <c r="A12" s="682"/>
      <c r="B12" s="306" t="s">
        <v>306</v>
      </c>
      <c r="C12" s="304" t="s">
        <v>307</v>
      </c>
      <c r="D12" s="301">
        <v>0</v>
      </c>
      <c r="E12" s="301">
        <v>2400000</v>
      </c>
      <c r="F12" s="301">
        <v>2640755</v>
      </c>
      <c r="G12" s="301">
        <v>0</v>
      </c>
      <c r="H12" s="301">
        <v>10094462</v>
      </c>
      <c r="I12" s="301">
        <v>9399285</v>
      </c>
      <c r="J12" s="301"/>
      <c r="K12" s="301"/>
      <c r="L12" s="301"/>
      <c r="M12" s="301"/>
      <c r="N12" s="301"/>
      <c r="O12" s="301"/>
      <c r="P12" s="301"/>
      <c r="Q12" s="301"/>
      <c r="R12" s="301"/>
      <c r="S12" s="301">
        <v>6411050</v>
      </c>
      <c r="T12" s="301">
        <v>6411050</v>
      </c>
      <c r="U12" s="301">
        <v>0</v>
      </c>
      <c r="V12" s="301"/>
      <c r="W12" s="301"/>
      <c r="X12" s="301"/>
      <c r="Y12" s="301"/>
      <c r="Z12" s="301"/>
      <c r="AA12" s="301"/>
      <c r="AB12" s="302"/>
      <c r="AC12" s="302"/>
      <c r="AD12" s="302"/>
      <c r="AE12" s="358">
        <f t="shared" si="0"/>
        <v>6411050</v>
      </c>
      <c r="AF12" s="358">
        <f t="shared" si="1"/>
        <v>18905512</v>
      </c>
      <c r="AG12" s="358">
        <f t="shared" si="2"/>
        <v>12040040</v>
      </c>
    </row>
    <row r="13" spans="1:39" ht="16.5" thickBot="1">
      <c r="A13" s="682"/>
      <c r="B13" s="306" t="s">
        <v>193</v>
      </c>
      <c r="C13" s="304" t="s">
        <v>212</v>
      </c>
      <c r="D13" s="301">
        <v>2400000</v>
      </c>
      <c r="E13" s="301">
        <v>0</v>
      </c>
      <c r="F13" s="301">
        <v>0</v>
      </c>
      <c r="G13" s="301"/>
      <c r="H13" s="301"/>
      <c r="I13" s="301"/>
      <c r="J13" s="301"/>
      <c r="K13" s="301"/>
      <c r="L13" s="301"/>
      <c r="M13" s="301"/>
      <c r="N13" s="301"/>
      <c r="O13" s="301"/>
      <c r="P13" s="301"/>
      <c r="Q13" s="301"/>
      <c r="R13" s="301"/>
      <c r="S13" s="301"/>
      <c r="T13" s="301"/>
      <c r="U13" s="301"/>
      <c r="V13" s="301"/>
      <c r="W13" s="301"/>
      <c r="X13" s="301"/>
      <c r="Y13" s="301"/>
      <c r="Z13" s="301"/>
      <c r="AA13" s="301"/>
      <c r="AB13" s="302"/>
      <c r="AC13" s="302"/>
      <c r="AD13" s="302"/>
      <c r="AE13" s="358">
        <f t="shared" si="0"/>
        <v>2400000</v>
      </c>
      <c r="AF13" s="358">
        <f t="shared" si="1"/>
        <v>0</v>
      </c>
      <c r="AG13" s="358">
        <f t="shared" si="2"/>
        <v>0</v>
      </c>
    </row>
    <row r="14" spans="1:39" ht="16.5" thickBot="1">
      <c r="A14" s="682"/>
      <c r="B14" s="392" t="s">
        <v>194</v>
      </c>
      <c r="C14" s="304" t="s">
        <v>267</v>
      </c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>
        <f>8945075+17098150</f>
        <v>26043225</v>
      </c>
      <c r="T14" s="301">
        <f>8945075+17098150</f>
        <v>26043225</v>
      </c>
      <c r="U14" s="301">
        <v>0</v>
      </c>
      <c r="V14" s="301"/>
      <c r="W14" s="301"/>
      <c r="X14" s="301"/>
      <c r="Y14" s="301"/>
      <c r="Z14" s="301"/>
      <c r="AA14" s="301"/>
      <c r="AB14" s="302"/>
      <c r="AC14" s="302"/>
      <c r="AD14" s="302"/>
      <c r="AE14" s="358">
        <f t="shared" si="0"/>
        <v>26043225</v>
      </c>
      <c r="AF14" s="358">
        <f t="shared" si="1"/>
        <v>26043225</v>
      </c>
      <c r="AG14" s="358">
        <f t="shared" si="2"/>
        <v>0</v>
      </c>
    </row>
    <row r="15" spans="1:39" ht="16.5" thickBot="1">
      <c r="A15" s="682"/>
      <c r="B15" s="306" t="s">
        <v>195</v>
      </c>
      <c r="C15" s="304" t="s">
        <v>268</v>
      </c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S15" s="301"/>
      <c r="T15" s="301"/>
      <c r="U15" s="301"/>
      <c r="V15" s="301"/>
      <c r="W15" s="301"/>
      <c r="X15" s="301"/>
      <c r="Y15" s="301"/>
      <c r="Z15" s="301"/>
      <c r="AA15" s="301"/>
      <c r="AB15" s="302"/>
      <c r="AC15" s="302"/>
      <c r="AD15" s="302"/>
      <c r="AE15" s="358">
        <f t="shared" si="0"/>
        <v>0</v>
      </c>
      <c r="AF15" s="358">
        <f t="shared" si="1"/>
        <v>0</v>
      </c>
      <c r="AG15" s="358">
        <f t="shared" si="2"/>
        <v>0</v>
      </c>
    </row>
    <row r="16" spans="1:39" ht="16.5" thickBot="1">
      <c r="A16" s="682"/>
      <c r="B16" s="306" t="s">
        <v>196</v>
      </c>
      <c r="C16" s="304" t="s">
        <v>213</v>
      </c>
      <c r="D16" s="301">
        <v>7500000</v>
      </c>
      <c r="E16" s="301">
        <v>9721098</v>
      </c>
      <c r="F16" s="301">
        <v>9721142</v>
      </c>
      <c r="G16" s="301"/>
      <c r="H16" s="301"/>
      <c r="I16" s="301"/>
      <c r="J16" s="301"/>
      <c r="K16" s="301"/>
      <c r="L16" s="301"/>
      <c r="M16" s="301"/>
      <c r="N16" s="301"/>
      <c r="O16" s="301"/>
      <c r="P16" s="301"/>
      <c r="Q16" s="301"/>
      <c r="R16" s="301"/>
      <c r="S16" s="301">
        <v>34610642</v>
      </c>
      <c r="T16" s="301">
        <v>34610642</v>
      </c>
      <c r="U16" s="301">
        <v>0</v>
      </c>
      <c r="V16" s="301"/>
      <c r="W16" s="301"/>
      <c r="X16" s="301"/>
      <c r="Y16" s="301"/>
      <c r="Z16" s="301"/>
      <c r="AA16" s="301"/>
      <c r="AB16" s="302"/>
      <c r="AC16" s="302"/>
      <c r="AD16" s="302"/>
      <c r="AE16" s="358">
        <f t="shared" si="0"/>
        <v>42110642</v>
      </c>
      <c r="AF16" s="358">
        <f t="shared" si="1"/>
        <v>44331740</v>
      </c>
      <c r="AG16" s="358">
        <f t="shared" si="2"/>
        <v>9721142</v>
      </c>
    </row>
    <row r="17" spans="1:33" ht="16.5" thickBot="1">
      <c r="A17" s="682"/>
      <c r="B17" s="306" t="s">
        <v>487</v>
      </c>
      <c r="C17" s="304" t="s">
        <v>524</v>
      </c>
      <c r="D17" s="301"/>
      <c r="E17" s="301"/>
      <c r="F17" s="301"/>
      <c r="G17" s="301">
        <v>0</v>
      </c>
      <c r="H17" s="301">
        <v>7796297</v>
      </c>
      <c r="I17" s="301">
        <v>7796297</v>
      </c>
      <c r="J17" s="301">
        <v>0</v>
      </c>
      <c r="K17" s="301">
        <v>12048100</v>
      </c>
      <c r="L17" s="301">
        <v>12048100</v>
      </c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1"/>
      <c r="AA17" s="301"/>
      <c r="AB17" s="302"/>
      <c r="AC17" s="302"/>
      <c r="AD17" s="302"/>
      <c r="AE17" s="358">
        <f t="shared" si="0"/>
        <v>0</v>
      </c>
      <c r="AF17" s="358">
        <f t="shared" si="1"/>
        <v>19844397</v>
      </c>
      <c r="AG17" s="358">
        <f t="shared" si="2"/>
        <v>19844397</v>
      </c>
    </row>
    <row r="18" spans="1:33" ht="16.5" thickBot="1">
      <c r="A18" s="682"/>
      <c r="B18" s="306" t="s">
        <v>197</v>
      </c>
      <c r="C18" s="304" t="s">
        <v>214</v>
      </c>
      <c r="D18" s="301">
        <v>6000000</v>
      </c>
      <c r="E18" s="301">
        <v>8740344</v>
      </c>
      <c r="F18" s="301">
        <v>8740344</v>
      </c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>
        <v>68457822</v>
      </c>
      <c r="T18" s="301">
        <v>68457822</v>
      </c>
      <c r="U18" s="301">
        <v>0</v>
      </c>
      <c r="V18" s="301"/>
      <c r="W18" s="301"/>
      <c r="X18" s="301"/>
      <c r="Y18" s="301"/>
      <c r="Z18" s="301"/>
      <c r="AA18" s="301"/>
      <c r="AB18" s="302"/>
      <c r="AC18" s="302"/>
      <c r="AD18" s="302"/>
      <c r="AE18" s="358">
        <f t="shared" si="0"/>
        <v>74457822</v>
      </c>
      <c r="AF18" s="358">
        <f t="shared" si="1"/>
        <v>77198166</v>
      </c>
      <c r="AG18" s="358">
        <f t="shared" si="2"/>
        <v>8740344</v>
      </c>
    </row>
    <row r="19" spans="1:33" ht="16.5" thickBot="1">
      <c r="A19" s="682"/>
      <c r="B19" s="306" t="s">
        <v>198</v>
      </c>
      <c r="C19" s="304" t="s">
        <v>47</v>
      </c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2"/>
      <c r="AC19" s="302"/>
      <c r="AD19" s="302"/>
      <c r="AE19" s="358">
        <f t="shared" si="0"/>
        <v>0</v>
      </c>
      <c r="AF19" s="358">
        <f t="shared" si="1"/>
        <v>0</v>
      </c>
      <c r="AG19" s="358">
        <f t="shared" si="2"/>
        <v>0</v>
      </c>
    </row>
    <row r="20" spans="1:33" ht="16.5" thickBot="1">
      <c r="A20" s="682"/>
      <c r="B20" s="306" t="s">
        <v>167</v>
      </c>
      <c r="C20" s="304" t="s">
        <v>166</v>
      </c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2"/>
      <c r="AC20" s="302"/>
      <c r="AD20" s="302"/>
      <c r="AE20" s="358">
        <f t="shared" si="0"/>
        <v>0</v>
      </c>
      <c r="AF20" s="358">
        <f t="shared" si="1"/>
        <v>0</v>
      </c>
      <c r="AG20" s="358">
        <f t="shared" si="2"/>
        <v>0</v>
      </c>
    </row>
    <row r="21" spans="1:33" ht="16.5" thickBot="1">
      <c r="A21" s="682"/>
      <c r="B21" s="306" t="s">
        <v>168</v>
      </c>
      <c r="C21" s="304" t="s">
        <v>215</v>
      </c>
      <c r="D21" s="301">
        <v>1500000</v>
      </c>
      <c r="E21" s="301">
        <v>1495000</v>
      </c>
      <c r="F21" s="301">
        <v>2195885</v>
      </c>
      <c r="G21" s="301">
        <v>0</v>
      </c>
      <c r="H21" s="301">
        <v>1309095</v>
      </c>
      <c r="I21" s="301">
        <v>1309095</v>
      </c>
      <c r="J21" s="301"/>
      <c r="K21" s="301"/>
      <c r="L21" s="301"/>
      <c r="M21" s="301">
        <v>0</v>
      </c>
      <c r="N21" s="301">
        <v>10000</v>
      </c>
      <c r="O21" s="301">
        <v>10000</v>
      </c>
      <c r="P21" s="301">
        <v>0</v>
      </c>
      <c r="Q21" s="301">
        <v>5000</v>
      </c>
      <c r="R21" s="301">
        <v>5000</v>
      </c>
      <c r="S21" s="348">
        <f>4584000+2267425</f>
        <v>6851425</v>
      </c>
      <c r="T21" s="348">
        <f>4584000+2267425</f>
        <v>6851425</v>
      </c>
      <c r="U21" s="348">
        <v>0</v>
      </c>
      <c r="V21" s="301"/>
      <c r="W21" s="301"/>
      <c r="X21" s="301"/>
      <c r="Y21" s="301"/>
      <c r="Z21" s="301"/>
      <c r="AA21" s="301"/>
      <c r="AB21" s="302"/>
      <c r="AC21" s="302"/>
      <c r="AD21" s="302"/>
      <c r="AE21" s="358">
        <f t="shared" si="0"/>
        <v>8351425</v>
      </c>
      <c r="AF21" s="358">
        <f t="shared" si="1"/>
        <v>9670520</v>
      </c>
      <c r="AG21" s="358">
        <f t="shared" si="2"/>
        <v>3519980</v>
      </c>
    </row>
    <row r="22" spans="1:33" ht="16.5" thickBot="1">
      <c r="A22" s="682"/>
      <c r="B22" s="306" t="s">
        <v>199</v>
      </c>
      <c r="C22" s="304" t="s">
        <v>216</v>
      </c>
      <c r="D22" s="301">
        <v>550000</v>
      </c>
      <c r="E22" s="301">
        <v>550000</v>
      </c>
      <c r="F22" s="301">
        <v>489324</v>
      </c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48">
        <v>148074197</v>
      </c>
      <c r="T22" s="348">
        <v>148074197</v>
      </c>
      <c r="U22" s="348">
        <v>0</v>
      </c>
      <c r="V22" s="301"/>
      <c r="W22" s="301"/>
      <c r="X22" s="301"/>
      <c r="Y22" s="301"/>
      <c r="Z22" s="301"/>
      <c r="AA22" s="301"/>
      <c r="AB22" s="302"/>
      <c r="AC22" s="302"/>
      <c r="AD22" s="302"/>
      <c r="AE22" s="358">
        <f t="shared" si="0"/>
        <v>148624197</v>
      </c>
      <c r="AF22" s="358">
        <f t="shared" si="1"/>
        <v>148624197</v>
      </c>
      <c r="AG22" s="358">
        <f t="shared" si="2"/>
        <v>489324</v>
      </c>
    </row>
    <row r="23" spans="1:33" ht="16.5" thickBot="1">
      <c r="A23" s="682"/>
      <c r="B23" s="306" t="s">
        <v>201</v>
      </c>
      <c r="C23" s="305" t="s">
        <v>218</v>
      </c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48"/>
      <c r="T23" s="348"/>
      <c r="U23" s="348"/>
      <c r="V23" s="301"/>
      <c r="W23" s="301"/>
      <c r="X23" s="301"/>
      <c r="Y23" s="301"/>
      <c r="Z23" s="301"/>
      <c r="AA23" s="301"/>
      <c r="AB23" s="302"/>
      <c r="AC23" s="302"/>
      <c r="AD23" s="302"/>
      <c r="AE23" s="358">
        <f t="shared" si="0"/>
        <v>0</v>
      </c>
      <c r="AF23" s="358">
        <f t="shared" si="1"/>
        <v>0</v>
      </c>
      <c r="AG23" s="358">
        <f t="shared" si="2"/>
        <v>0</v>
      </c>
    </row>
    <row r="24" spans="1:33" ht="16.5" thickBot="1">
      <c r="A24" s="682"/>
      <c r="B24" s="306" t="s">
        <v>200</v>
      </c>
      <c r="C24" s="304" t="s">
        <v>217</v>
      </c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48"/>
      <c r="T24" s="348"/>
      <c r="U24" s="348"/>
      <c r="V24" s="301"/>
      <c r="W24" s="301"/>
      <c r="X24" s="301"/>
      <c r="Y24" s="301"/>
      <c r="Z24" s="301"/>
      <c r="AA24" s="301"/>
      <c r="AB24" s="302"/>
      <c r="AC24" s="302"/>
      <c r="AD24" s="302"/>
      <c r="AE24" s="358">
        <f t="shared" si="0"/>
        <v>0</v>
      </c>
      <c r="AF24" s="358">
        <f t="shared" si="1"/>
        <v>0</v>
      </c>
      <c r="AG24" s="358">
        <f t="shared" si="2"/>
        <v>0</v>
      </c>
    </row>
    <row r="25" spans="1:33" ht="16.5" thickBot="1">
      <c r="A25" s="682"/>
      <c r="B25" s="306" t="s">
        <v>170</v>
      </c>
      <c r="C25" s="305" t="s">
        <v>48</v>
      </c>
      <c r="D25" s="301"/>
      <c r="E25" s="301"/>
      <c r="F25" s="301"/>
      <c r="G25" s="301">
        <v>14981900</v>
      </c>
      <c r="H25" s="301">
        <v>16629400</v>
      </c>
      <c r="I25" s="301">
        <v>16069400</v>
      </c>
      <c r="J25" s="301"/>
      <c r="K25" s="301"/>
      <c r="L25" s="301"/>
      <c r="M25" s="301"/>
      <c r="N25" s="301"/>
      <c r="O25" s="301"/>
      <c r="P25" s="301"/>
      <c r="Q25" s="301"/>
      <c r="R25" s="301"/>
      <c r="S25" s="348"/>
      <c r="T25" s="348"/>
      <c r="U25" s="348"/>
      <c r="V25" s="301"/>
      <c r="W25" s="301"/>
      <c r="X25" s="301"/>
      <c r="Y25" s="301"/>
      <c r="Z25" s="301"/>
      <c r="AA25" s="301"/>
      <c r="AB25" s="302"/>
      <c r="AC25" s="302"/>
      <c r="AD25" s="302"/>
      <c r="AE25" s="358">
        <f t="shared" si="0"/>
        <v>14981900</v>
      </c>
      <c r="AF25" s="358">
        <f t="shared" si="1"/>
        <v>16629400</v>
      </c>
      <c r="AG25" s="358">
        <f t="shared" si="2"/>
        <v>16069400</v>
      </c>
    </row>
    <row r="26" spans="1:33" ht="16.5" thickBot="1">
      <c r="A26" s="682"/>
      <c r="B26" s="507" t="s">
        <v>202</v>
      </c>
      <c r="C26" s="305" t="s">
        <v>219</v>
      </c>
      <c r="D26" s="301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48">
        <v>20000000</v>
      </c>
      <c r="T26" s="348">
        <v>20000000</v>
      </c>
      <c r="U26" s="348"/>
      <c r="V26" s="301"/>
      <c r="W26" s="301"/>
      <c r="X26" s="301"/>
      <c r="Y26" s="301"/>
      <c r="Z26" s="301"/>
      <c r="AA26" s="301"/>
      <c r="AB26" s="302"/>
      <c r="AC26" s="302"/>
      <c r="AD26" s="302"/>
      <c r="AE26" s="358">
        <f t="shared" si="0"/>
        <v>20000000</v>
      </c>
      <c r="AF26" s="358">
        <f t="shared" si="1"/>
        <v>20000000</v>
      </c>
      <c r="AG26" s="358">
        <f t="shared" si="2"/>
        <v>0</v>
      </c>
    </row>
    <row r="27" spans="1:33" ht="16.5" thickBot="1">
      <c r="A27" s="682"/>
      <c r="B27" s="306" t="s">
        <v>269</v>
      </c>
      <c r="C27" s="305" t="s">
        <v>363</v>
      </c>
      <c r="D27" s="301"/>
      <c r="E27" s="301"/>
      <c r="F27" s="301"/>
      <c r="G27" s="301"/>
      <c r="H27" s="301"/>
      <c r="I27" s="301"/>
      <c r="J27" s="301">
        <f>38712761+39091566</f>
        <v>77804327</v>
      </c>
      <c r="K27" s="301">
        <f>38712761+39091566</f>
        <v>77804327</v>
      </c>
      <c r="L27" s="301">
        <v>74878288</v>
      </c>
      <c r="M27" s="301"/>
      <c r="N27" s="301"/>
      <c r="O27" s="301"/>
      <c r="P27" s="301"/>
      <c r="Q27" s="301"/>
      <c r="R27" s="301"/>
      <c r="S27" s="348">
        <f>996900+22741</f>
        <v>1019641</v>
      </c>
      <c r="T27" s="348">
        <v>4224049</v>
      </c>
      <c r="U27" s="348">
        <v>418403593</v>
      </c>
      <c r="V27" s="301"/>
      <c r="W27" s="301"/>
      <c r="X27" s="301"/>
      <c r="Y27" s="301"/>
      <c r="Z27" s="301"/>
      <c r="AA27" s="301"/>
      <c r="AB27" s="302"/>
      <c r="AC27" s="302"/>
      <c r="AD27" s="302"/>
      <c r="AE27" s="358">
        <f t="shared" si="0"/>
        <v>78823968</v>
      </c>
      <c r="AF27" s="358">
        <f t="shared" si="1"/>
        <v>82028376</v>
      </c>
      <c r="AG27" s="358">
        <f t="shared" si="2"/>
        <v>493281881</v>
      </c>
    </row>
    <row r="28" spans="1:33" ht="16.5" thickBot="1">
      <c r="A28" s="682"/>
      <c r="B28" s="306" t="s">
        <v>205</v>
      </c>
      <c r="C28" s="305" t="s">
        <v>172</v>
      </c>
      <c r="D28" s="301"/>
      <c r="E28" s="301"/>
      <c r="F28" s="301"/>
      <c r="G28" s="301">
        <v>6245115</v>
      </c>
      <c r="H28" s="301">
        <v>7411115</v>
      </c>
      <c r="I28" s="301">
        <v>7411115</v>
      </c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58">
        <f t="shared" si="0"/>
        <v>6245115</v>
      </c>
      <c r="AF28" s="358">
        <f t="shared" si="1"/>
        <v>7411115</v>
      </c>
      <c r="AG28" s="358">
        <f t="shared" si="2"/>
        <v>7411115</v>
      </c>
    </row>
    <row r="29" spans="1:33" ht="16.5" thickBot="1">
      <c r="A29" s="682"/>
      <c r="B29" s="493" t="s">
        <v>302</v>
      </c>
      <c r="C29" s="383" t="s">
        <v>303</v>
      </c>
      <c r="D29" s="301"/>
      <c r="E29" s="301"/>
      <c r="F29" s="301"/>
      <c r="G29" s="301">
        <v>1000000</v>
      </c>
      <c r="H29" s="301">
        <v>1000000</v>
      </c>
      <c r="I29" s="301">
        <v>0</v>
      </c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58">
        <f t="shared" si="0"/>
        <v>1000000</v>
      </c>
      <c r="AF29" s="358">
        <f t="shared" si="1"/>
        <v>1000000</v>
      </c>
      <c r="AG29" s="358">
        <f t="shared" si="2"/>
        <v>0</v>
      </c>
    </row>
    <row r="30" spans="1:33" ht="16.5" thickBot="1">
      <c r="A30" s="682"/>
      <c r="B30" s="306" t="s">
        <v>206</v>
      </c>
      <c r="C30" s="305" t="s">
        <v>222</v>
      </c>
      <c r="D30" s="301">
        <v>1150000</v>
      </c>
      <c r="E30" s="301">
        <v>1150000</v>
      </c>
      <c r="F30" s="301">
        <v>1505010</v>
      </c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>
        <v>7156084</v>
      </c>
      <c r="T30" s="301">
        <v>7156084</v>
      </c>
      <c r="U30" s="301">
        <v>0</v>
      </c>
      <c r="V30" s="301"/>
      <c r="W30" s="301"/>
      <c r="X30" s="301"/>
      <c r="Y30" s="301"/>
      <c r="Z30" s="301"/>
      <c r="AA30" s="301"/>
      <c r="AB30" s="301"/>
      <c r="AC30" s="301"/>
      <c r="AD30" s="301"/>
      <c r="AE30" s="358">
        <f t="shared" si="0"/>
        <v>8306084</v>
      </c>
      <c r="AF30" s="358">
        <f t="shared" si="1"/>
        <v>8306084</v>
      </c>
      <c r="AG30" s="358">
        <f t="shared" si="2"/>
        <v>1505010</v>
      </c>
    </row>
    <row r="31" spans="1:33" ht="32.25" thickBot="1">
      <c r="A31" s="682"/>
      <c r="B31" s="306" t="s">
        <v>358</v>
      </c>
      <c r="C31" s="383" t="s">
        <v>359</v>
      </c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58">
        <f t="shared" si="0"/>
        <v>0</v>
      </c>
      <c r="AF31" s="358">
        <f t="shared" si="1"/>
        <v>0</v>
      </c>
      <c r="AG31" s="358">
        <f t="shared" si="2"/>
        <v>0</v>
      </c>
    </row>
    <row r="32" spans="1:33" ht="16.5" thickBot="1">
      <c r="A32" s="682"/>
      <c r="B32" s="306" t="s">
        <v>207</v>
      </c>
      <c r="C32" s="305" t="s">
        <v>223</v>
      </c>
      <c r="D32" s="301">
        <v>600000</v>
      </c>
      <c r="E32" s="301">
        <v>500000</v>
      </c>
      <c r="F32" s="301">
        <v>628680</v>
      </c>
      <c r="G32" s="301"/>
      <c r="H32" s="301"/>
      <c r="I32" s="301"/>
      <c r="J32" s="301"/>
      <c r="K32" s="301"/>
      <c r="L32" s="301"/>
      <c r="M32" s="301"/>
      <c r="N32" s="301"/>
      <c r="O32" s="301"/>
      <c r="P32" s="301">
        <v>0</v>
      </c>
      <c r="Q32" s="301">
        <v>100000</v>
      </c>
      <c r="R32" s="301">
        <v>111094</v>
      </c>
      <c r="S32" s="301"/>
      <c r="T32" s="301"/>
      <c r="U32" s="301"/>
      <c r="V32" s="301"/>
      <c r="W32" s="301"/>
      <c r="X32" s="301"/>
      <c r="Y32" s="301"/>
      <c r="Z32" s="301"/>
      <c r="AA32" s="301"/>
      <c r="AB32" s="302"/>
      <c r="AC32" s="302"/>
      <c r="AD32" s="302"/>
      <c r="AE32" s="358">
        <f t="shared" si="0"/>
        <v>600000</v>
      </c>
      <c r="AF32" s="358">
        <f t="shared" si="1"/>
        <v>600000</v>
      </c>
      <c r="AG32" s="358">
        <f t="shared" si="2"/>
        <v>739774</v>
      </c>
    </row>
    <row r="33" spans="1:35" ht="16.5" thickBot="1">
      <c r="A33" s="682"/>
      <c r="B33" s="306" t="s">
        <v>298</v>
      </c>
      <c r="C33" s="304" t="s">
        <v>300</v>
      </c>
      <c r="D33" s="301">
        <v>0</v>
      </c>
      <c r="E33" s="301">
        <v>0</v>
      </c>
      <c r="F33" s="301">
        <v>1589996</v>
      </c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2"/>
      <c r="AC33" s="302"/>
      <c r="AD33" s="302"/>
      <c r="AE33" s="358">
        <f t="shared" si="0"/>
        <v>0</v>
      </c>
      <c r="AF33" s="358">
        <f t="shared" si="1"/>
        <v>0</v>
      </c>
      <c r="AG33" s="358">
        <f t="shared" si="2"/>
        <v>1589996</v>
      </c>
    </row>
    <row r="34" spans="1:35" ht="16.5" thickBot="1">
      <c r="A34" s="682"/>
      <c r="B34" s="306" t="s">
        <v>299</v>
      </c>
      <c r="C34" s="304" t="s">
        <v>301</v>
      </c>
      <c r="D34" s="301">
        <v>0</v>
      </c>
      <c r="E34" s="301">
        <v>0</v>
      </c>
      <c r="F34" s="301">
        <v>1591105</v>
      </c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2"/>
      <c r="AC34" s="302"/>
      <c r="AD34" s="302"/>
      <c r="AE34" s="358">
        <f t="shared" si="0"/>
        <v>0</v>
      </c>
      <c r="AF34" s="358">
        <f t="shared" si="1"/>
        <v>0</v>
      </c>
      <c r="AG34" s="358">
        <f t="shared" si="2"/>
        <v>1591105</v>
      </c>
    </row>
    <row r="35" spans="1:35" ht="16.5" thickBot="1">
      <c r="A35" s="682"/>
      <c r="B35" s="306" t="s">
        <v>229</v>
      </c>
      <c r="C35" s="304" t="s">
        <v>231</v>
      </c>
      <c r="D35" s="301">
        <v>0</v>
      </c>
      <c r="E35" s="301">
        <v>0</v>
      </c>
      <c r="F35" s="301">
        <v>6000</v>
      </c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>
        <v>2734000</v>
      </c>
      <c r="T35" s="301">
        <v>2734000</v>
      </c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58">
        <f t="shared" si="0"/>
        <v>2734000</v>
      </c>
      <c r="AF35" s="358">
        <f t="shared" si="1"/>
        <v>2734000</v>
      </c>
      <c r="AG35" s="358">
        <f t="shared" si="2"/>
        <v>6000</v>
      </c>
    </row>
    <row r="36" spans="1:35" ht="32.25" thickBot="1">
      <c r="A36" s="682"/>
      <c r="B36" s="306" t="s">
        <v>270</v>
      </c>
      <c r="C36" s="383" t="s">
        <v>362</v>
      </c>
      <c r="D36" s="301"/>
      <c r="E36" s="301"/>
      <c r="F36" s="301"/>
      <c r="G36" s="301">
        <v>284885510</v>
      </c>
      <c r="H36" s="301">
        <v>320083581</v>
      </c>
      <c r="I36" s="301">
        <v>320083581</v>
      </c>
      <c r="J36" s="348">
        <f>8845094+8945081+13223939</f>
        <v>31014114</v>
      </c>
      <c r="K36" s="348">
        <v>46014112</v>
      </c>
      <c r="L36" s="348">
        <v>16834998</v>
      </c>
      <c r="M36" s="348"/>
      <c r="N36" s="348"/>
      <c r="O36" s="348"/>
      <c r="P36" s="348"/>
      <c r="Q36" s="348"/>
      <c r="R36" s="348"/>
      <c r="S36" s="348">
        <v>23005204</v>
      </c>
      <c r="T36" s="348">
        <f>33756243-Z36</f>
        <v>23005204</v>
      </c>
      <c r="U36" s="348">
        <v>0</v>
      </c>
      <c r="V36" s="301"/>
      <c r="W36" s="301"/>
      <c r="X36" s="301"/>
      <c r="Y36" s="301">
        <v>0</v>
      </c>
      <c r="Z36" s="301">
        <v>10751039</v>
      </c>
      <c r="AA36" s="301">
        <v>10751039</v>
      </c>
      <c r="AB36" s="301"/>
      <c r="AC36" s="301"/>
      <c r="AD36" s="301"/>
      <c r="AE36" s="358">
        <f t="shared" si="0"/>
        <v>338904828</v>
      </c>
      <c r="AF36" s="358">
        <f t="shared" si="1"/>
        <v>399853936</v>
      </c>
      <c r="AG36" s="358">
        <f t="shared" si="2"/>
        <v>347669618</v>
      </c>
    </row>
    <row r="37" spans="1:35" ht="16.5" thickBot="1">
      <c r="A37" s="682"/>
      <c r="B37" s="306" t="s">
        <v>367</v>
      </c>
      <c r="C37" s="383" t="s">
        <v>368</v>
      </c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48">
        <v>14740137</v>
      </c>
      <c r="T37" s="348">
        <v>14740137</v>
      </c>
      <c r="U37" s="348">
        <v>0</v>
      </c>
      <c r="V37" s="301"/>
      <c r="W37" s="301"/>
      <c r="X37" s="301"/>
      <c r="Y37" s="301"/>
      <c r="Z37" s="301"/>
      <c r="AA37" s="301"/>
      <c r="AB37" s="301">
        <v>59200000</v>
      </c>
      <c r="AC37" s="301">
        <v>59200000</v>
      </c>
      <c r="AD37" s="301">
        <v>82020727</v>
      </c>
      <c r="AE37" s="358">
        <f t="shared" si="0"/>
        <v>73940137</v>
      </c>
      <c r="AF37" s="358">
        <f t="shared" si="1"/>
        <v>73940137</v>
      </c>
      <c r="AG37" s="358">
        <f t="shared" si="2"/>
        <v>82020727</v>
      </c>
    </row>
    <row r="38" spans="1:35" ht="16.5" thickBot="1">
      <c r="A38" s="682"/>
      <c r="B38" s="190" t="s">
        <v>365</v>
      </c>
      <c r="C38" s="190" t="s">
        <v>366</v>
      </c>
      <c r="D38" s="303">
        <f t="shared" ref="D38" si="3">SUM(D6:D37)</f>
        <v>32165000</v>
      </c>
      <c r="E38" s="303">
        <f>SUM(E6:E37)</f>
        <v>37021442</v>
      </c>
      <c r="F38" s="303">
        <f t="shared" ref="F38:AD38" si="4">SUM(F6:F37)</f>
        <v>38402796</v>
      </c>
      <c r="G38" s="303">
        <f t="shared" si="4"/>
        <v>335764084</v>
      </c>
      <c r="H38" s="303">
        <f t="shared" si="4"/>
        <v>418894797</v>
      </c>
      <c r="I38" s="303">
        <f t="shared" si="4"/>
        <v>387988061</v>
      </c>
      <c r="J38" s="303">
        <f t="shared" si="4"/>
        <v>108818441</v>
      </c>
      <c r="K38" s="303">
        <f t="shared" si="4"/>
        <v>135866539</v>
      </c>
      <c r="L38" s="303">
        <f t="shared" si="4"/>
        <v>103761386</v>
      </c>
      <c r="M38" s="303">
        <f t="shared" si="4"/>
        <v>0</v>
      </c>
      <c r="N38" s="303">
        <f t="shared" si="4"/>
        <v>87000</v>
      </c>
      <c r="O38" s="303">
        <f t="shared" si="4"/>
        <v>87000</v>
      </c>
      <c r="P38" s="303">
        <f t="shared" si="4"/>
        <v>0</v>
      </c>
      <c r="Q38" s="303">
        <f t="shared" si="4"/>
        <v>105000</v>
      </c>
      <c r="R38" s="303">
        <f t="shared" si="4"/>
        <v>116094</v>
      </c>
      <c r="S38" s="303">
        <f t="shared" si="4"/>
        <v>415199185</v>
      </c>
      <c r="T38" s="303">
        <f t="shared" si="4"/>
        <v>418403593</v>
      </c>
      <c r="U38" s="303">
        <f t="shared" si="4"/>
        <v>418403593</v>
      </c>
      <c r="V38" s="303">
        <f t="shared" si="4"/>
        <v>0</v>
      </c>
      <c r="W38" s="303">
        <f t="shared" si="4"/>
        <v>0</v>
      </c>
      <c r="X38" s="303">
        <f t="shared" si="4"/>
        <v>0</v>
      </c>
      <c r="Y38" s="303">
        <f t="shared" si="4"/>
        <v>0</v>
      </c>
      <c r="Z38" s="303">
        <f t="shared" si="4"/>
        <v>10751039</v>
      </c>
      <c r="AA38" s="303">
        <f t="shared" si="4"/>
        <v>10751039</v>
      </c>
      <c r="AB38" s="303">
        <f t="shared" si="4"/>
        <v>59200000</v>
      </c>
      <c r="AC38" s="303">
        <f t="shared" si="4"/>
        <v>59200000</v>
      </c>
      <c r="AD38" s="303">
        <f t="shared" si="4"/>
        <v>82020727</v>
      </c>
      <c r="AE38" s="358">
        <f t="shared" ref="AE38:AE62" si="5">+AB38+V38+S38+J38+G38+D38+P38+M38+Y38</f>
        <v>951146710</v>
      </c>
      <c r="AF38" s="358">
        <f t="shared" ref="AF38:AF62" si="6">+AC38+W38+T38+K38+H38+E38+Q38+N38+Z38</f>
        <v>1080329410</v>
      </c>
      <c r="AG38" s="358">
        <f t="shared" si="2"/>
        <v>1041530696</v>
      </c>
      <c r="AH38" s="124"/>
      <c r="AI38" s="124"/>
    </row>
    <row r="39" spans="1:35" ht="37.9" customHeight="1" thickBot="1">
      <c r="A39" s="682" t="s">
        <v>39</v>
      </c>
      <c r="B39" s="392" t="s">
        <v>165</v>
      </c>
      <c r="C39" s="189" t="s">
        <v>208</v>
      </c>
      <c r="D39" s="301">
        <v>1200000</v>
      </c>
      <c r="E39" s="301">
        <v>1200000</v>
      </c>
      <c r="F39" s="301">
        <v>1116140</v>
      </c>
      <c r="G39" s="301">
        <v>0</v>
      </c>
      <c r="H39" s="301">
        <v>947353</v>
      </c>
      <c r="I39" s="301">
        <v>947353</v>
      </c>
      <c r="J39" s="301"/>
      <c r="K39" s="428"/>
      <c r="L39" s="428"/>
      <c r="M39" s="301">
        <v>0</v>
      </c>
      <c r="N39" s="301">
        <v>0</v>
      </c>
      <c r="O39" s="301">
        <v>450000</v>
      </c>
      <c r="P39" s="428"/>
      <c r="Q39" s="428"/>
      <c r="R39" s="428"/>
      <c r="S39" s="428"/>
      <c r="T39" s="428"/>
      <c r="U39" s="428"/>
      <c r="V39" s="428"/>
      <c r="W39" s="428"/>
      <c r="X39" s="428"/>
      <c r="Y39" s="428"/>
      <c r="Z39" s="428"/>
      <c r="AA39" s="428"/>
      <c r="AB39" s="302">
        <v>70000</v>
      </c>
      <c r="AC39" s="302">
        <v>70000</v>
      </c>
      <c r="AD39" s="302"/>
      <c r="AE39" s="358">
        <f t="shared" si="5"/>
        <v>1270000</v>
      </c>
      <c r="AF39" s="358">
        <f t="shared" si="6"/>
        <v>2217353</v>
      </c>
      <c r="AG39" s="358">
        <f t="shared" si="2"/>
        <v>2513493</v>
      </c>
    </row>
    <row r="40" spans="1:35" ht="37.9" customHeight="1" thickBot="1">
      <c r="A40" s="682"/>
      <c r="B40" s="424" t="s">
        <v>527</v>
      </c>
      <c r="C40" s="356" t="s">
        <v>558</v>
      </c>
      <c r="D40" s="301"/>
      <c r="E40" s="301"/>
      <c r="F40" s="301"/>
      <c r="G40" s="301">
        <v>0</v>
      </c>
      <c r="H40" s="301">
        <v>6500451</v>
      </c>
      <c r="I40" s="301">
        <v>6500451</v>
      </c>
      <c r="J40" s="301"/>
      <c r="K40" s="428"/>
      <c r="L40" s="428"/>
      <c r="M40" s="428"/>
      <c r="N40" s="428"/>
      <c r="O40" s="428"/>
      <c r="P40" s="428"/>
      <c r="Q40" s="428"/>
      <c r="R40" s="428"/>
      <c r="S40" s="428"/>
      <c r="T40" s="428"/>
      <c r="U40" s="428"/>
      <c r="V40" s="428"/>
      <c r="W40" s="428"/>
      <c r="X40" s="428"/>
      <c r="Y40" s="428"/>
      <c r="Z40" s="428"/>
      <c r="AA40" s="428"/>
      <c r="AB40" s="302"/>
      <c r="AC40" s="302"/>
      <c r="AD40" s="302"/>
      <c r="AE40" s="358">
        <f t="shared" si="5"/>
        <v>0</v>
      </c>
      <c r="AF40" s="358">
        <f t="shared" si="6"/>
        <v>6500451</v>
      </c>
      <c r="AG40" s="358">
        <f t="shared" si="2"/>
        <v>6500451</v>
      </c>
    </row>
    <row r="41" spans="1:35" ht="22.5" customHeight="1" thickBot="1">
      <c r="A41" s="682"/>
      <c r="B41" s="424" t="s">
        <v>269</v>
      </c>
      <c r="C41" s="356" t="s">
        <v>363</v>
      </c>
      <c r="D41" s="428"/>
      <c r="E41" s="301"/>
      <c r="F41" s="301"/>
      <c r="G41" s="301">
        <v>947353</v>
      </c>
      <c r="H41" s="301">
        <v>0</v>
      </c>
      <c r="I41" s="301">
        <v>0</v>
      </c>
      <c r="J41" s="428"/>
      <c r="K41" s="428"/>
      <c r="L41" s="428"/>
      <c r="M41" s="428"/>
      <c r="N41" s="428"/>
      <c r="O41" s="428"/>
      <c r="P41" s="428"/>
      <c r="Q41" s="428"/>
      <c r="R41" s="428"/>
      <c r="S41" s="301">
        <v>133733</v>
      </c>
      <c r="T41" s="301">
        <v>133733</v>
      </c>
      <c r="U41" s="492">
        <v>133733</v>
      </c>
      <c r="V41" s="301">
        <v>97123414</v>
      </c>
      <c r="W41" s="301">
        <v>109371414</v>
      </c>
      <c r="X41" s="301">
        <v>108036886</v>
      </c>
      <c r="Y41" s="301"/>
      <c r="Z41" s="301"/>
      <c r="AA41" s="301"/>
      <c r="AB41" s="431"/>
      <c r="AC41" s="431"/>
      <c r="AD41" s="431"/>
      <c r="AE41" s="358">
        <f t="shared" si="5"/>
        <v>98204500</v>
      </c>
      <c r="AF41" s="358">
        <f t="shared" si="6"/>
        <v>109505147</v>
      </c>
      <c r="AG41" s="358">
        <f t="shared" si="2"/>
        <v>108170619</v>
      </c>
    </row>
    <row r="42" spans="1:35" ht="22.5" customHeight="1" thickBot="1">
      <c r="A42" s="682"/>
      <c r="B42" s="424" t="s">
        <v>298</v>
      </c>
      <c r="C42" s="304" t="s">
        <v>300</v>
      </c>
      <c r="D42" s="301"/>
      <c r="E42" s="428"/>
      <c r="F42" s="428"/>
      <c r="G42" s="301"/>
      <c r="H42" s="428"/>
      <c r="I42" s="428"/>
      <c r="J42" s="301"/>
      <c r="K42" s="428"/>
      <c r="L42" s="428"/>
      <c r="M42" s="428"/>
      <c r="N42" s="428"/>
      <c r="O42" s="428"/>
      <c r="P42" s="428"/>
      <c r="Q42" s="428"/>
      <c r="R42" s="428"/>
      <c r="S42" s="348"/>
      <c r="T42" s="432"/>
      <c r="U42" s="432"/>
      <c r="V42" s="301"/>
      <c r="W42" s="428"/>
      <c r="X42" s="428"/>
      <c r="Y42" s="428"/>
      <c r="Z42" s="428"/>
      <c r="AA42" s="428"/>
      <c r="AB42" s="302"/>
      <c r="AC42" s="431"/>
      <c r="AD42" s="431"/>
      <c r="AE42" s="358">
        <f t="shared" si="5"/>
        <v>0</v>
      </c>
      <c r="AF42" s="358">
        <f t="shared" si="6"/>
        <v>0</v>
      </c>
      <c r="AG42" s="358">
        <f t="shared" si="2"/>
        <v>0</v>
      </c>
    </row>
    <row r="43" spans="1:35" ht="39" customHeight="1" thickBot="1">
      <c r="A43" s="682"/>
      <c r="B43" s="425" t="s">
        <v>311</v>
      </c>
      <c r="C43" s="386" t="s">
        <v>301</v>
      </c>
      <c r="D43" s="301"/>
      <c r="E43" s="428"/>
      <c r="F43" s="428"/>
      <c r="G43" s="301"/>
      <c r="H43" s="428"/>
      <c r="I43" s="428"/>
      <c r="J43" s="301"/>
      <c r="K43" s="428"/>
      <c r="L43" s="428"/>
      <c r="M43" s="428"/>
      <c r="N43" s="428"/>
      <c r="O43" s="428"/>
      <c r="P43" s="428"/>
      <c r="Q43" s="428"/>
      <c r="R43" s="428"/>
      <c r="S43" s="348"/>
      <c r="T43" s="432"/>
      <c r="U43" s="432"/>
      <c r="V43" s="301"/>
      <c r="W43" s="428"/>
      <c r="X43" s="428"/>
      <c r="Y43" s="428"/>
      <c r="Z43" s="428"/>
      <c r="AA43" s="428"/>
      <c r="AB43" s="302"/>
      <c r="AC43" s="431"/>
      <c r="AD43" s="431"/>
      <c r="AE43" s="358">
        <f t="shared" si="5"/>
        <v>0</v>
      </c>
      <c r="AF43" s="358">
        <f t="shared" si="6"/>
        <v>0</v>
      </c>
      <c r="AG43" s="358">
        <f t="shared" si="2"/>
        <v>0</v>
      </c>
    </row>
    <row r="44" spans="1:35" ht="16.5" thickBot="1">
      <c r="A44" s="682"/>
      <c r="B44" s="683" t="s">
        <v>54</v>
      </c>
      <c r="C44" s="684"/>
      <c r="D44" s="303">
        <f>D39+D42+D43+D41+D40</f>
        <v>1200000</v>
      </c>
      <c r="E44" s="303">
        <f t="shared" ref="E44:AD44" si="7">E39+E42+E43+E41+E40</f>
        <v>1200000</v>
      </c>
      <c r="F44" s="303">
        <f t="shared" si="7"/>
        <v>1116140</v>
      </c>
      <c r="G44" s="303">
        <f t="shared" si="7"/>
        <v>947353</v>
      </c>
      <c r="H44" s="303">
        <f t="shared" si="7"/>
        <v>7447804</v>
      </c>
      <c r="I44" s="303">
        <f t="shared" si="7"/>
        <v>7447804</v>
      </c>
      <c r="J44" s="303">
        <f t="shared" si="7"/>
        <v>0</v>
      </c>
      <c r="K44" s="303">
        <f t="shared" si="7"/>
        <v>0</v>
      </c>
      <c r="L44" s="303">
        <f t="shared" si="7"/>
        <v>0</v>
      </c>
      <c r="M44" s="303">
        <f t="shared" si="7"/>
        <v>0</v>
      </c>
      <c r="N44" s="303">
        <f t="shared" si="7"/>
        <v>0</v>
      </c>
      <c r="O44" s="303">
        <f t="shared" si="7"/>
        <v>450000</v>
      </c>
      <c r="P44" s="303">
        <f t="shared" si="7"/>
        <v>0</v>
      </c>
      <c r="Q44" s="303">
        <f t="shared" si="7"/>
        <v>0</v>
      </c>
      <c r="R44" s="303">
        <f t="shared" si="7"/>
        <v>0</v>
      </c>
      <c r="S44" s="303">
        <f t="shared" si="7"/>
        <v>133733</v>
      </c>
      <c r="T44" s="303">
        <f t="shared" si="7"/>
        <v>133733</v>
      </c>
      <c r="U44" s="303">
        <f t="shared" si="7"/>
        <v>133733</v>
      </c>
      <c r="V44" s="303">
        <f t="shared" si="7"/>
        <v>97123414</v>
      </c>
      <c r="W44" s="303">
        <f t="shared" si="7"/>
        <v>109371414</v>
      </c>
      <c r="X44" s="303">
        <f t="shared" si="7"/>
        <v>108036886</v>
      </c>
      <c r="Y44" s="303">
        <f t="shared" si="7"/>
        <v>0</v>
      </c>
      <c r="Z44" s="303">
        <f t="shared" si="7"/>
        <v>0</v>
      </c>
      <c r="AA44" s="303">
        <f t="shared" si="7"/>
        <v>0</v>
      </c>
      <c r="AB44" s="303">
        <f t="shared" si="7"/>
        <v>70000</v>
      </c>
      <c r="AC44" s="303">
        <f t="shared" si="7"/>
        <v>70000</v>
      </c>
      <c r="AD44" s="303">
        <f t="shared" si="7"/>
        <v>0</v>
      </c>
      <c r="AE44" s="358">
        <f t="shared" si="5"/>
        <v>99474500</v>
      </c>
      <c r="AF44" s="358">
        <f>+AC44+W44+T44+K44+H44+E44+Q44+N44+Z44</f>
        <v>118222951</v>
      </c>
      <c r="AG44" s="358">
        <f>+AG39+AG40+AG41+AG42+AG43</f>
        <v>117184563</v>
      </c>
      <c r="AH44" s="36">
        <v>1498906</v>
      </c>
    </row>
    <row r="45" spans="1:35" ht="18.95" customHeight="1" thickBot="1">
      <c r="A45" s="694" t="s">
        <v>41</v>
      </c>
      <c r="B45" s="306" t="s">
        <v>269</v>
      </c>
      <c r="C45" s="305" t="s">
        <v>363</v>
      </c>
      <c r="D45" s="301"/>
      <c r="E45" s="301">
        <v>0</v>
      </c>
      <c r="F45" s="301"/>
      <c r="G45" s="301"/>
      <c r="H45" s="301">
        <v>0</v>
      </c>
      <c r="I45" s="301"/>
      <c r="J45" s="301"/>
      <c r="K45" s="301">
        <v>0</v>
      </c>
      <c r="L45" s="301"/>
      <c r="M45" s="301"/>
      <c r="N45" s="301"/>
      <c r="O45" s="301"/>
      <c r="P45" s="301"/>
      <c r="Q45" s="301">
        <v>0</v>
      </c>
      <c r="R45" s="301"/>
      <c r="S45" s="301">
        <v>364135</v>
      </c>
      <c r="T45" s="301">
        <v>364135</v>
      </c>
      <c r="U45" s="301">
        <v>364135</v>
      </c>
      <c r="V45" s="301">
        <v>15124465</v>
      </c>
      <c r="W45" s="301">
        <v>15124465</v>
      </c>
      <c r="X45" s="301">
        <v>14565244</v>
      </c>
      <c r="Y45" s="301"/>
      <c r="Z45" s="301"/>
      <c r="AA45" s="301"/>
      <c r="AB45" s="302"/>
      <c r="AC45" s="431"/>
      <c r="AD45" s="431"/>
      <c r="AE45" s="358">
        <f t="shared" si="5"/>
        <v>15488600</v>
      </c>
      <c r="AF45" s="358">
        <f t="shared" si="6"/>
        <v>15488600</v>
      </c>
      <c r="AG45" s="358">
        <f t="shared" si="2"/>
        <v>14929379</v>
      </c>
    </row>
    <row r="46" spans="1:35" ht="18.95" customHeight="1" thickBot="1">
      <c r="A46" s="695"/>
      <c r="B46" s="306" t="s">
        <v>229</v>
      </c>
      <c r="C46" s="305" t="s">
        <v>231</v>
      </c>
      <c r="D46" s="301">
        <v>1250000</v>
      </c>
      <c r="E46" s="301">
        <v>1250000</v>
      </c>
      <c r="F46" s="301">
        <v>721855</v>
      </c>
      <c r="G46" s="301"/>
      <c r="H46" s="301">
        <v>0</v>
      </c>
      <c r="I46" s="301"/>
      <c r="J46" s="301"/>
      <c r="K46" s="428"/>
      <c r="L46" s="428"/>
      <c r="M46" s="428"/>
      <c r="N46" s="428"/>
      <c r="O46" s="428"/>
      <c r="P46" s="428"/>
      <c r="Q46" s="428"/>
      <c r="R46" s="428"/>
      <c r="S46" s="301"/>
      <c r="T46" s="428"/>
      <c r="U46" s="428"/>
      <c r="V46" s="301"/>
      <c r="W46" s="428"/>
      <c r="X46" s="428"/>
      <c r="Y46" s="428"/>
      <c r="Z46" s="428"/>
      <c r="AA46" s="428"/>
      <c r="AB46" s="302"/>
      <c r="AC46" s="431"/>
      <c r="AD46" s="431"/>
      <c r="AE46" s="358">
        <f t="shared" si="5"/>
        <v>1250000</v>
      </c>
      <c r="AF46" s="358">
        <f t="shared" si="6"/>
        <v>1250000</v>
      </c>
      <c r="AG46" s="358">
        <f t="shared" si="2"/>
        <v>721855</v>
      </c>
    </row>
    <row r="47" spans="1:35" ht="22.5" customHeight="1" thickBot="1">
      <c r="A47" s="696"/>
      <c r="B47" s="683" t="s">
        <v>230</v>
      </c>
      <c r="C47" s="684"/>
      <c r="D47" s="303">
        <f>SUM(D45:D46)</f>
        <v>1250000</v>
      </c>
      <c r="E47" s="303">
        <f t="shared" ref="E47:AD47" si="8">SUM(E45:E46)</f>
        <v>1250000</v>
      </c>
      <c r="F47" s="303">
        <f t="shared" si="8"/>
        <v>721855</v>
      </c>
      <c r="G47" s="303">
        <f t="shared" si="8"/>
        <v>0</v>
      </c>
      <c r="H47" s="303">
        <f t="shared" si="8"/>
        <v>0</v>
      </c>
      <c r="I47" s="303">
        <f t="shared" si="8"/>
        <v>0</v>
      </c>
      <c r="J47" s="303">
        <f t="shared" si="8"/>
        <v>0</v>
      </c>
      <c r="K47" s="303">
        <f t="shared" si="8"/>
        <v>0</v>
      </c>
      <c r="L47" s="303">
        <f t="shared" si="8"/>
        <v>0</v>
      </c>
      <c r="M47" s="303">
        <f t="shared" si="8"/>
        <v>0</v>
      </c>
      <c r="N47" s="303">
        <f t="shared" si="8"/>
        <v>0</v>
      </c>
      <c r="O47" s="303">
        <f t="shared" si="8"/>
        <v>0</v>
      </c>
      <c r="P47" s="303">
        <f t="shared" si="8"/>
        <v>0</v>
      </c>
      <c r="Q47" s="303">
        <f t="shared" si="8"/>
        <v>0</v>
      </c>
      <c r="R47" s="303">
        <f t="shared" si="8"/>
        <v>0</v>
      </c>
      <c r="S47" s="303">
        <f t="shared" si="8"/>
        <v>364135</v>
      </c>
      <c r="T47" s="303">
        <f t="shared" si="8"/>
        <v>364135</v>
      </c>
      <c r="U47" s="303">
        <f t="shared" si="8"/>
        <v>364135</v>
      </c>
      <c r="V47" s="303">
        <f t="shared" si="8"/>
        <v>15124465</v>
      </c>
      <c r="W47" s="303">
        <f t="shared" si="8"/>
        <v>15124465</v>
      </c>
      <c r="X47" s="303">
        <f t="shared" si="8"/>
        <v>14565244</v>
      </c>
      <c r="Y47" s="303">
        <f t="shared" si="8"/>
        <v>0</v>
      </c>
      <c r="Z47" s="303">
        <f t="shared" si="8"/>
        <v>0</v>
      </c>
      <c r="AA47" s="303">
        <f t="shared" si="8"/>
        <v>0</v>
      </c>
      <c r="AB47" s="303">
        <f t="shared" si="8"/>
        <v>0</v>
      </c>
      <c r="AC47" s="303">
        <f t="shared" si="8"/>
        <v>0</v>
      </c>
      <c r="AD47" s="303">
        <f t="shared" si="8"/>
        <v>0</v>
      </c>
      <c r="AE47" s="358">
        <f t="shared" si="5"/>
        <v>16738600</v>
      </c>
      <c r="AF47" s="358">
        <f t="shared" si="6"/>
        <v>16738600</v>
      </c>
      <c r="AG47" s="358">
        <f t="shared" si="2"/>
        <v>15651234</v>
      </c>
    </row>
    <row r="48" spans="1:35" ht="18.95" customHeight="1" thickBot="1">
      <c r="A48" s="694" t="s">
        <v>43</v>
      </c>
      <c r="B48" s="306" t="s">
        <v>269</v>
      </c>
      <c r="C48" s="305" t="s">
        <v>363</v>
      </c>
      <c r="D48" s="301"/>
      <c r="E48" s="428"/>
      <c r="F48" s="428"/>
      <c r="G48" s="301"/>
      <c r="H48" s="428"/>
      <c r="I48" s="428"/>
      <c r="J48" s="301"/>
      <c r="K48" s="428"/>
      <c r="L48" s="428"/>
      <c r="M48" s="428"/>
      <c r="N48" s="428"/>
      <c r="O48" s="428"/>
      <c r="P48" s="428"/>
      <c r="Q48" s="428"/>
      <c r="R48" s="428"/>
      <c r="S48" s="301">
        <v>248208</v>
      </c>
      <c r="T48" s="301">
        <v>248208</v>
      </c>
      <c r="U48" s="301">
        <v>248208</v>
      </c>
      <c r="V48" s="301">
        <v>3439292</v>
      </c>
      <c r="W48" s="301">
        <v>3439292</v>
      </c>
      <c r="X48" s="301">
        <v>3324486</v>
      </c>
      <c r="Y48" s="301"/>
      <c r="Z48" s="301"/>
      <c r="AA48" s="301"/>
      <c r="AB48" s="302"/>
      <c r="AC48" s="431"/>
      <c r="AD48" s="431"/>
      <c r="AE48" s="358">
        <f t="shared" si="5"/>
        <v>3687500</v>
      </c>
      <c r="AF48" s="358">
        <f t="shared" si="6"/>
        <v>3687500</v>
      </c>
      <c r="AG48" s="358">
        <f t="shared" si="2"/>
        <v>3572694</v>
      </c>
    </row>
    <row r="49" spans="1:33" ht="15.75" customHeight="1" thickBot="1">
      <c r="A49" s="695"/>
      <c r="B49" s="392" t="s">
        <v>360</v>
      </c>
      <c r="C49" s="305" t="s">
        <v>361</v>
      </c>
      <c r="D49" s="301"/>
      <c r="E49" s="428"/>
      <c r="F49" s="428"/>
      <c r="G49" s="301"/>
      <c r="H49" s="428"/>
      <c r="I49" s="428"/>
      <c r="J49" s="301"/>
      <c r="K49" s="428"/>
      <c r="L49" s="428"/>
      <c r="M49" s="428"/>
      <c r="N49" s="428"/>
      <c r="O49" s="428"/>
      <c r="P49" s="428"/>
      <c r="Q49" s="428"/>
      <c r="R49" s="428"/>
      <c r="S49" s="301"/>
      <c r="T49" s="428"/>
      <c r="U49" s="428"/>
      <c r="V49" s="301"/>
      <c r="W49" s="428"/>
      <c r="X49" s="428"/>
      <c r="Y49" s="428"/>
      <c r="Z49" s="428"/>
      <c r="AA49" s="428"/>
      <c r="AB49" s="302"/>
      <c r="AC49" s="431"/>
      <c r="AD49" s="431"/>
      <c r="AE49" s="358">
        <f t="shared" si="5"/>
        <v>0</v>
      </c>
      <c r="AF49" s="358">
        <f t="shared" si="6"/>
        <v>0</v>
      </c>
      <c r="AG49" s="358">
        <f t="shared" si="2"/>
        <v>0</v>
      </c>
    </row>
    <row r="50" spans="1:33" ht="15.75" customHeight="1" thickBot="1">
      <c r="A50" s="695"/>
      <c r="B50" s="392" t="s">
        <v>234</v>
      </c>
      <c r="C50" s="305" t="s">
        <v>232</v>
      </c>
      <c r="D50" s="301">
        <v>140000</v>
      </c>
      <c r="E50" s="301">
        <v>140000</v>
      </c>
      <c r="F50" s="301">
        <v>93041</v>
      </c>
      <c r="G50" s="301">
        <v>2800000</v>
      </c>
      <c r="H50" s="301">
        <v>2800000</v>
      </c>
      <c r="I50" s="301">
        <v>2800000</v>
      </c>
      <c r="J50" s="301"/>
      <c r="K50" s="428"/>
      <c r="L50" s="428"/>
      <c r="M50" s="428"/>
      <c r="N50" s="428"/>
      <c r="O50" s="428"/>
      <c r="P50" s="428"/>
      <c r="Q50" s="428"/>
      <c r="R50" s="428"/>
      <c r="S50" s="301"/>
      <c r="T50" s="428"/>
      <c r="U50" s="428"/>
      <c r="V50" s="301"/>
      <c r="W50" s="428"/>
      <c r="X50" s="428"/>
      <c r="Y50" s="428"/>
      <c r="Z50" s="428"/>
      <c r="AA50" s="428"/>
      <c r="AB50" s="302"/>
      <c r="AC50" s="431"/>
      <c r="AD50" s="431"/>
      <c r="AE50" s="358">
        <f t="shared" si="5"/>
        <v>2940000</v>
      </c>
      <c r="AF50" s="358">
        <f t="shared" si="6"/>
        <v>2940000</v>
      </c>
      <c r="AG50" s="358">
        <f t="shared" si="2"/>
        <v>2893041</v>
      </c>
    </row>
    <row r="51" spans="1:33" ht="21" customHeight="1" thickBot="1">
      <c r="A51" s="696"/>
      <c r="B51" s="683" t="s">
        <v>233</v>
      </c>
      <c r="C51" s="684"/>
      <c r="D51" s="303">
        <f t="shared" ref="D51:AD51" si="9">SUM(D48:D50)</f>
        <v>140000</v>
      </c>
      <c r="E51" s="303">
        <f t="shared" si="9"/>
        <v>140000</v>
      </c>
      <c r="F51" s="303">
        <f t="shared" si="9"/>
        <v>93041</v>
      </c>
      <c r="G51" s="303">
        <f t="shared" si="9"/>
        <v>2800000</v>
      </c>
      <c r="H51" s="303">
        <f t="shared" si="9"/>
        <v>2800000</v>
      </c>
      <c r="I51" s="303">
        <f t="shared" si="9"/>
        <v>2800000</v>
      </c>
      <c r="J51" s="303">
        <f t="shared" si="9"/>
        <v>0</v>
      </c>
      <c r="K51" s="303">
        <f t="shared" si="9"/>
        <v>0</v>
      </c>
      <c r="L51" s="303">
        <f t="shared" si="9"/>
        <v>0</v>
      </c>
      <c r="M51" s="303">
        <f t="shared" si="9"/>
        <v>0</v>
      </c>
      <c r="N51" s="303">
        <f t="shared" si="9"/>
        <v>0</v>
      </c>
      <c r="O51" s="303">
        <f t="shared" si="9"/>
        <v>0</v>
      </c>
      <c r="P51" s="303">
        <f t="shared" si="9"/>
        <v>0</v>
      </c>
      <c r="Q51" s="303">
        <f t="shared" si="9"/>
        <v>0</v>
      </c>
      <c r="R51" s="303">
        <f t="shared" si="9"/>
        <v>0</v>
      </c>
      <c r="S51" s="303">
        <f t="shared" si="9"/>
        <v>248208</v>
      </c>
      <c r="T51" s="303">
        <f t="shared" si="9"/>
        <v>248208</v>
      </c>
      <c r="U51" s="303">
        <f t="shared" si="9"/>
        <v>248208</v>
      </c>
      <c r="V51" s="303">
        <f t="shared" si="9"/>
        <v>3439292</v>
      </c>
      <c r="W51" s="303">
        <f t="shared" si="9"/>
        <v>3439292</v>
      </c>
      <c r="X51" s="303">
        <f t="shared" si="9"/>
        <v>3324486</v>
      </c>
      <c r="Y51" s="303">
        <f t="shared" si="9"/>
        <v>0</v>
      </c>
      <c r="Z51" s="303">
        <f t="shared" si="9"/>
        <v>0</v>
      </c>
      <c r="AA51" s="303">
        <f t="shared" si="9"/>
        <v>0</v>
      </c>
      <c r="AB51" s="303">
        <f t="shared" si="9"/>
        <v>0</v>
      </c>
      <c r="AC51" s="303">
        <f t="shared" si="9"/>
        <v>0</v>
      </c>
      <c r="AD51" s="303">
        <f t="shared" si="9"/>
        <v>0</v>
      </c>
      <c r="AE51" s="358">
        <f t="shared" si="5"/>
        <v>6627500</v>
      </c>
      <c r="AF51" s="358">
        <f t="shared" si="6"/>
        <v>6627500</v>
      </c>
      <c r="AG51" s="358">
        <f t="shared" si="2"/>
        <v>6465735</v>
      </c>
    </row>
    <row r="52" spans="1:33" ht="18.95" customHeight="1" thickBot="1">
      <c r="A52" s="685" t="s">
        <v>156</v>
      </c>
      <c r="B52" s="306" t="s">
        <v>269</v>
      </c>
      <c r="C52" s="305" t="s">
        <v>363</v>
      </c>
      <c r="D52" s="301"/>
      <c r="E52" s="428"/>
      <c r="F52" s="428"/>
      <c r="G52" s="428"/>
      <c r="H52" s="428"/>
      <c r="I52" s="428"/>
      <c r="J52" s="428"/>
      <c r="K52" s="428"/>
      <c r="L52" s="428"/>
      <c r="M52" s="428"/>
      <c r="N52" s="428"/>
      <c r="O52" s="428"/>
      <c r="P52" s="428"/>
      <c r="Q52" s="428"/>
      <c r="R52" s="428"/>
      <c r="S52" s="301">
        <v>1003637</v>
      </c>
      <c r="T52" s="301">
        <v>1003637</v>
      </c>
      <c r="U52" s="301">
        <v>1003637</v>
      </c>
      <c r="V52" s="301">
        <v>88274163</v>
      </c>
      <c r="W52" s="301">
        <v>88274163</v>
      </c>
      <c r="X52" s="301">
        <v>80728845</v>
      </c>
      <c r="Y52" s="301"/>
      <c r="Z52" s="301"/>
      <c r="AA52" s="301"/>
      <c r="AB52" s="431"/>
      <c r="AC52" s="431"/>
      <c r="AD52" s="431"/>
      <c r="AE52" s="358">
        <f t="shared" si="5"/>
        <v>89277800</v>
      </c>
      <c r="AF52" s="358">
        <f t="shared" si="6"/>
        <v>89277800</v>
      </c>
      <c r="AG52" s="358">
        <f t="shared" si="2"/>
        <v>81732482</v>
      </c>
    </row>
    <row r="53" spans="1:33" ht="21" customHeight="1" thickBot="1">
      <c r="A53" s="686"/>
      <c r="B53" s="203" t="s">
        <v>235</v>
      </c>
      <c r="C53" s="204" t="s">
        <v>225</v>
      </c>
      <c r="D53" s="334">
        <v>20000</v>
      </c>
      <c r="E53" s="334">
        <v>50000</v>
      </c>
      <c r="F53" s="334">
        <v>0</v>
      </c>
      <c r="G53" s="429"/>
      <c r="H53" s="429"/>
      <c r="I53" s="429"/>
      <c r="J53" s="429"/>
      <c r="K53" s="429"/>
      <c r="L53" s="429"/>
      <c r="M53" s="429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29"/>
      <c r="Y53" s="429"/>
      <c r="Z53" s="429"/>
      <c r="AA53" s="429"/>
      <c r="AB53" s="429"/>
      <c r="AC53" s="429"/>
      <c r="AD53" s="429"/>
      <c r="AE53" s="358">
        <f t="shared" si="5"/>
        <v>20000</v>
      </c>
      <c r="AF53" s="358">
        <f t="shared" si="6"/>
        <v>50000</v>
      </c>
      <c r="AG53" s="358">
        <f t="shared" si="2"/>
        <v>0</v>
      </c>
    </row>
    <row r="54" spans="1:33" ht="21" customHeight="1" thickBot="1">
      <c r="A54" s="686"/>
      <c r="B54" s="203" t="s">
        <v>236</v>
      </c>
      <c r="C54" s="204" t="s">
        <v>226</v>
      </c>
      <c r="D54" s="334">
        <v>20000</v>
      </c>
      <c r="E54" s="334">
        <v>20000</v>
      </c>
      <c r="F54" s="334">
        <v>19510</v>
      </c>
      <c r="G54" s="429"/>
      <c r="H54" s="429"/>
      <c r="I54" s="429"/>
      <c r="J54" s="429"/>
      <c r="K54" s="429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429"/>
      <c r="Z54" s="429"/>
      <c r="AA54" s="429"/>
      <c r="AB54" s="429"/>
      <c r="AC54" s="429"/>
      <c r="AD54" s="429"/>
      <c r="AE54" s="358">
        <f t="shared" si="5"/>
        <v>20000</v>
      </c>
      <c r="AF54" s="358">
        <f t="shared" si="6"/>
        <v>20000</v>
      </c>
      <c r="AG54" s="358">
        <f t="shared" si="2"/>
        <v>19510</v>
      </c>
    </row>
    <row r="55" spans="1:33" ht="21" customHeight="1" thickBot="1">
      <c r="A55" s="686"/>
      <c r="B55" s="203" t="s">
        <v>302</v>
      </c>
      <c r="C55" s="204" t="s">
        <v>370</v>
      </c>
      <c r="D55" s="334">
        <v>0</v>
      </c>
      <c r="E55" s="512">
        <v>0</v>
      </c>
      <c r="F55" s="512"/>
      <c r="G55" s="429"/>
      <c r="H55" s="429"/>
      <c r="I55" s="429"/>
      <c r="J55" s="429"/>
      <c r="K55" s="429"/>
      <c r="L55" s="429"/>
      <c r="M55" s="429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29"/>
      <c r="Y55" s="429"/>
      <c r="Z55" s="429"/>
      <c r="AA55" s="429"/>
      <c r="AB55" s="429"/>
      <c r="AC55" s="429"/>
      <c r="AD55" s="429"/>
      <c r="AE55" s="358">
        <f t="shared" si="5"/>
        <v>0</v>
      </c>
      <c r="AF55" s="358">
        <f t="shared" si="6"/>
        <v>0</v>
      </c>
      <c r="AG55" s="358">
        <f t="shared" si="2"/>
        <v>0</v>
      </c>
    </row>
    <row r="56" spans="1:33" ht="21" customHeight="1" thickBot="1">
      <c r="A56" s="686"/>
      <c r="B56" s="203" t="s">
        <v>237</v>
      </c>
      <c r="C56" s="204" t="s">
        <v>227</v>
      </c>
      <c r="D56" s="334">
        <v>0</v>
      </c>
      <c r="E56" s="334">
        <v>0</v>
      </c>
      <c r="F56" s="334">
        <v>461001</v>
      </c>
      <c r="G56" s="334">
        <v>0</v>
      </c>
      <c r="H56" s="334">
        <v>4030222</v>
      </c>
      <c r="I56" s="334">
        <v>3040879</v>
      </c>
      <c r="J56" s="334"/>
      <c r="K56" s="334"/>
      <c r="L56" s="334"/>
      <c r="M56" s="334"/>
      <c r="N56" s="334"/>
      <c r="O56" s="334"/>
      <c r="P56" s="429"/>
      <c r="Q56" s="429"/>
      <c r="R56" s="429"/>
      <c r="S56" s="429"/>
      <c r="T56" s="429"/>
      <c r="U56" s="429"/>
      <c r="V56" s="429"/>
      <c r="W56" s="429"/>
      <c r="X56" s="429"/>
      <c r="Y56" s="429"/>
      <c r="Z56" s="429"/>
      <c r="AA56" s="429"/>
      <c r="AB56" s="429"/>
      <c r="AC56" s="429"/>
      <c r="AD56" s="429"/>
      <c r="AE56" s="358">
        <f t="shared" si="5"/>
        <v>0</v>
      </c>
      <c r="AF56" s="358">
        <f t="shared" si="6"/>
        <v>4030222</v>
      </c>
      <c r="AG56" s="358">
        <f t="shared" si="2"/>
        <v>3501880</v>
      </c>
    </row>
    <row r="57" spans="1:33" ht="21" customHeight="1" thickBot="1">
      <c r="A57" s="686"/>
      <c r="B57" s="203" t="s">
        <v>238</v>
      </c>
      <c r="C57" s="204" t="s">
        <v>228</v>
      </c>
      <c r="D57" s="334">
        <v>11730000</v>
      </c>
      <c r="E57" s="334">
        <v>10850000</v>
      </c>
      <c r="F57" s="334">
        <v>11216784</v>
      </c>
      <c r="G57" s="429"/>
      <c r="H57" s="429"/>
      <c r="I57" s="429"/>
      <c r="J57" s="429"/>
      <c r="K57" s="429"/>
      <c r="L57" s="429"/>
      <c r="M57" s="429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29"/>
      <c r="Y57" s="429"/>
      <c r="Z57" s="429"/>
      <c r="AA57" s="429"/>
      <c r="AB57" s="429"/>
      <c r="AC57" s="429"/>
      <c r="AD57" s="429"/>
      <c r="AE57" s="358">
        <f t="shared" si="5"/>
        <v>11730000</v>
      </c>
      <c r="AF57" s="358">
        <f t="shared" si="6"/>
        <v>10850000</v>
      </c>
      <c r="AG57" s="358">
        <f t="shared" si="2"/>
        <v>11216784</v>
      </c>
    </row>
    <row r="58" spans="1:33" ht="21" customHeight="1" thickBot="1">
      <c r="A58" s="686"/>
      <c r="B58" s="203" t="s">
        <v>204</v>
      </c>
      <c r="C58" s="204" t="s">
        <v>273</v>
      </c>
      <c r="D58" s="334"/>
      <c r="E58" s="429"/>
      <c r="F58" s="429"/>
      <c r="G58" s="429"/>
      <c r="H58" s="429"/>
      <c r="I58" s="429"/>
      <c r="J58" s="429"/>
      <c r="K58" s="429"/>
      <c r="L58" s="429"/>
      <c r="M58" s="429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29"/>
      <c r="Y58" s="429"/>
      <c r="Z58" s="429"/>
      <c r="AA58" s="429"/>
      <c r="AB58" s="433"/>
      <c r="AC58" s="433"/>
      <c r="AD58" s="433"/>
      <c r="AE58" s="358">
        <f t="shared" si="5"/>
        <v>0</v>
      </c>
      <c r="AF58" s="358">
        <f t="shared" si="6"/>
        <v>0</v>
      </c>
      <c r="AG58" s="358">
        <f t="shared" si="2"/>
        <v>0</v>
      </c>
    </row>
    <row r="59" spans="1:33" ht="21" customHeight="1" thickBot="1">
      <c r="A59" s="686"/>
      <c r="B59" s="203" t="s">
        <v>203</v>
      </c>
      <c r="C59" s="204" t="s">
        <v>272</v>
      </c>
      <c r="D59" s="334">
        <v>3300000</v>
      </c>
      <c r="E59" s="334">
        <v>3200000</v>
      </c>
      <c r="F59" s="334">
        <v>7713537</v>
      </c>
      <c r="G59" s="429"/>
      <c r="H59" s="429"/>
      <c r="I59" s="429"/>
      <c r="J59" s="429"/>
      <c r="K59" s="429"/>
      <c r="L59" s="429"/>
      <c r="M59" s="429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29"/>
      <c r="Y59" s="429"/>
      <c r="Z59" s="429"/>
      <c r="AA59" s="429"/>
      <c r="AB59" s="433"/>
      <c r="AC59" s="433"/>
      <c r="AD59" s="433"/>
      <c r="AE59" s="358">
        <f t="shared" si="5"/>
        <v>3300000</v>
      </c>
      <c r="AF59" s="358">
        <f t="shared" si="6"/>
        <v>3200000</v>
      </c>
      <c r="AG59" s="358">
        <f t="shared" si="2"/>
        <v>7713537</v>
      </c>
    </row>
    <row r="60" spans="1:33" ht="21" customHeight="1" thickBot="1">
      <c r="A60" s="686"/>
      <c r="B60" s="203" t="s">
        <v>171</v>
      </c>
      <c r="C60" s="204" t="s">
        <v>221</v>
      </c>
      <c r="D60" s="334">
        <v>6200000</v>
      </c>
      <c r="E60" s="334">
        <v>7150000</v>
      </c>
      <c r="F60" s="334">
        <v>3844934</v>
      </c>
      <c r="G60" s="429"/>
      <c r="H60" s="429"/>
      <c r="I60" s="429"/>
      <c r="J60" s="429"/>
      <c r="K60" s="429"/>
      <c r="L60" s="429"/>
      <c r="M60" s="429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29"/>
      <c r="Y60" s="429"/>
      <c r="Z60" s="429"/>
      <c r="AA60" s="429"/>
      <c r="AB60" s="433"/>
      <c r="AC60" s="433"/>
      <c r="AD60" s="433"/>
      <c r="AE60" s="358">
        <f t="shared" si="5"/>
        <v>6200000</v>
      </c>
      <c r="AF60" s="358">
        <f t="shared" si="6"/>
        <v>7150000</v>
      </c>
      <c r="AG60" s="358">
        <f t="shared" si="2"/>
        <v>3844934</v>
      </c>
    </row>
    <row r="61" spans="1:33" ht="33" customHeight="1" thickBot="1">
      <c r="A61" s="687"/>
      <c r="B61" s="688" t="s">
        <v>239</v>
      </c>
      <c r="C61" s="689"/>
      <c r="D61" s="303">
        <f t="shared" ref="D61:AD61" si="10">SUM(D52:D60)</f>
        <v>21270000</v>
      </c>
      <c r="E61" s="303">
        <f t="shared" si="10"/>
        <v>21270000</v>
      </c>
      <c r="F61" s="303">
        <f t="shared" si="10"/>
        <v>23255766</v>
      </c>
      <c r="G61" s="303">
        <f t="shared" si="10"/>
        <v>0</v>
      </c>
      <c r="H61" s="303">
        <f t="shared" si="10"/>
        <v>4030222</v>
      </c>
      <c r="I61" s="303">
        <f t="shared" si="10"/>
        <v>3040879</v>
      </c>
      <c r="J61" s="303">
        <f t="shared" si="10"/>
        <v>0</v>
      </c>
      <c r="K61" s="303">
        <f t="shared" si="10"/>
        <v>0</v>
      </c>
      <c r="L61" s="303">
        <f t="shared" si="10"/>
        <v>0</v>
      </c>
      <c r="M61" s="303">
        <f t="shared" si="10"/>
        <v>0</v>
      </c>
      <c r="N61" s="303">
        <f t="shared" si="10"/>
        <v>0</v>
      </c>
      <c r="O61" s="303">
        <f t="shared" si="10"/>
        <v>0</v>
      </c>
      <c r="P61" s="303">
        <f t="shared" si="10"/>
        <v>0</v>
      </c>
      <c r="Q61" s="303">
        <f t="shared" si="10"/>
        <v>0</v>
      </c>
      <c r="R61" s="303">
        <f t="shared" si="10"/>
        <v>0</v>
      </c>
      <c r="S61" s="303">
        <f t="shared" si="10"/>
        <v>1003637</v>
      </c>
      <c r="T61" s="303">
        <f t="shared" si="10"/>
        <v>1003637</v>
      </c>
      <c r="U61" s="303">
        <f t="shared" si="10"/>
        <v>1003637</v>
      </c>
      <c r="V61" s="303">
        <f t="shared" si="10"/>
        <v>88274163</v>
      </c>
      <c r="W61" s="303">
        <f t="shared" si="10"/>
        <v>88274163</v>
      </c>
      <c r="X61" s="303">
        <f t="shared" si="10"/>
        <v>80728845</v>
      </c>
      <c r="Y61" s="303">
        <f t="shared" si="10"/>
        <v>0</v>
      </c>
      <c r="Z61" s="303">
        <f t="shared" si="10"/>
        <v>0</v>
      </c>
      <c r="AA61" s="303">
        <f t="shared" si="10"/>
        <v>0</v>
      </c>
      <c r="AB61" s="303">
        <f t="shared" si="10"/>
        <v>0</v>
      </c>
      <c r="AC61" s="303">
        <f t="shared" si="10"/>
        <v>0</v>
      </c>
      <c r="AD61" s="303">
        <f t="shared" si="10"/>
        <v>0</v>
      </c>
      <c r="AE61" s="358">
        <f t="shared" si="5"/>
        <v>110547800</v>
      </c>
      <c r="AF61" s="358">
        <f t="shared" si="6"/>
        <v>114578022</v>
      </c>
      <c r="AG61" s="358">
        <f t="shared" si="2"/>
        <v>108029127</v>
      </c>
    </row>
    <row r="62" spans="1:33" ht="26.25" customHeight="1" thickBot="1">
      <c r="A62" s="681" t="s">
        <v>55</v>
      </c>
      <c r="B62" s="681"/>
      <c r="C62" s="681"/>
      <c r="D62" s="303">
        <f t="shared" ref="D62:AD62" si="11">+D61+D51+D47+D44+D38</f>
        <v>56025000</v>
      </c>
      <c r="E62" s="303">
        <f t="shared" si="11"/>
        <v>60881442</v>
      </c>
      <c r="F62" s="303">
        <f t="shared" si="11"/>
        <v>63589598</v>
      </c>
      <c r="G62" s="303">
        <f t="shared" si="11"/>
        <v>339511437</v>
      </c>
      <c r="H62" s="303">
        <f t="shared" si="11"/>
        <v>433172823</v>
      </c>
      <c r="I62" s="303">
        <f t="shared" si="11"/>
        <v>401276744</v>
      </c>
      <c r="J62" s="303">
        <f t="shared" si="11"/>
        <v>108818441</v>
      </c>
      <c r="K62" s="303">
        <f t="shared" si="11"/>
        <v>135866539</v>
      </c>
      <c r="L62" s="303">
        <f t="shared" si="11"/>
        <v>103761386</v>
      </c>
      <c r="M62" s="303">
        <f t="shared" si="11"/>
        <v>0</v>
      </c>
      <c r="N62" s="303">
        <f t="shared" si="11"/>
        <v>87000</v>
      </c>
      <c r="O62" s="303">
        <f t="shared" si="11"/>
        <v>537000</v>
      </c>
      <c r="P62" s="303">
        <f t="shared" si="11"/>
        <v>0</v>
      </c>
      <c r="Q62" s="303">
        <f t="shared" si="11"/>
        <v>105000</v>
      </c>
      <c r="R62" s="303">
        <f t="shared" si="11"/>
        <v>116094</v>
      </c>
      <c r="S62" s="303">
        <f t="shared" si="11"/>
        <v>416948898</v>
      </c>
      <c r="T62" s="303">
        <f t="shared" si="11"/>
        <v>420153306</v>
      </c>
      <c r="U62" s="303">
        <f t="shared" si="11"/>
        <v>420153306</v>
      </c>
      <c r="V62" s="303">
        <f t="shared" si="11"/>
        <v>203961334</v>
      </c>
      <c r="W62" s="303">
        <f t="shared" si="11"/>
        <v>216209334</v>
      </c>
      <c r="X62" s="303">
        <f t="shared" si="11"/>
        <v>206655461</v>
      </c>
      <c r="Y62" s="303">
        <f t="shared" si="11"/>
        <v>0</v>
      </c>
      <c r="Z62" s="303">
        <f t="shared" si="11"/>
        <v>10751039</v>
      </c>
      <c r="AA62" s="303">
        <f t="shared" si="11"/>
        <v>10751039</v>
      </c>
      <c r="AB62" s="303">
        <f t="shared" si="11"/>
        <v>59270000</v>
      </c>
      <c r="AC62" s="303">
        <f t="shared" si="11"/>
        <v>59270000</v>
      </c>
      <c r="AD62" s="303">
        <f t="shared" si="11"/>
        <v>82020727</v>
      </c>
      <c r="AE62" s="358">
        <f t="shared" si="5"/>
        <v>1184535110</v>
      </c>
      <c r="AF62" s="358">
        <f t="shared" si="6"/>
        <v>1336496483</v>
      </c>
      <c r="AG62" s="358">
        <f t="shared" si="2"/>
        <v>1288861355</v>
      </c>
    </row>
    <row r="63" spans="1:33">
      <c r="N63" s="42"/>
    </row>
    <row r="64" spans="1:33">
      <c r="N64" s="42">
        <f>+AE62-V62</f>
        <v>980573776</v>
      </c>
      <c r="O64" s="484">
        <f>+AF62-T62</f>
        <v>916343177</v>
      </c>
    </row>
    <row r="65" spans="9:23">
      <c r="I65" s="484"/>
      <c r="J65" s="484"/>
      <c r="K65" s="484"/>
      <c r="L65" s="484"/>
      <c r="M65" s="484"/>
      <c r="N65" s="42"/>
    </row>
    <row r="66" spans="9:23">
      <c r="N66" s="42">
        <f>+'4.a sz.mell.'!AH66-'4 b.sz.mell.'!N64</f>
        <v>0</v>
      </c>
      <c r="O66" s="484">
        <f>+'4.a sz.mell.'!AI66-O64</f>
        <v>203943972</v>
      </c>
    </row>
    <row r="67" spans="9:23">
      <c r="I67" s="484"/>
      <c r="J67" s="484"/>
      <c r="K67" s="484"/>
      <c r="L67" s="484"/>
      <c r="M67" s="484"/>
      <c r="N67" s="357"/>
    </row>
    <row r="68" spans="9:23">
      <c r="N68" s="42"/>
    </row>
    <row r="69" spans="9:23">
      <c r="I69" s="484"/>
      <c r="J69" s="484"/>
      <c r="K69" s="484"/>
      <c r="L69" s="484"/>
      <c r="M69" s="484"/>
    </row>
    <row r="70" spans="9:23">
      <c r="V70" s="42"/>
      <c r="W70" s="42"/>
    </row>
  </sheetData>
  <mergeCells count="14">
    <mergeCell ref="B51:C51"/>
    <mergeCell ref="B61:C61"/>
    <mergeCell ref="A62:C62"/>
    <mergeCell ref="A45:A47"/>
    <mergeCell ref="A48:A51"/>
    <mergeCell ref="A52:A61"/>
    <mergeCell ref="D4:AG4"/>
    <mergeCell ref="A6:A38"/>
    <mergeCell ref="A39:A44"/>
    <mergeCell ref="B44:C44"/>
    <mergeCell ref="B47:C47"/>
    <mergeCell ref="A4:A5"/>
    <mergeCell ref="B4:B5"/>
    <mergeCell ref="C4:C5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57" fitToWidth="2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U63"/>
  <sheetViews>
    <sheetView zoomScale="115" zoomScaleNormal="115" zoomScaleSheetLayoutView="90" workbookViewId="0">
      <selection activeCell="A2" sqref="A2:E2"/>
    </sheetView>
  </sheetViews>
  <sheetFormatPr defaultColWidth="8.85546875" defaultRowHeight="12.75"/>
  <cols>
    <col min="1" max="1" width="4.42578125" style="36" customWidth="1"/>
    <col min="2" max="2" width="7.5703125" style="38" customWidth="1"/>
    <col min="3" max="3" width="93.140625" style="38" bestFit="1" customWidth="1"/>
    <col min="4" max="4" width="15.5703125" style="38" customWidth="1"/>
    <col min="5" max="5" width="17.28515625" style="38" customWidth="1"/>
    <col min="6" max="6" width="28.140625" style="36" customWidth="1"/>
    <col min="7" max="7" width="14.42578125" style="36" customWidth="1"/>
    <col min="8" max="10" width="8.85546875" style="36"/>
    <col min="11" max="11" width="20.42578125" style="36" customWidth="1"/>
    <col min="12" max="16384" width="8.85546875" style="36"/>
  </cols>
  <sheetData>
    <row r="1" spans="1:9" ht="15.75">
      <c r="A1" s="637" t="s">
        <v>950</v>
      </c>
      <c r="B1" s="637"/>
      <c r="C1" s="637"/>
      <c r="D1" s="637"/>
      <c r="E1" s="637"/>
    </row>
    <row r="2" spans="1:9" s="38" customFormat="1" ht="27.75" customHeight="1">
      <c r="A2" s="698" t="s">
        <v>445</v>
      </c>
      <c r="B2" s="698"/>
      <c r="C2" s="698"/>
      <c r="D2" s="698"/>
      <c r="E2" s="698"/>
      <c r="F2" s="126"/>
      <c r="G2" s="126"/>
      <c r="H2" s="126"/>
      <c r="I2" s="126"/>
    </row>
    <row r="3" spans="1:9" ht="29.25" customHeight="1">
      <c r="A3" s="699" t="s">
        <v>108</v>
      </c>
      <c r="B3" s="699"/>
      <c r="C3" s="699"/>
      <c r="D3" s="699"/>
      <c r="E3" s="699"/>
      <c r="F3" s="126"/>
      <c r="G3" s="126"/>
      <c r="H3" s="126"/>
      <c r="I3" s="126"/>
    </row>
    <row r="4" spans="1:9" ht="12.75" customHeight="1">
      <c r="B4" s="127"/>
      <c r="C4" s="128"/>
      <c r="D4" s="129" t="s">
        <v>109</v>
      </c>
      <c r="E4" s="129" t="s">
        <v>109</v>
      </c>
      <c r="F4" s="126"/>
      <c r="G4" s="126"/>
      <c r="H4" s="126"/>
      <c r="I4" s="126"/>
    </row>
    <row r="5" spans="1:9" ht="12.75" customHeight="1">
      <c r="A5" s="697" t="s">
        <v>110</v>
      </c>
      <c r="B5" s="697"/>
      <c r="C5" s="697"/>
      <c r="D5" s="130">
        <v>1426453</v>
      </c>
      <c r="E5" s="130">
        <v>1426453</v>
      </c>
      <c r="F5" s="126"/>
      <c r="G5" s="126"/>
      <c r="H5" s="126"/>
      <c r="I5" s="126"/>
    </row>
    <row r="6" spans="1:9" ht="12.75" customHeight="1">
      <c r="A6" s="131"/>
      <c r="B6" s="132"/>
      <c r="C6" s="132"/>
      <c r="D6" s="133"/>
      <c r="E6" s="133"/>
      <c r="F6" s="126"/>
      <c r="G6" s="126"/>
      <c r="H6" s="126"/>
      <c r="I6" s="126"/>
    </row>
    <row r="7" spans="1:9" ht="15.75" customHeight="1">
      <c r="A7" s="697" t="s">
        <v>111</v>
      </c>
      <c r="B7" s="697"/>
      <c r="C7" s="697"/>
      <c r="D7" s="134"/>
      <c r="E7" s="134"/>
      <c r="F7" s="126"/>
      <c r="G7" s="126"/>
      <c r="H7" s="126"/>
      <c r="I7" s="126"/>
    </row>
    <row r="8" spans="1:9" ht="12.75" customHeight="1">
      <c r="B8" s="127"/>
      <c r="C8" s="135"/>
      <c r="D8" s="133" t="s">
        <v>446</v>
      </c>
      <c r="E8" s="133" t="s">
        <v>446</v>
      </c>
      <c r="F8" s="126"/>
      <c r="G8" s="126"/>
      <c r="H8" s="126"/>
      <c r="I8" s="126"/>
    </row>
    <row r="9" spans="1:9" ht="12.75" customHeight="1">
      <c r="B9" s="127"/>
      <c r="C9" s="136"/>
      <c r="D9" s="130">
        <v>2450</v>
      </c>
      <c r="E9" s="130">
        <v>2450</v>
      </c>
      <c r="F9" s="126"/>
      <c r="G9" s="126"/>
      <c r="H9" s="126"/>
      <c r="I9" s="126"/>
    </row>
    <row r="10" spans="1:9" ht="12.75" customHeight="1">
      <c r="B10" s="127"/>
      <c r="C10" s="137" t="s">
        <v>274</v>
      </c>
      <c r="D10" s="138"/>
      <c r="E10" s="138"/>
      <c r="F10" s="126"/>
      <c r="G10" s="126"/>
      <c r="H10" s="126"/>
      <c r="I10" s="126"/>
    </row>
    <row r="11" spans="1:9" ht="41.25" customHeight="1">
      <c r="B11" s="139"/>
      <c r="C11" s="140" t="s">
        <v>112</v>
      </c>
      <c r="D11" s="389" t="s">
        <v>373</v>
      </c>
      <c r="E11" s="389" t="s">
        <v>511</v>
      </c>
      <c r="F11" s="389" t="s">
        <v>647</v>
      </c>
      <c r="G11" s="126"/>
      <c r="H11" s="126"/>
    </row>
    <row r="12" spans="1:9" ht="12.75" customHeight="1">
      <c r="B12" s="130" t="s">
        <v>113</v>
      </c>
      <c r="C12" s="141" t="s">
        <v>63</v>
      </c>
      <c r="D12" s="385" t="s">
        <v>114</v>
      </c>
      <c r="E12" s="519" t="s">
        <v>114</v>
      </c>
      <c r="F12" s="519" t="s">
        <v>114</v>
      </c>
      <c r="G12" s="126"/>
      <c r="H12" s="126"/>
    </row>
    <row r="13" spans="1:9" ht="12.75" customHeight="1">
      <c r="B13" s="142" t="s">
        <v>115</v>
      </c>
      <c r="C13" s="543" t="s">
        <v>606</v>
      </c>
      <c r="D13" s="544">
        <f>+D14+D15+D16</f>
        <v>70119800</v>
      </c>
      <c r="E13" s="521">
        <f>+E14+E15+E16</f>
        <v>73147699</v>
      </c>
      <c r="F13" s="521">
        <f>+F14+F15+F16</f>
        <v>73147699</v>
      </c>
      <c r="G13" s="126"/>
      <c r="H13" s="126"/>
    </row>
    <row r="14" spans="1:9" ht="12.75" customHeight="1">
      <c r="B14" s="426"/>
      <c r="C14" s="543" t="s">
        <v>289</v>
      </c>
      <c r="D14" s="521">
        <f>+'1.sz.mell.'!C5</f>
        <v>70119800</v>
      </c>
      <c r="E14" s="521">
        <v>70119800</v>
      </c>
      <c r="F14" s="521">
        <v>70119800</v>
      </c>
      <c r="G14" s="126"/>
      <c r="H14" s="126"/>
    </row>
    <row r="15" spans="1:9" ht="12.75" customHeight="1">
      <c r="B15" s="426"/>
      <c r="C15" s="543" t="s">
        <v>604</v>
      </c>
      <c r="D15" s="521">
        <v>0</v>
      </c>
      <c r="E15" s="521">
        <v>2851000</v>
      </c>
      <c r="F15" s="521">
        <v>2851000</v>
      </c>
      <c r="G15" s="126"/>
      <c r="H15" s="126"/>
    </row>
    <row r="16" spans="1:9" ht="12.75" customHeight="1">
      <c r="B16" s="426"/>
      <c r="C16" s="543" t="s">
        <v>605</v>
      </c>
      <c r="D16" s="521">
        <v>0</v>
      </c>
      <c r="E16" s="521">
        <v>176899</v>
      </c>
      <c r="F16" s="521">
        <v>176899</v>
      </c>
      <c r="G16" s="126"/>
      <c r="H16" s="126"/>
    </row>
    <row r="17" spans="2:8" ht="12.75" customHeight="1">
      <c r="B17" s="142" t="s">
        <v>116</v>
      </c>
      <c r="C17" s="543" t="s">
        <v>117</v>
      </c>
      <c r="D17" s="521">
        <f>+D18+D19+D20+D21</f>
        <v>21290513</v>
      </c>
      <c r="E17" s="521">
        <f>+E18+E19+E20+E21</f>
        <v>21290513</v>
      </c>
      <c r="F17" s="521">
        <f>+F18+F19+F20+F21</f>
        <v>21290513</v>
      </c>
      <c r="G17" s="126"/>
      <c r="H17" s="126"/>
    </row>
    <row r="18" spans="2:8" ht="12.75" customHeight="1">
      <c r="B18" s="142" t="s">
        <v>118</v>
      </c>
      <c r="C18" s="143" t="s">
        <v>119</v>
      </c>
      <c r="D18" s="251">
        <f>+'1.sz.mell.'!C8</f>
        <v>9024810</v>
      </c>
      <c r="E18" s="520">
        <f>+'1.sz.mell.'!D8</f>
        <v>9024810</v>
      </c>
      <c r="F18" s="520">
        <f>+'1.sz.mell.'!E8</f>
        <v>9024810</v>
      </c>
      <c r="G18" s="126"/>
      <c r="H18" s="126"/>
    </row>
    <row r="19" spans="2:8" ht="12.75" customHeight="1">
      <c r="B19" s="142" t="s">
        <v>120</v>
      </c>
      <c r="C19" s="143" t="s">
        <v>121</v>
      </c>
      <c r="D19" s="251">
        <f>+'1.sz.mell.'!C9</f>
        <v>6400000</v>
      </c>
      <c r="E19" s="520">
        <f>+'1.sz.mell.'!D9</f>
        <v>6400000</v>
      </c>
      <c r="F19" s="520">
        <f>+'1.sz.mell.'!E9</f>
        <v>6400000</v>
      </c>
      <c r="G19" s="126"/>
      <c r="H19" s="126"/>
    </row>
    <row r="20" spans="2:8" ht="12.75" customHeight="1">
      <c r="B20" s="142" t="s">
        <v>122</v>
      </c>
      <c r="C20" s="143" t="s">
        <v>123</v>
      </c>
      <c r="D20" s="251">
        <f>+'1.sz.mell.'!C10</f>
        <v>522123</v>
      </c>
      <c r="E20" s="520">
        <f>+'1.sz.mell.'!D10</f>
        <v>522123</v>
      </c>
      <c r="F20" s="520">
        <f>+'1.sz.mell.'!E10</f>
        <v>522123</v>
      </c>
      <c r="G20" s="126"/>
      <c r="H20" s="126"/>
    </row>
    <row r="21" spans="2:8" ht="12.75" customHeight="1">
      <c r="B21" s="142" t="s">
        <v>124</v>
      </c>
      <c r="C21" s="143" t="s">
        <v>125</v>
      </c>
      <c r="D21" s="251">
        <f>+'1.sz.mell.'!C11</f>
        <v>5343580</v>
      </c>
      <c r="E21" s="520">
        <f>+'1.sz.mell.'!D11</f>
        <v>5343580</v>
      </c>
      <c r="F21" s="520">
        <f>+'1.sz.mell.'!E11</f>
        <v>5343580</v>
      </c>
      <c r="G21" s="126"/>
      <c r="H21" s="126"/>
    </row>
    <row r="22" spans="2:8" ht="12.75" customHeight="1">
      <c r="B22" s="142" t="s">
        <v>126</v>
      </c>
      <c r="C22" s="543" t="s">
        <v>127</v>
      </c>
      <c r="D22" s="521">
        <f>+'1.sz.mell.'!C12</f>
        <v>6615000</v>
      </c>
      <c r="E22" s="521">
        <f>+'1.sz.mell.'!D12</f>
        <v>6615000</v>
      </c>
      <c r="F22" s="521">
        <f>+'1.sz.mell.'!E12</f>
        <v>6615000</v>
      </c>
      <c r="G22" s="126"/>
      <c r="H22" s="126"/>
    </row>
    <row r="23" spans="2:8" ht="12.75" customHeight="1">
      <c r="B23" s="142" t="s">
        <v>128</v>
      </c>
      <c r="C23" s="543" t="s">
        <v>129</v>
      </c>
      <c r="D23" s="521">
        <f>+'1.sz.mell.'!C30</f>
        <v>76500</v>
      </c>
      <c r="E23" s="521">
        <f>+'1.sz.mell.'!D30</f>
        <v>76500</v>
      </c>
      <c r="F23" s="521">
        <f>+'1.sz.mell.'!E30</f>
        <v>76500</v>
      </c>
      <c r="G23" s="126"/>
      <c r="H23" s="126"/>
    </row>
    <row r="24" spans="2:8" ht="12.75" customHeight="1">
      <c r="B24" s="142"/>
      <c r="C24" s="543" t="s">
        <v>130</v>
      </c>
      <c r="D24" s="521">
        <f>+'1.sz.mell.'!C13</f>
        <v>19659616</v>
      </c>
      <c r="E24" s="521">
        <f>+'1.sz.mell.'!D13</f>
        <v>19659616</v>
      </c>
      <c r="F24" s="521">
        <f>+'1.sz.mell.'!E13</f>
        <v>19659616</v>
      </c>
      <c r="G24" s="126"/>
      <c r="H24" s="126"/>
    </row>
    <row r="25" spans="2:8" ht="12.75" customHeight="1">
      <c r="B25" s="142"/>
      <c r="C25" s="207" t="s">
        <v>287</v>
      </c>
      <c r="D25" s="251">
        <f>+'1.sz.mell.'!C14</f>
        <v>972400</v>
      </c>
      <c r="E25" s="520">
        <f>+'1.sz.mell.'!D14</f>
        <v>972400</v>
      </c>
      <c r="F25" s="520">
        <f>+'1.sz.mell.'!E14</f>
        <v>972400</v>
      </c>
      <c r="G25" s="126"/>
      <c r="H25" s="126"/>
    </row>
    <row r="26" spans="2:8" ht="12.75" customHeight="1">
      <c r="B26" s="142" t="s">
        <v>38</v>
      </c>
      <c r="C26" s="144" t="s">
        <v>131</v>
      </c>
      <c r="D26" s="252">
        <f>SUM(D14:D17,D22,D23,D24:D25,)</f>
        <v>118733829</v>
      </c>
      <c r="E26" s="521">
        <f>SUM(E14:E17,E22,E23,E24:E25,)</f>
        <v>121761728</v>
      </c>
      <c r="F26" s="521">
        <f>SUM(F14:F17,F22,F23,F24:F25,)</f>
        <v>121761728</v>
      </c>
      <c r="G26" s="126"/>
      <c r="H26" s="126"/>
    </row>
    <row r="27" spans="2:8">
      <c r="B27" s="142"/>
      <c r="C27" s="143" t="s">
        <v>591</v>
      </c>
      <c r="D27" s="253">
        <v>30017633</v>
      </c>
      <c r="E27" s="522">
        <v>29434767</v>
      </c>
      <c r="F27" s="522">
        <v>29434767</v>
      </c>
    </row>
    <row r="28" spans="2:8">
      <c r="B28" s="142"/>
      <c r="C28" s="143" t="s">
        <v>592</v>
      </c>
      <c r="D28" s="253">
        <v>15300250</v>
      </c>
      <c r="E28" s="522">
        <v>15008817</v>
      </c>
      <c r="F28" s="522">
        <v>15008817</v>
      </c>
    </row>
    <row r="29" spans="2:8">
      <c r="B29" s="142"/>
      <c r="C29" s="143" t="s">
        <v>288</v>
      </c>
      <c r="D29" s="253">
        <v>0</v>
      </c>
      <c r="E29" s="522">
        <v>0</v>
      </c>
      <c r="F29" s="522">
        <v>0</v>
      </c>
    </row>
    <row r="30" spans="2:8" ht="32.25" customHeight="1">
      <c r="B30" s="142"/>
      <c r="C30" s="147" t="s">
        <v>447</v>
      </c>
      <c r="D30" s="253">
        <v>1983500</v>
      </c>
      <c r="E30" s="522">
        <v>1983500</v>
      </c>
      <c r="F30" s="522">
        <v>1983500</v>
      </c>
    </row>
    <row r="31" spans="2:8">
      <c r="B31" s="142"/>
      <c r="C31" s="143" t="s">
        <v>275</v>
      </c>
      <c r="D31" s="253">
        <v>7350000</v>
      </c>
      <c r="E31" s="522">
        <v>7350000</v>
      </c>
      <c r="F31" s="522">
        <v>7350000</v>
      </c>
    </row>
    <row r="32" spans="2:8">
      <c r="B32" s="142"/>
      <c r="C32" s="145" t="s">
        <v>276</v>
      </c>
      <c r="D32" s="253">
        <v>3675000</v>
      </c>
      <c r="E32" s="522">
        <v>3675000</v>
      </c>
      <c r="F32" s="522">
        <v>3675000</v>
      </c>
    </row>
    <row r="33" spans="2:7">
      <c r="B33" s="142"/>
      <c r="C33" s="143" t="s">
        <v>593</v>
      </c>
      <c r="D33" s="253">
        <v>6818000</v>
      </c>
      <c r="E33" s="522">
        <v>6623200</v>
      </c>
      <c r="F33" s="522">
        <v>6623200</v>
      </c>
    </row>
    <row r="34" spans="2:7">
      <c r="B34" s="142"/>
      <c r="C34" s="143" t="s">
        <v>594</v>
      </c>
      <c r="D34" s="253">
        <v>3409000</v>
      </c>
      <c r="E34" s="522">
        <v>3376533</v>
      </c>
      <c r="F34" s="522">
        <v>3376533</v>
      </c>
    </row>
    <row r="35" spans="2:7">
      <c r="B35" s="426"/>
      <c r="C35" s="143" t="s">
        <v>601</v>
      </c>
      <c r="D35" s="253">
        <v>0</v>
      </c>
      <c r="E35" s="522">
        <v>975000</v>
      </c>
      <c r="F35" s="522">
        <v>975000</v>
      </c>
    </row>
    <row r="36" spans="2:7">
      <c r="B36" s="142" t="s">
        <v>39</v>
      </c>
      <c r="C36" s="146" t="s">
        <v>244</v>
      </c>
      <c r="D36" s="254">
        <f>SUM(D27:D35)</f>
        <v>68553383</v>
      </c>
      <c r="E36" s="523">
        <f>SUM(E27:E35)</f>
        <v>68426817</v>
      </c>
      <c r="F36" s="523">
        <f>SUM(F27:F35)</f>
        <v>68426817</v>
      </c>
      <c r="G36" s="124"/>
    </row>
    <row r="37" spans="2:7">
      <c r="B37" s="142"/>
      <c r="C37" s="143" t="s">
        <v>245</v>
      </c>
      <c r="D37" s="253">
        <f>+'1.sz.mell.'!C17</f>
        <v>18536765</v>
      </c>
      <c r="E37" s="522">
        <f>+'1.sz.mell.'!D17</f>
        <v>18536765</v>
      </c>
      <c r="F37" s="522">
        <f>+'1.sz.mell.'!E17</f>
        <v>18536765</v>
      </c>
    </row>
    <row r="38" spans="2:7">
      <c r="B38" s="142"/>
      <c r="C38" s="143" t="s">
        <v>598</v>
      </c>
      <c r="D38" s="253">
        <v>18506000</v>
      </c>
      <c r="E38" s="522">
        <v>17423000</v>
      </c>
      <c r="F38" s="522">
        <v>17423000</v>
      </c>
    </row>
    <row r="39" spans="2:7">
      <c r="B39" s="142"/>
      <c r="C39" s="143" t="s">
        <v>132</v>
      </c>
      <c r="D39" s="253">
        <v>32507193</v>
      </c>
      <c r="E39" s="522">
        <v>25956433</v>
      </c>
      <c r="F39" s="522">
        <v>25956433</v>
      </c>
    </row>
    <row r="40" spans="2:7">
      <c r="B40" s="142"/>
      <c r="C40" s="143" t="s">
        <v>277</v>
      </c>
      <c r="D40" s="253">
        <v>1072740</v>
      </c>
      <c r="E40" s="522">
        <v>1076160</v>
      </c>
      <c r="F40" s="522">
        <v>1076160</v>
      </c>
    </row>
    <row r="41" spans="2:7">
      <c r="B41" s="142"/>
      <c r="C41" s="143" t="s">
        <v>246</v>
      </c>
      <c r="D41" s="253">
        <v>3400000</v>
      </c>
      <c r="E41" s="520">
        <v>3400000</v>
      </c>
      <c r="F41" s="520">
        <v>3400000</v>
      </c>
    </row>
    <row r="42" spans="2:7">
      <c r="B42" s="142"/>
      <c r="C42" s="143" t="s">
        <v>595</v>
      </c>
      <c r="D42" s="253">
        <v>4705600</v>
      </c>
      <c r="E42" s="520">
        <v>4594880</v>
      </c>
      <c r="F42" s="520">
        <v>4594880</v>
      </c>
    </row>
    <row r="43" spans="2:7">
      <c r="B43" s="142"/>
      <c r="C43" s="143" t="s">
        <v>596</v>
      </c>
      <c r="D43" s="253">
        <v>150000</v>
      </c>
      <c r="E43" s="520">
        <v>200000</v>
      </c>
      <c r="F43" s="520">
        <v>200000</v>
      </c>
    </row>
    <row r="44" spans="2:7">
      <c r="B44" s="142"/>
      <c r="C44" s="143" t="s">
        <v>597</v>
      </c>
      <c r="D44" s="253">
        <v>5280000</v>
      </c>
      <c r="E44" s="520">
        <v>6930000</v>
      </c>
      <c r="F44" s="520">
        <v>6930000</v>
      </c>
    </row>
    <row r="45" spans="2:7">
      <c r="B45" s="142"/>
      <c r="C45" s="143" t="s">
        <v>448</v>
      </c>
      <c r="D45" s="253">
        <v>1853000</v>
      </c>
      <c r="E45" s="520">
        <v>1962000</v>
      </c>
      <c r="F45" s="520">
        <v>1962000</v>
      </c>
    </row>
    <row r="46" spans="2:7">
      <c r="B46" s="426"/>
      <c r="C46" s="143" t="s">
        <v>449</v>
      </c>
      <c r="D46" s="253">
        <v>7482500</v>
      </c>
      <c r="E46" s="522">
        <v>7482500</v>
      </c>
      <c r="F46" s="522">
        <v>7482500</v>
      </c>
    </row>
    <row r="47" spans="2:7">
      <c r="B47" s="426"/>
      <c r="C47" s="143" t="s">
        <v>450</v>
      </c>
      <c r="D47" s="253">
        <v>1140000</v>
      </c>
      <c r="E47" s="522">
        <v>1192870</v>
      </c>
      <c r="F47" s="522">
        <v>1192870</v>
      </c>
    </row>
    <row r="48" spans="2:7">
      <c r="B48" s="426"/>
      <c r="C48" s="143" t="s">
        <v>603</v>
      </c>
      <c r="D48" s="253"/>
      <c r="E48" s="522">
        <v>1918158</v>
      </c>
      <c r="F48" s="522">
        <v>1918158</v>
      </c>
    </row>
    <row r="49" spans="2:21" ht="12" customHeight="1">
      <c r="B49" s="426"/>
      <c r="C49" s="143" t="s">
        <v>601</v>
      </c>
      <c r="D49" s="253">
        <v>0</v>
      </c>
      <c r="E49" s="522">
        <v>4555000</v>
      </c>
      <c r="F49" s="522">
        <v>4555000</v>
      </c>
    </row>
    <row r="50" spans="2:21">
      <c r="B50" s="142" t="s">
        <v>133</v>
      </c>
      <c r="C50" s="144" t="s">
        <v>134</v>
      </c>
      <c r="D50" s="254">
        <f>SUM(D37:D49)</f>
        <v>94633798</v>
      </c>
      <c r="E50" s="523">
        <f>+SUM(E37:E49)</f>
        <v>95227766</v>
      </c>
      <c r="F50" s="523">
        <f>+SUM(F37:F49)</f>
        <v>95227766</v>
      </c>
      <c r="G50" s="124"/>
      <c r="U50" s="36">
        <v>1498906</v>
      </c>
    </row>
    <row r="51" spans="2:21">
      <c r="B51" s="142"/>
      <c r="C51" s="143" t="s">
        <v>599</v>
      </c>
      <c r="D51" s="253">
        <v>2964500</v>
      </c>
      <c r="E51" s="522">
        <v>2964500</v>
      </c>
      <c r="F51" s="522">
        <v>2964500</v>
      </c>
    </row>
    <row r="52" spans="2:21">
      <c r="B52" s="426"/>
      <c r="C52" s="143" t="s">
        <v>602</v>
      </c>
      <c r="D52" s="253">
        <v>0</v>
      </c>
      <c r="E52" s="522">
        <v>398000</v>
      </c>
      <c r="F52" s="522">
        <v>398000</v>
      </c>
    </row>
    <row r="53" spans="2:21">
      <c r="B53" s="426"/>
      <c r="C53" s="143" t="s">
        <v>601</v>
      </c>
      <c r="D53" s="253">
        <v>0</v>
      </c>
      <c r="E53" s="522">
        <v>100000</v>
      </c>
      <c r="F53" s="522">
        <v>100000</v>
      </c>
    </row>
    <row r="54" spans="2:21">
      <c r="B54" s="426"/>
      <c r="C54" s="143" t="s">
        <v>600</v>
      </c>
      <c r="D54" s="253">
        <v>0</v>
      </c>
      <c r="E54" s="522">
        <v>751869</v>
      </c>
      <c r="F54" s="522">
        <v>751869</v>
      </c>
    </row>
    <row r="55" spans="2:21">
      <c r="B55" s="142" t="s">
        <v>43</v>
      </c>
      <c r="C55" s="144" t="s">
        <v>135</v>
      </c>
      <c r="D55" s="254">
        <f>D51</f>
        <v>2964500</v>
      </c>
      <c r="E55" s="523">
        <f>+E51+E52+E53+E54</f>
        <v>4214369</v>
      </c>
      <c r="F55" s="523">
        <f>+F51+F52+F53+F54</f>
        <v>4214369</v>
      </c>
    </row>
    <row r="56" spans="2:21">
      <c r="B56" s="142"/>
      <c r="C56" s="144" t="s">
        <v>186</v>
      </c>
      <c r="D56" s="254">
        <f>+'1.sz.mell.'!C36+'1.sz.mell.'!C37+'1.sz.mell.'!C34+'1.sz.mell.'!C33</f>
        <v>28651559</v>
      </c>
      <c r="E56" s="523">
        <f>+'1.sz.mell.'!D35+'1.sz.mell.'!D36+'1.sz.mell.'!D37+'1.sz.mell.'!D34</f>
        <v>41584463</v>
      </c>
      <c r="F56" s="523">
        <f>+'1.sz.mell.'!E35+'1.sz.mell.'!E36+'1.sz.mell.'!E37+'1.sz.mell.'!E34</f>
        <v>12932904</v>
      </c>
    </row>
    <row r="57" spans="2:21">
      <c r="B57" s="426"/>
      <c r="C57" s="144" t="s">
        <v>543</v>
      </c>
      <c r="D57" s="254">
        <f>+'1.sz.mell.'!C33+'1.sz.mell.'!C32</f>
        <v>0</v>
      </c>
      <c r="E57" s="523">
        <f>+'1.sz.mell.'!D31</f>
        <v>992732</v>
      </c>
      <c r="F57" s="523">
        <f>+'1.sz.mell.'!E31</f>
        <v>992732</v>
      </c>
    </row>
    <row r="58" spans="2:21">
      <c r="B58" s="426"/>
      <c r="C58" s="144" t="s">
        <v>544</v>
      </c>
      <c r="D58" s="254">
        <v>0</v>
      </c>
      <c r="E58" s="523">
        <f>+'1.sz.mell.'!D33+'1.sz.mell.'!D32</f>
        <v>16527265</v>
      </c>
      <c r="F58" s="523">
        <f>+'1.sz.mell.'!E33+'1.sz.mell.'!E32</f>
        <v>16527265</v>
      </c>
    </row>
    <row r="59" spans="2:21">
      <c r="B59" s="142" t="s">
        <v>156</v>
      </c>
      <c r="C59" s="144" t="s">
        <v>247</v>
      </c>
      <c r="D59" s="254">
        <f>+'1.sz.mell.'!C37+'1.sz.mell.'!C36+'1.sz.mell.'!C34++'1.sz.mell.'!C33+'1.sz.mell.'!C32</f>
        <v>28651559</v>
      </c>
      <c r="E59" s="523">
        <f>+'1.sz.mell.'!D37+'1.sz.mell.'!D36+'1.sz.mell.'!D34++'1.sz.mell.'!D33+'1.sz.mell.'!D32+'1.sz.mell.'!D31+'1.sz.mell.'!D35</f>
        <v>59104460</v>
      </c>
      <c r="F59" s="523">
        <f>+'1.sz.mell.'!E37+'1.sz.mell.'!E36+'1.sz.mell.'!E34++'1.sz.mell.'!E33+'1.sz.mell.'!E32+'1.sz.mell.'!E31+'1.sz.mell.'!E35</f>
        <v>30452901</v>
      </c>
    </row>
    <row r="60" spans="2:21" ht="25.5">
      <c r="B60" s="142"/>
      <c r="C60" s="147" t="s">
        <v>278</v>
      </c>
      <c r="D60" s="254">
        <f>SUM(D26,D36,D50,D55,D59)+D56</f>
        <v>342188628</v>
      </c>
      <c r="E60" s="523">
        <f>SUM(E26,E36,E50,E55,E59)</f>
        <v>348735140</v>
      </c>
      <c r="F60" s="523">
        <f>SUM(F26,F36,F50,F55,F59)</f>
        <v>320083581</v>
      </c>
    </row>
    <row r="61" spans="2:21">
      <c r="F61" s="38"/>
    </row>
    <row r="62" spans="2:21">
      <c r="D62" s="42">
        <f>+'1.sz.mell.'!C38+'1.sz.mell.'!C36+'1.sz.mell.'!C37</f>
        <v>342188628</v>
      </c>
      <c r="E62" s="42">
        <f>+'1.sz.mell.'!D38</f>
        <v>348735140</v>
      </c>
      <c r="F62" s="42">
        <f>+'1.sz.mell.'!E38</f>
        <v>320083581</v>
      </c>
    </row>
    <row r="63" spans="2:21">
      <c r="E63" s="42">
        <f>+E62-E60</f>
        <v>0</v>
      </c>
      <c r="F63" s="42">
        <f>+F62-F60</f>
        <v>0</v>
      </c>
    </row>
  </sheetData>
  <mergeCells count="5">
    <mergeCell ref="A7:C7"/>
    <mergeCell ref="A1:E1"/>
    <mergeCell ref="A2:E2"/>
    <mergeCell ref="A3:E3"/>
    <mergeCell ref="A5:C5"/>
  </mergeCells>
  <phoneticPr fontId="0" type="noConversion"/>
  <printOptions horizontalCentered="1"/>
  <pageMargins left="0.15748031496062992" right="0.15748031496062992" top="0.31496062992125984" bottom="0.74803149606299213" header="0.31496062992125984" footer="0.31496062992125984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V50"/>
  <sheetViews>
    <sheetView zoomScaleNormal="100" workbookViewId="0">
      <selection activeCell="E1" sqref="E1"/>
    </sheetView>
  </sheetViews>
  <sheetFormatPr defaultRowHeight="12.75"/>
  <cols>
    <col min="1" max="1" width="10.28515625" style="44" customWidth="1"/>
    <col min="2" max="2" width="60.5703125" style="44" customWidth="1"/>
    <col min="3" max="3" width="23.28515625" style="44" customWidth="1"/>
    <col min="4" max="5" width="27.5703125" style="44" customWidth="1"/>
    <col min="6" max="6" width="17.28515625" style="44" customWidth="1"/>
    <col min="7" max="7" width="15.7109375" style="44" bestFit="1" customWidth="1"/>
    <col min="8" max="8" width="16.85546875" style="44" customWidth="1"/>
    <col min="9" max="11" width="9.140625" style="44"/>
    <col min="12" max="12" width="20.42578125" style="44" customWidth="1"/>
    <col min="13" max="16384" width="9.140625" style="44"/>
  </cols>
  <sheetData>
    <row r="1" spans="1:7" ht="39" customHeight="1">
      <c r="A1" s="701" t="s">
        <v>951</v>
      </c>
      <c r="B1" s="701"/>
      <c r="C1" s="701"/>
      <c r="D1" s="701"/>
      <c r="E1" s="557"/>
      <c r="F1" s="209"/>
      <c r="G1" s="209"/>
    </row>
    <row r="2" spans="1:7" ht="22.5" customHeight="1">
      <c r="A2" s="206"/>
      <c r="B2" s="206"/>
      <c r="C2" s="206"/>
      <c r="D2" s="206"/>
      <c r="E2" s="559"/>
      <c r="F2" s="209"/>
      <c r="G2" s="209"/>
    </row>
    <row r="3" spans="1:7" ht="39" customHeight="1">
      <c r="A3" s="700" t="s">
        <v>451</v>
      </c>
      <c r="B3" s="700"/>
      <c r="C3" s="700"/>
      <c r="D3" s="700"/>
      <c r="E3" s="556"/>
      <c r="F3" s="208"/>
      <c r="G3" s="208"/>
    </row>
    <row r="4" spans="1:7">
      <c r="B4" s="45"/>
      <c r="C4" s="45"/>
    </row>
    <row r="5" spans="1:7">
      <c r="B5" s="46"/>
      <c r="C5" s="46"/>
    </row>
    <row r="6" spans="1:7">
      <c r="B6" s="46"/>
    </row>
    <row r="7" spans="1:7" ht="13.5" thickBot="1">
      <c r="B7" s="46"/>
      <c r="C7" s="191" t="s">
        <v>258</v>
      </c>
    </row>
    <row r="8" spans="1:7" ht="26.25" customHeight="1" thickBot="1">
      <c r="B8" s="438" t="s">
        <v>63</v>
      </c>
      <c r="C8" s="438" t="s">
        <v>512</v>
      </c>
      <c r="D8" s="524" t="s">
        <v>374</v>
      </c>
      <c r="E8" s="438" t="s">
        <v>646</v>
      </c>
      <c r="F8" s="439"/>
      <c r="G8" s="439"/>
    </row>
    <row r="9" spans="1:7" ht="18.75">
      <c r="B9" s="440" t="str">
        <f>+'1.sz.mell.'!B73</f>
        <v>Traktor beszerzés támogatás (ÁHT-n belül) (B21)</v>
      </c>
      <c r="C9" s="441">
        <f>+'1.sz.mell.'!C73</f>
        <v>8945081</v>
      </c>
      <c r="D9" s="441">
        <f>+'1.sz.mell.'!D73</f>
        <v>8945081</v>
      </c>
      <c r="E9" s="441">
        <f>+'1.sz.mell.'!E73</f>
        <v>0</v>
      </c>
      <c r="F9" s="439"/>
      <c r="G9" s="439"/>
    </row>
    <row r="10" spans="1:7" ht="37.5">
      <c r="B10" s="525" t="str">
        <f>+'1.sz.mell.'!B72</f>
        <v>2019. évi közművelődési érdekeltség növelő támogatás (B21)</v>
      </c>
      <c r="C10" s="441">
        <f>+'1.sz.mell.'!C72</f>
        <v>0</v>
      </c>
      <c r="D10" s="441">
        <f>+'1.sz.mell.'!D72</f>
        <v>0</v>
      </c>
      <c r="E10" s="441">
        <f>+'1.sz.mell.'!E72</f>
        <v>1835000</v>
      </c>
      <c r="F10" s="439"/>
      <c r="G10" s="439"/>
    </row>
    <row r="11" spans="1:7" ht="18.75">
      <c r="B11" s="525" t="str">
        <f>+'1.sz.mell.'!B74</f>
        <v>EFOP program támogatása (B25)</v>
      </c>
      <c r="C11" s="442">
        <f>+'1.sz.mell.'!C74</f>
        <v>77804327</v>
      </c>
      <c r="D11" s="442">
        <f>+'1.sz.mell.'!D74</f>
        <v>77804327</v>
      </c>
      <c r="E11" s="442">
        <f>+'1.sz.mell.'!E74</f>
        <v>72668288</v>
      </c>
      <c r="F11" s="439"/>
      <c r="G11" s="439"/>
    </row>
    <row r="12" spans="1:7" ht="18.75">
      <c r="B12" s="440" t="s">
        <v>452</v>
      </c>
      <c r="C12" s="442">
        <v>39091566</v>
      </c>
      <c r="D12" s="442">
        <v>39091566</v>
      </c>
      <c r="E12" s="442">
        <v>39091566</v>
      </c>
      <c r="F12" s="439"/>
      <c r="G12" s="439"/>
    </row>
    <row r="13" spans="1:7" ht="18.75">
      <c r="B13" s="440" t="s">
        <v>453</v>
      </c>
      <c r="C13" s="442">
        <v>38712761</v>
      </c>
      <c r="D13" s="442">
        <v>38712761</v>
      </c>
      <c r="E13" s="442">
        <v>38712761</v>
      </c>
      <c r="F13" s="439"/>
      <c r="G13" s="439"/>
    </row>
    <row r="14" spans="1:7" ht="37.5">
      <c r="B14" s="525" t="str">
        <f>+'1.sz.mell.'!B78</f>
        <v>Szociális Alaszolg. Kp. konyha tető felújítás, eszköz beszerzés támogatása (B25)</v>
      </c>
      <c r="C14" s="442">
        <f>+'1.sz.mell.'!C78</f>
        <v>13223939</v>
      </c>
      <c r="D14" s="442">
        <f>+'1.sz.mell.'!D78</f>
        <v>13223939</v>
      </c>
      <c r="E14" s="442">
        <f>+'1.sz.mell.'!E78</f>
        <v>2210000</v>
      </c>
      <c r="F14" s="439"/>
      <c r="G14" s="439"/>
    </row>
    <row r="15" spans="1:7" ht="18.75">
      <c r="B15" s="440" t="str">
        <f>+'1.sz.mell.'!B79</f>
        <v>Kamerarendszer kiépítésének támogatása (B21)</v>
      </c>
      <c r="C15" s="442">
        <f>+'1.sz.mell.'!C79</f>
        <v>8845094</v>
      </c>
      <c r="D15" s="442">
        <f>+'1.sz.mell.'!D79</f>
        <v>8845094</v>
      </c>
      <c r="E15" s="442">
        <f>+'1.sz.mell.'!E79</f>
        <v>0</v>
      </c>
      <c r="F15" s="439"/>
      <c r="G15" s="439"/>
    </row>
    <row r="16" spans="1:7" ht="18.75">
      <c r="B16" s="440" t="s">
        <v>572</v>
      </c>
      <c r="C16" s="442">
        <f>+'1.sz.mell.'!C76</f>
        <v>0</v>
      </c>
      <c r="D16" s="442">
        <f>+'1.sz.mell.'!D76</f>
        <v>4999736</v>
      </c>
      <c r="E16" s="442">
        <f>+'1.sz.mell.'!E76</f>
        <v>4999736</v>
      </c>
      <c r="F16" s="439"/>
      <c r="G16" s="439"/>
    </row>
    <row r="17" spans="2:8" ht="18.75">
      <c r="B17" s="440" t="s">
        <v>573</v>
      </c>
      <c r="C17" s="442">
        <f>+'1.sz.mell.'!C77</f>
        <v>0</v>
      </c>
      <c r="D17" s="442">
        <f>+'1.sz.mell.'!D77</f>
        <v>4048365</v>
      </c>
      <c r="E17" s="442">
        <f>+'1.sz.mell.'!E77</f>
        <v>4048365</v>
      </c>
      <c r="F17" s="439"/>
      <c r="G17" s="439"/>
    </row>
    <row r="18" spans="2:8" ht="18.75">
      <c r="B18" s="525" t="s">
        <v>547</v>
      </c>
      <c r="C18" s="442">
        <v>0</v>
      </c>
      <c r="D18" s="442">
        <f>+'1.sz.mell.'!D75</f>
        <v>2999999</v>
      </c>
      <c r="E18" s="442">
        <f>+'1.sz.mell.'!E75</f>
        <v>2999999</v>
      </c>
      <c r="F18" s="439"/>
      <c r="G18" s="439"/>
    </row>
    <row r="19" spans="2:8" ht="18.75">
      <c r="B19" s="440" t="s">
        <v>545</v>
      </c>
      <c r="C19" s="442">
        <v>0</v>
      </c>
      <c r="D19" s="442">
        <f>+'1.sz.mell.'!D80</f>
        <v>105000</v>
      </c>
      <c r="E19" s="442">
        <f>+'1.sz.mell.'!E80</f>
        <v>116094</v>
      </c>
      <c r="F19" s="439"/>
      <c r="G19" s="439"/>
    </row>
    <row r="20" spans="2:8" ht="37.5">
      <c r="B20" s="525" t="s">
        <v>546</v>
      </c>
      <c r="C20" s="442"/>
      <c r="D20" s="442">
        <f>+'1.sz.mell.'!D71</f>
        <v>14999998</v>
      </c>
      <c r="E20" s="442">
        <f>+'1.sz.mell.'!E71</f>
        <v>14999998</v>
      </c>
      <c r="F20" s="439"/>
      <c r="G20" s="439"/>
    </row>
    <row r="21" spans="2:8" s="47" customFormat="1" ht="33" customHeight="1">
      <c r="B21" s="443" t="s">
        <v>56</v>
      </c>
      <c r="C21" s="444">
        <f>+C9+C11+C14+C15</f>
        <v>108818441</v>
      </c>
      <c r="D21" s="444">
        <f>+D9+D18+D19+D14+D15+D20+D16+D17+D11</f>
        <v>135971539</v>
      </c>
      <c r="E21" s="444">
        <f>+E9+E18+E19+E14+E15+E20+E16+E17+E11+E10</f>
        <v>103877480</v>
      </c>
      <c r="F21" s="445">
        <f>+'4 b.sz.mell.'!J62</f>
        <v>108818441</v>
      </c>
      <c r="G21" s="445">
        <f>+'1.sz.mell.'!D81</f>
        <v>135971539</v>
      </c>
      <c r="H21" s="445">
        <f>+'1.sz.mell.'!E81</f>
        <v>103877480</v>
      </c>
    </row>
    <row r="22" spans="2:8" s="448" customFormat="1" ht="39" customHeight="1">
      <c r="B22" s="449" t="s">
        <v>265</v>
      </c>
      <c r="C22" s="450">
        <f>+'2.sz.mell.'!E24</f>
        <v>201851422</v>
      </c>
      <c r="D22" s="450">
        <f>+'2.sz.mell.'!F24</f>
        <v>201851422</v>
      </c>
      <c r="E22" s="450">
        <f>+'2.sz.mell.'!G24</f>
        <v>146014804</v>
      </c>
      <c r="F22" s="452"/>
      <c r="G22" s="451"/>
    </row>
    <row r="23" spans="2:8" ht="27.75" customHeight="1">
      <c r="B23" s="443" t="s">
        <v>56</v>
      </c>
      <c r="C23" s="444">
        <f>SUM(C22)</f>
        <v>201851422</v>
      </c>
      <c r="D23" s="444">
        <f>SUM(D22)</f>
        <v>201851422</v>
      </c>
      <c r="E23" s="444">
        <f>SUM(E22)</f>
        <v>146014804</v>
      </c>
      <c r="F23" s="439"/>
      <c r="G23" s="439"/>
    </row>
    <row r="24" spans="2:8" ht="26.25" customHeight="1">
      <c r="B24" s="446" t="s">
        <v>57</v>
      </c>
      <c r="C24" s="444">
        <f>SUM(C21,C23)</f>
        <v>310669863</v>
      </c>
      <c r="D24" s="444">
        <f>SUM(D21,D23)</f>
        <v>337822961</v>
      </c>
      <c r="E24" s="444">
        <f>SUM(E21,E23)</f>
        <v>249892284</v>
      </c>
      <c r="F24" s="447"/>
      <c r="G24" s="439"/>
    </row>
    <row r="25" spans="2:8" ht="18.75">
      <c r="B25" s="439"/>
      <c r="C25" s="439"/>
      <c r="D25" s="439"/>
      <c r="E25" s="564"/>
      <c r="F25" s="439"/>
      <c r="G25" s="439"/>
    </row>
    <row r="26" spans="2:8" ht="18.75">
      <c r="B26" s="439"/>
      <c r="C26" s="447">
        <f>+'2.sz.mell.'!E25</f>
        <v>310669863</v>
      </c>
      <c r="D26" s="447">
        <f>+'2.sz.mell.'!F25</f>
        <v>337822961</v>
      </c>
      <c r="E26" s="447">
        <f>+'2.sz.mell.'!G25</f>
        <v>249892284</v>
      </c>
      <c r="F26" s="439"/>
      <c r="G26" s="439"/>
    </row>
    <row r="27" spans="2:8" ht="18.75">
      <c r="B27" s="439"/>
      <c r="C27" s="447"/>
      <c r="D27" s="439"/>
      <c r="E27" s="439"/>
      <c r="F27" s="439"/>
      <c r="G27" s="439"/>
    </row>
    <row r="28" spans="2:8" ht="18.75">
      <c r="B28" s="439"/>
      <c r="C28" s="439"/>
      <c r="D28" s="447"/>
      <c r="E28" s="447"/>
      <c r="F28" s="439"/>
      <c r="G28" s="439"/>
    </row>
    <row r="29" spans="2:8" ht="18.75">
      <c r="B29" s="439"/>
      <c r="C29" s="439"/>
      <c r="D29" s="439"/>
      <c r="E29" s="439"/>
      <c r="F29" s="439"/>
      <c r="G29" s="439"/>
    </row>
    <row r="30" spans="2:8" ht="18.75">
      <c r="B30" s="439"/>
      <c r="C30" s="439"/>
      <c r="D30" s="439"/>
      <c r="E30" s="439"/>
      <c r="F30" s="439"/>
      <c r="G30" s="439"/>
    </row>
    <row r="31" spans="2:8" ht="18.75">
      <c r="B31" s="439"/>
      <c r="C31" s="439"/>
      <c r="D31" s="439"/>
      <c r="E31" s="439"/>
      <c r="F31" s="439"/>
      <c r="G31" s="439"/>
    </row>
    <row r="32" spans="2:8" ht="18.75">
      <c r="B32" s="439"/>
      <c r="C32" s="439"/>
      <c r="D32" s="439"/>
      <c r="E32" s="439"/>
      <c r="F32" s="439"/>
      <c r="G32" s="439"/>
    </row>
    <row r="33" spans="2:22" ht="18.75">
      <c r="B33" s="439"/>
      <c r="C33" s="439"/>
      <c r="D33" s="439"/>
      <c r="E33" s="439"/>
      <c r="F33" s="439"/>
      <c r="G33" s="439"/>
    </row>
    <row r="47" spans="2:22">
      <c r="F47" s="44">
        <v>69409668</v>
      </c>
      <c r="H47" s="44">
        <v>13721179</v>
      </c>
      <c r="J47" s="44">
        <v>12561989</v>
      </c>
      <c r="V47" s="44">
        <v>1498906</v>
      </c>
    </row>
    <row r="48" spans="2:22">
      <c r="C48" s="44" t="s">
        <v>558</v>
      </c>
      <c r="F48" s="44">
        <v>5116204</v>
      </c>
      <c r="H48" s="44">
        <v>937016</v>
      </c>
      <c r="J48" s="44">
        <v>366871</v>
      </c>
      <c r="L48" s="44">
        <v>108328</v>
      </c>
    </row>
    <row r="49" spans="6:8">
      <c r="H49" s="44">
        <v>1107935</v>
      </c>
    </row>
    <row r="50" spans="6:8">
      <c r="F50" s="44">
        <v>5820000</v>
      </c>
      <c r="H50" s="44">
        <v>1060855</v>
      </c>
    </row>
  </sheetData>
  <mergeCells count="2">
    <mergeCell ref="A3:D3"/>
    <mergeCell ref="A1:D1"/>
  </mergeCells>
  <phoneticPr fontId="0" type="noConversion"/>
  <printOptions horizontalCentered="1"/>
  <pageMargins left="0.35433070866141736" right="0.35433070866141736" top="0.55118110236220474" bottom="0.98425196850393704" header="0.51181102362204722" footer="0.51181102362204722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V143"/>
  <sheetViews>
    <sheetView zoomScaleNormal="100" workbookViewId="0">
      <selection activeCell="D29" sqref="D29"/>
    </sheetView>
  </sheetViews>
  <sheetFormatPr defaultRowHeight="15.75"/>
  <cols>
    <col min="1" max="1" width="5.85546875" style="44" customWidth="1"/>
    <col min="2" max="2" width="62.42578125" style="572" customWidth="1"/>
    <col min="3" max="3" width="30.85546875" style="56" customWidth="1"/>
    <col min="4" max="4" width="18.5703125" style="62" customWidth="1"/>
    <col min="5" max="6" width="17.28515625" style="62" customWidth="1"/>
    <col min="7" max="7" width="11.85546875" style="44" customWidth="1"/>
    <col min="8" max="8" width="13.7109375" style="44" customWidth="1"/>
    <col min="9" max="11" width="9.140625" style="44"/>
    <col min="12" max="12" width="20.42578125" style="44" customWidth="1"/>
    <col min="13" max="16384" width="9.140625" style="44"/>
  </cols>
  <sheetData>
    <row r="1" spans="1:6" ht="30" customHeight="1">
      <c r="A1" s="649" t="s">
        <v>952</v>
      </c>
      <c r="B1" s="649"/>
      <c r="C1" s="649"/>
      <c r="D1" s="649"/>
      <c r="E1" s="649"/>
      <c r="F1" s="550"/>
    </row>
    <row r="2" spans="1:6" ht="30" customHeight="1">
      <c r="A2" s="205"/>
      <c r="B2" s="566"/>
      <c r="C2" s="205"/>
      <c r="D2" s="205"/>
      <c r="E2" s="479"/>
      <c r="F2" s="550"/>
    </row>
    <row r="3" spans="1:6" ht="49.5" customHeight="1">
      <c r="A3" s="702" t="s">
        <v>455</v>
      </c>
      <c r="B3" s="702"/>
      <c r="C3" s="702"/>
      <c r="D3" s="702"/>
      <c r="E3" s="702"/>
      <c r="F3" s="558"/>
    </row>
    <row r="4" spans="1:6">
      <c r="B4" s="567"/>
      <c r="C4" s="51"/>
      <c r="D4" s="52"/>
      <c r="E4" s="52"/>
      <c r="F4" s="52"/>
    </row>
    <row r="5" spans="1:6" ht="19.5" customHeight="1" thickBot="1">
      <c r="B5" s="567"/>
      <c r="C5" s="51"/>
      <c r="D5" s="52"/>
      <c r="E5" s="52"/>
      <c r="F5" s="52" t="s">
        <v>258</v>
      </c>
    </row>
    <row r="6" spans="1:6" s="47" customFormat="1" ht="57" customHeight="1" thickBot="1">
      <c r="B6" s="210" t="s">
        <v>255</v>
      </c>
      <c r="C6" s="210" t="s">
        <v>248</v>
      </c>
      <c r="D6" s="362" t="s">
        <v>454</v>
      </c>
      <c r="E6" s="362" t="s">
        <v>513</v>
      </c>
      <c r="F6" s="362" t="s">
        <v>646</v>
      </c>
    </row>
    <row r="7" spans="1:6">
      <c r="B7" s="568" t="s">
        <v>59</v>
      </c>
      <c r="C7" s="53"/>
      <c r="D7" s="212">
        <f>SUM(D8:D10)</f>
        <v>154824197</v>
      </c>
      <c r="E7" s="212">
        <f>SUM(E8:E10)</f>
        <v>5245643</v>
      </c>
      <c r="F7" s="212">
        <f>SUM(F8:F11)</f>
        <v>6268750</v>
      </c>
    </row>
    <row r="8" spans="1:6">
      <c r="B8" s="569" t="s">
        <v>459</v>
      </c>
      <c r="C8" s="453" t="s">
        <v>249</v>
      </c>
      <c r="D8" s="308">
        <v>148074197</v>
      </c>
      <c r="E8" s="308">
        <v>0</v>
      </c>
      <c r="F8" s="308">
        <v>0</v>
      </c>
    </row>
    <row r="9" spans="1:6">
      <c r="B9" s="569" t="s">
        <v>463</v>
      </c>
      <c r="C9" s="453" t="s">
        <v>249</v>
      </c>
      <c r="D9" s="308">
        <v>1750000</v>
      </c>
      <c r="E9" s="308">
        <v>1268750</v>
      </c>
      <c r="F9" s="308">
        <v>1268750</v>
      </c>
    </row>
    <row r="10" spans="1:6">
      <c r="B10" s="273" t="s">
        <v>661</v>
      </c>
      <c r="C10" s="271" t="s">
        <v>250</v>
      </c>
      <c r="D10" s="272">
        <v>5000000</v>
      </c>
      <c r="E10" s="272">
        <v>3976893</v>
      </c>
      <c r="F10" s="574">
        <v>2500000</v>
      </c>
    </row>
    <row r="11" spans="1:6">
      <c r="B11" s="273" t="s">
        <v>662</v>
      </c>
      <c r="C11" s="271" t="s">
        <v>249</v>
      </c>
      <c r="D11" s="272">
        <v>0</v>
      </c>
      <c r="E11" s="272">
        <v>0</v>
      </c>
      <c r="F11" s="272">
        <v>2500000</v>
      </c>
    </row>
    <row r="12" spans="1:6">
      <c r="B12" s="570" t="s">
        <v>60</v>
      </c>
      <c r="C12" s="53"/>
      <c r="D12" s="331">
        <f>+SUM(D13:D38)</f>
        <v>121747555</v>
      </c>
      <c r="E12" s="331">
        <f>+SUM(E13:E52)</f>
        <v>178226392</v>
      </c>
      <c r="F12" s="331">
        <f>+SUM(F13:F52)</f>
        <v>110593600</v>
      </c>
    </row>
    <row r="13" spans="1:6" ht="18" customHeight="1">
      <c r="B13" s="273" t="s">
        <v>456</v>
      </c>
      <c r="C13" s="271" t="s">
        <v>250</v>
      </c>
      <c r="D13" s="309">
        <v>23529412</v>
      </c>
      <c r="E13" s="309">
        <v>23590250</v>
      </c>
      <c r="F13" s="309">
        <v>23590250</v>
      </c>
    </row>
    <row r="14" spans="1:6" ht="18.75" customHeight="1">
      <c r="B14" s="273" t="s">
        <v>614</v>
      </c>
      <c r="C14" s="271" t="s">
        <v>249</v>
      </c>
      <c r="D14" s="309">
        <v>0</v>
      </c>
      <c r="E14" s="309">
        <v>162688</v>
      </c>
      <c r="F14" s="309">
        <v>162688</v>
      </c>
    </row>
    <row r="15" spans="1:6" ht="18.75" customHeight="1">
      <c r="B15" s="273" t="s">
        <v>615</v>
      </c>
      <c r="C15" s="271" t="s">
        <v>249</v>
      </c>
      <c r="D15" s="309">
        <v>0</v>
      </c>
      <c r="E15" s="309">
        <v>47391</v>
      </c>
      <c r="F15" s="309">
        <v>47391</v>
      </c>
    </row>
    <row r="16" spans="1:6">
      <c r="B16" s="454" t="s">
        <v>457</v>
      </c>
      <c r="C16" s="211" t="s">
        <v>249</v>
      </c>
      <c r="D16" s="309">
        <v>9827883</v>
      </c>
      <c r="E16" s="309">
        <v>7246990</v>
      </c>
      <c r="F16" s="309">
        <v>0</v>
      </c>
    </row>
    <row r="17" spans="2:8">
      <c r="B17" s="454" t="s">
        <v>613</v>
      </c>
      <c r="C17" s="211" t="s">
        <v>249</v>
      </c>
      <c r="D17" s="309">
        <v>0</v>
      </c>
      <c r="E17" s="309">
        <v>175000</v>
      </c>
      <c r="F17" s="309">
        <v>175000</v>
      </c>
    </row>
    <row r="18" spans="2:8">
      <c r="B18" s="454" t="s">
        <v>670</v>
      </c>
      <c r="C18" s="211" t="s">
        <v>249</v>
      </c>
      <c r="D18" s="309">
        <v>23346577</v>
      </c>
      <c r="E18" s="309">
        <v>22423445</v>
      </c>
      <c r="F18" s="309">
        <v>21837650</v>
      </c>
    </row>
    <row r="19" spans="2:8">
      <c r="B19" s="454" t="s">
        <v>458</v>
      </c>
      <c r="C19" s="211" t="s">
        <v>250</v>
      </c>
      <c r="D19" s="309">
        <v>15385528</v>
      </c>
      <c r="E19" s="545">
        <f>15385528-1610000</f>
        <v>13775528</v>
      </c>
      <c r="F19" s="545">
        <f>16464116-1078588</f>
        <v>15385528</v>
      </c>
    </row>
    <row r="20" spans="2:8" ht="31.5">
      <c r="B20" s="454" t="s">
        <v>663</v>
      </c>
      <c r="C20" s="211" t="s">
        <v>249</v>
      </c>
      <c r="D20" s="309">
        <f>2734000+2380000</f>
        <v>5114000</v>
      </c>
      <c r="E20" s="309">
        <v>3828905</v>
      </c>
      <c r="F20" s="545">
        <f>2441067+283337</f>
        <v>2724404</v>
      </c>
      <c r="H20" s="526"/>
    </row>
    <row r="21" spans="2:8">
      <c r="B21" s="454" t="s">
        <v>290</v>
      </c>
      <c r="C21" s="211" t="s">
        <v>249</v>
      </c>
      <c r="D21" s="309">
        <v>33052208</v>
      </c>
      <c r="E21" s="309">
        <f>33052208+26005442+4001</f>
        <v>59061651</v>
      </c>
      <c r="F21" s="545">
        <v>25194784</v>
      </c>
    </row>
    <row r="22" spans="2:8" ht="31.5">
      <c r="B22" s="454" t="s">
        <v>668</v>
      </c>
      <c r="C22" s="211" t="s">
        <v>249</v>
      </c>
      <c r="D22" s="309">
        <v>0</v>
      </c>
      <c r="E22" s="309">
        <v>0</v>
      </c>
      <c r="F22" s="545">
        <v>395784</v>
      </c>
    </row>
    <row r="23" spans="2:8">
      <c r="B23" s="454" t="s">
        <v>671</v>
      </c>
      <c r="C23" s="211" t="s">
        <v>250</v>
      </c>
      <c r="D23" s="309">
        <v>0</v>
      </c>
      <c r="E23" s="309">
        <v>0</v>
      </c>
      <c r="F23" s="545">
        <v>1560322</v>
      </c>
    </row>
    <row r="24" spans="2:8">
      <c r="B24" s="454" t="s">
        <v>667</v>
      </c>
      <c r="C24" s="211" t="s">
        <v>250</v>
      </c>
      <c r="D24" s="309">
        <v>0</v>
      </c>
      <c r="E24" s="309">
        <v>0</v>
      </c>
      <c r="F24" s="545">
        <v>418874</v>
      </c>
    </row>
    <row r="25" spans="2:8">
      <c r="B25" s="454" t="s">
        <v>665</v>
      </c>
      <c r="C25" s="211" t="s">
        <v>250</v>
      </c>
      <c r="D25" s="309">
        <v>1500000</v>
      </c>
      <c r="E25" s="309">
        <v>1500000</v>
      </c>
      <c r="F25" s="309">
        <v>476278</v>
      </c>
    </row>
    <row r="26" spans="2:8">
      <c r="B26" s="454" t="s">
        <v>664</v>
      </c>
      <c r="C26" s="211" t="s">
        <v>249</v>
      </c>
      <c r="D26" s="309">
        <v>0</v>
      </c>
      <c r="E26" s="309">
        <v>0</v>
      </c>
      <c r="F26" s="309">
        <v>73900</v>
      </c>
    </row>
    <row r="27" spans="2:8">
      <c r="B27" s="454" t="s">
        <v>460</v>
      </c>
      <c r="C27" s="211" t="s">
        <v>249</v>
      </c>
      <c r="D27" s="309">
        <v>250000</v>
      </c>
      <c r="E27" s="309">
        <v>250000</v>
      </c>
      <c r="F27" s="309">
        <v>0</v>
      </c>
    </row>
    <row r="28" spans="2:8">
      <c r="B28" s="454" t="s">
        <v>461</v>
      </c>
      <c r="C28" s="211" t="s">
        <v>250</v>
      </c>
      <c r="D28" s="309">
        <v>150000</v>
      </c>
      <c r="E28" s="309">
        <v>150000</v>
      </c>
      <c r="F28" s="309">
        <v>0</v>
      </c>
    </row>
    <row r="29" spans="2:8" ht="31.5">
      <c r="B29" s="454" t="s">
        <v>609</v>
      </c>
      <c r="C29" s="211" t="s">
        <v>249</v>
      </c>
      <c r="D29" s="309">
        <v>0</v>
      </c>
      <c r="E29" s="309">
        <v>398526</v>
      </c>
      <c r="F29" s="309">
        <v>398526</v>
      </c>
    </row>
    <row r="30" spans="2:8">
      <c r="B30" s="454" t="s">
        <v>462</v>
      </c>
      <c r="C30" s="211" t="s">
        <v>249</v>
      </c>
      <c r="D30" s="309">
        <v>130000</v>
      </c>
      <c r="E30" s="309">
        <v>130000</v>
      </c>
      <c r="F30" s="309">
        <v>113665</v>
      </c>
    </row>
    <row r="31" spans="2:8">
      <c r="B31" s="454" t="s">
        <v>464</v>
      </c>
      <c r="C31" s="211" t="s">
        <v>249</v>
      </c>
      <c r="D31" s="309">
        <v>2400000</v>
      </c>
      <c r="E31" s="309">
        <v>2400000</v>
      </c>
      <c r="F31" s="309">
        <v>0</v>
      </c>
    </row>
    <row r="32" spans="2:8">
      <c r="B32" s="454" t="s">
        <v>465</v>
      </c>
      <c r="C32" s="211" t="s">
        <v>250</v>
      </c>
      <c r="D32" s="309">
        <f>4500000+162947</f>
        <v>4662947</v>
      </c>
      <c r="E32" s="545">
        <v>7018888</v>
      </c>
      <c r="F32" s="545">
        <v>1926505</v>
      </c>
    </row>
    <row r="33" spans="2:6">
      <c r="B33" s="454" t="s">
        <v>658</v>
      </c>
      <c r="C33" s="211" t="s">
        <v>250</v>
      </c>
      <c r="D33" s="309">
        <v>0</v>
      </c>
      <c r="E33" s="545">
        <v>0</v>
      </c>
      <c r="F33" s="545">
        <v>2437856</v>
      </c>
    </row>
    <row r="34" spans="2:6">
      <c r="B34" s="454" t="s">
        <v>466</v>
      </c>
      <c r="C34" s="211" t="s">
        <v>249</v>
      </c>
      <c r="D34" s="309">
        <v>1000000</v>
      </c>
      <c r="E34" s="309">
        <v>870499</v>
      </c>
      <c r="F34" s="545">
        <v>870499</v>
      </c>
    </row>
    <row r="35" spans="2:6" ht="31.5">
      <c r="B35" s="454" t="s">
        <v>607</v>
      </c>
      <c r="C35" s="211" t="s">
        <v>249</v>
      </c>
      <c r="D35" s="309">
        <v>324500</v>
      </c>
      <c r="E35" s="309">
        <v>628407</v>
      </c>
      <c r="F35" s="545">
        <f>210185+416433</f>
        <v>626618</v>
      </c>
    </row>
    <row r="36" spans="2:6">
      <c r="B36" s="454" t="s">
        <v>467</v>
      </c>
      <c r="C36" s="211" t="s">
        <v>249</v>
      </c>
      <c r="D36" s="309">
        <v>317500</v>
      </c>
      <c r="E36" s="309">
        <v>297500</v>
      </c>
      <c r="F36" s="309">
        <v>254000</v>
      </c>
    </row>
    <row r="37" spans="2:6">
      <c r="B37" s="454" t="s">
        <v>660</v>
      </c>
      <c r="C37" s="211" t="s">
        <v>249</v>
      </c>
      <c r="D37" s="309">
        <v>127000</v>
      </c>
      <c r="E37" s="309">
        <v>127000</v>
      </c>
      <c r="F37" s="309">
        <v>30208</v>
      </c>
    </row>
    <row r="38" spans="2:6" ht="31.5">
      <c r="B38" s="454" t="s">
        <v>659</v>
      </c>
      <c r="C38" s="455" t="s">
        <v>249</v>
      </c>
      <c r="D38" s="703">
        <v>630000</v>
      </c>
      <c r="E38" s="309">
        <v>321302</v>
      </c>
      <c r="F38" s="309">
        <v>194773</v>
      </c>
    </row>
    <row r="39" spans="2:6">
      <c r="B39" s="454" t="s">
        <v>548</v>
      </c>
      <c r="C39" s="455" t="s">
        <v>249</v>
      </c>
      <c r="D39" s="704"/>
      <c r="E39" s="309">
        <v>69900</v>
      </c>
      <c r="F39" s="309">
        <v>69900</v>
      </c>
    </row>
    <row r="40" spans="2:6">
      <c r="B40" s="454" t="s">
        <v>657</v>
      </c>
      <c r="C40" s="455" t="s">
        <v>249</v>
      </c>
      <c r="D40" s="704"/>
      <c r="E40" s="309">
        <v>38569</v>
      </c>
      <c r="F40" s="309">
        <v>38569</v>
      </c>
    </row>
    <row r="41" spans="2:6">
      <c r="B41" s="454" t="s">
        <v>616</v>
      </c>
      <c r="C41" s="455" t="s">
        <v>249</v>
      </c>
      <c r="D41" s="546"/>
      <c r="E41" s="309">
        <v>280035</v>
      </c>
      <c r="F41" s="309">
        <v>280034</v>
      </c>
    </row>
    <row r="42" spans="2:6">
      <c r="B42" s="454" t="s">
        <v>608</v>
      </c>
      <c r="C42" s="455" t="s">
        <v>249</v>
      </c>
      <c r="D42" s="546"/>
      <c r="E42" s="309">
        <v>329220</v>
      </c>
      <c r="F42" s="309">
        <v>329220</v>
      </c>
    </row>
    <row r="43" spans="2:6">
      <c r="B43" s="454" t="s">
        <v>549</v>
      </c>
      <c r="C43" s="455" t="s">
        <v>250</v>
      </c>
      <c r="D43" s="545">
        <v>0</v>
      </c>
      <c r="E43" s="545">
        <v>414873</v>
      </c>
      <c r="F43" s="545">
        <v>414874</v>
      </c>
    </row>
    <row r="44" spans="2:6">
      <c r="B44" s="454" t="s">
        <v>669</v>
      </c>
      <c r="C44" s="455" t="s">
        <v>250</v>
      </c>
      <c r="D44" s="309">
        <v>0</v>
      </c>
      <c r="E44" s="545">
        <v>18120818</v>
      </c>
      <c r="F44" s="545">
        <v>3963441</v>
      </c>
    </row>
    <row r="45" spans="2:6">
      <c r="B45" s="454" t="s">
        <v>610</v>
      </c>
      <c r="C45" s="455" t="s">
        <v>249</v>
      </c>
      <c r="D45" s="309">
        <v>0</v>
      </c>
      <c r="E45" s="309">
        <v>4896627</v>
      </c>
      <c r="F45" s="309">
        <v>4896627</v>
      </c>
    </row>
    <row r="46" spans="2:6">
      <c r="B46" s="454" t="s">
        <v>611</v>
      </c>
      <c r="C46" s="455" t="s">
        <v>250</v>
      </c>
      <c r="D46" s="309">
        <v>0</v>
      </c>
      <c r="E46" s="309">
        <v>411404</v>
      </c>
      <c r="F46" s="309">
        <v>411404</v>
      </c>
    </row>
    <row r="47" spans="2:6">
      <c r="B47" s="454"/>
      <c r="C47" s="455"/>
      <c r="D47" s="309"/>
      <c r="E47" s="309"/>
      <c r="F47" s="563"/>
    </row>
    <row r="48" spans="2:6">
      <c r="B48" s="454" t="s">
        <v>550</v>
      </c>
      <c r="C48" s="455" t="s">
        <v>249</v>
      </c>
      <c r="D48" s="309">
        <v>0</v>
      </c>
      <c r="E48" s="309">
        <v>7999996</v>
      </c>
      <c r="F48" s="309">
        <v>0</v>
      </c>
    </row>
    <row r="49" spans="2:22">
      <c r="B49" s="454" t="s">
        <v>551</v>
      </c>
      <c r="C49" s="455" t="s">
        <v>250</v>
      </c>
      <c r="D49" s="309">
        <v>0</v>
      </c>
      <c r="E49" s="309">
        <v>270000</v>
      </c>
      <c r="F49" s="309">
        <v>257906</v>
      </c>
    </row>
    <row r="50" spans="2:22">
      <c r="B50" s="454" t="s">
        <v>612</v>
      </c>
      <c r="C50" s="455" t="s">
        <v>249</v>
      </c>
      <c r="D50" s="309">
        <v>0</v>
      </c>
      <c r="E50" s="309">
        <v>10980</v>
      </c>
      <c r="F50" s="309">
        <v>10980</v>
      </c>
    </row>
    <row r="51" spans="2:22">
      <c r="B51" s="454" t="s">
        <v>666</v>
      </c>
      <c r="C51" s="455" t="s">
        <v>249</v>
      </c>
      <c r="D51" s="309">
        <v>0</v>
      </c>
      <c r="E51" s="309">
        <v>0</v>
      </c>
      <c r="F51" s="309">
        <v>61370</v>
      </c>
    </row>
    <row r="52" spans="2:22" ht="31.5">
      <c r="B52" s="454" t="s">
        <v>552</v>
      </c>
      <c r="C52" s="455" t="s">
        <v>249</v>
      </c>
      <c r="D52" s="309">
        <v>0</v>
      </c>
      <c r="E52" s="309">
        <v>980000</v>
      </c>
      <c r="F52" s="309">
        <v>963772</v>
      </c>
    </row>
    <row r="53" spans="2:22" ht="15" customHeight="1">
      <c r="B53" s="112" t="s">
        <v>56</v>
      </c>
      <c r="C53" s="50"/>
      <c r="D53" s="270">
        <f>+D12+D7</f>
        <v>276571752</v>
      </c>
      <c r="E53" s="270">
        <f>+E12+E7</f>
        <v>183472035</v>
      </c>
      <c r="F53" s="270">
        <f>+F12+F7</f>
        <v>116862350</v>
      </c>
    </row>
    <row r="54" spans="2:22" s="47" customFormat="1">
      <c r="B54" s="571"/>
      <c r="C54" s="54"/>
      <c r="D54" s="365"/>
      <c r="E54" s="365"/>
      <c r="F54" s="365"/>
    </row>
    <row r="55" spans="2:22" ht="24.75" customHeight="1">
      <c r="B55" s="571"/>
      <c r="C55" s="54"/>
      <c r="D55" s="55">
        <f>233711826+42859926</f>
        <v>276571752</v>
      </c>
      <c r="E55" s="55">
        <f>+'4.a sz.mell.'!AC66+'4.a sz.mell.'!AF66</f>
        <v>183472035</v>
      </c>
      <c r="F55" s="55">
        <f>+'4.a sz.mell.'!AD66+'4.a sz.mell.'!AG66</f>
        <v>116862350</v>
      </c>
    </row>
    <row r="56" spans="2:22" ht="11.25" customHeight="1">
      <c r="B56" s="571"/>
      <c r="C56" s="54"/>
      <c r="D56" s="55"/>
      <c r="E56" s="55"/>
      <c r="F56" s="55"/>
    </row>
    <row r="57" spans="2:22" s="47" customFormat="1">
      <c r="B57" s="571"/>
      <c r="C57" s="54"/>
      <c r="D57" s="55">
        <f>+D53-D55</f>
        <v>0</v>
      </c>
      <c r="E57" s="55">
        <f>+E53-E55</f>
        <v>0</v>
      </c>
      <c r="F57" s="55">
        <f>+F53-F55</f>
        <v>0</v>
      </c>
    </row>
    <row r="58" spans="2:22" s="47" customFormat="1">
      <c r="B58" s="572"/>
      <c r="C58" s="56"/>
      <c r="D58" s="56"/>
      <c r="E58" s="56"/>
      <c r="F58" s="56"/>
    </row>
    <row r="59" spans="2:22">
      <c r="D59" s="56"/>
      <c r="E59" s="56"/>
      <c r="F59" s="56"/>
    </row>
    <row r="60" spans="2:22" s="47" customFormat="1">
      <c r="B60" s="572"/>
      <c r="C60" s="56"/>
      <c r="D60" s="56"/>
      <c r="E60" s="56"/>
      <c r="F60" s="56"/>
    </row>
    <row r="61" spans="2:22">
      <c r="D61" s="56"/>
      <c r="E61" s="56"/>
      <c r="F61" s="56"/>
    </row>
    <row r="62" spans="2:22">
      <c r="D62" s="56"/>
      <c r="E62" s="56">
        <v>69409668</v>
      </c>
      <c r="F62" s="56"/>
      <c r="H62" s="44">
        <v>13721179</v>
      </c>
      <c r="J62" s="44">
        <v>12561989</v>
      </c>
      <c r="V62" s="44">
        <v>1498906</v>
      </c>
    </row>
    <row r="63" spans="2:22">
      <c r="C63" s="56" t="s">
        <v>558</v>
      </c>
      <c r="D63" s="56"/>
      <c r="E63" s="56">
        <v>5116204</v>
      </c>
      <c r="F63" s="56"/>
      <c r="H63" s="44">
        <v>937016</v>
      </c>
      <c r="J63" s="44">
        <v>366871</v>
      </c>
      <c r="L63" s="44">
        <v>108328</v>
      </c>
    </row>
    <row r="64" spans="2:22">
      <c r="D64" s="56"/>
      <c r="E64" s="56"/>
      <c r="F64" s="56"/>
      <c r="H64" s="44">
        <v>1107935</v>
      </c>
    </row>
    <row r="65" spans="2:8">
      <c r="D65" s="56"/>
      <c r="E65" s="56">
        <v>5820000</v>
      </c>
      <c r="F65" s="56"/>
      <c r="H65" s="44">
        <v>1060855</v>
      </c>
    </row>
    <row r="66" spans="2:8">
      <c r="D66" s="56"/>
      <c r="E66" s="56"/>
      <c r="F66" s="56"/>
    </row>
    <row r="67" spans="2:8">
      <c r="D67" s="56"/>
      <c r="E67" s="56"/>
      <c r="F67" s="56"/>
    </row>
    <row r="68" spans="2:8">
      <c r="D68" s="56"/>
      <c r="E68" s="56"/>
      <c r="F68" s="56"/>
    </row>
    <row r="69" spans="2:8">
      <c r="D69" s="56"/>
      <c r="E69" s="56"/>
      <c r="F69" s="56"/>
    </row>
    <row r="70" spans="2:8">
      <c r="D70" s="56"/>
      <c r="E70" s="56"/>
      <c r="F70" s="56"/>
    </row>
    <row r="71" spans="2:8">
      <c r="C71" s="57"/>
      <c r="D71" s="58"/>
      <c r="E71" s="58"/>
      <c r="F71" s="58"/>
    </row>
    <row r="72" spans="2:8">
      <c r="C72" s="57"/>
      <c r="D72" s="58"/>
      <c r="E72" s="58"/>
      <c r="F72" s="58"/>
    </row>
    <row r="73" spans="2:8">
      <c r="C73" s="57"/>
      <c r="D73" s="58"/>
      <c r="E73" s="58"/>
      <c r="F73" s="58"/>
    </row>
    <row r="74" spans="2:8">
      <c r="C74" s="57"/>
      <c r="D74" s="58"/>
      <c r="E74" s="58"/>
      <c r="F74" s="58"/>
    </row>
    <row r="75" spans="2:8" s="49" customFormat="1">
      <c r="B75" s="572"/>
      <c r="C75" s="57"/>
      <c r="D75" s="58"/>
      <c r="E75" s="58"/>
      <c r="F75" s="58"/>
    </row>
    <row r="76" spans="2:8" s="47" customFormat="1">
      <c r="B76" s="572"/>
      <c r="C76" s="57"/>
      <c r="D76" s="58"/>
      <c r="E76" s="58"/>
      <c r="F76" s="58"/>
    </row>
    <row r="77" spans="2:8" s="59" customFormat="1">
      <c r="B77" s="572"/>
      <c r="C77" s="57"/>
      <c r="D77" s="58"/>
      <c r="E77" s="58"/>
      <c r="F77" s="58"/>
    </row>
    <row r="78" spans="2:8">
      <c r="C78" s="57"/>
      <c r="D78" s="58"/>
      <c r="E78" s="58"/>
      <c r="F78" s="58"/>
    </row>
    <row r="79" spans="2:8">
      <c r="C79" s="57"/>
      <c r="D79" s="58"/>
      <c r="E79" s="58"/>
      <c r="F79" s="58"/>
    </row>
    <row r="80" spans="2:8">
      <c r="C80" s="57"/>
      <c r="D80" s="58"/>
      <c r="E80" s="58"/>
      <c r="F80" s="58"/>
    </row>
    <row r="81" spans="2:6">
      <c r="C81" s="57"/>
      <c r="D81" s="58"/>
      <c r="E81" s="58"/>
      <c r="F81" s="58"/>
    </row>
    <row r="82" spans="2:6">
      <c r="C82" s="57"/>
      <c r="D82" s="58"/>
      <c r="E82" s="58"/>
      <c r="F82" s="58"/>
    </row>
    <row r="83" spans="2:6">
      <c r="C83" s="57"/>
      <c r="D83" s="58"/>
      <c r="E83" s="58"/>
      <c r="F83" s="58"/>
    </row>
    <row r="84" spans="2:6">
      <c r="C84" s="57"/>
      <c r="D84" s="58"/>
      <c r="E84" s="58"/>
      <c r="F84" s="58"/>
    </row>
    <row r="85" spans="2:6">
      <c r="C85" s="57"/>
      <c r="D85" s="58"/>
      <c r="E85" s="58"/>
      <c r="F85" s="58"/>
    </row>
    <row r="86" spans="2:6">
      <c r="C86" s="57"/>
      <c r="D86" s="58"/>
      <c r="E86" s="58"/>
      <c r="F86" s="58"/>
    </row>
    <row r="87" spans="2:6">
      <c r="C87" s="57"/>
      <c r="D87" s="58"/>
      <c r="E87" s="58"/>
      <c r="F87" s="58"/>
    </row>
    <row r="88" spans="2:6">
      <c r="C88" s="57"/>
      <c r="D88" s="58"/>
      <c r="E88" s="58"/>
      <c r="F88" s="58"/>
    </row>
    <row r="89" spans="2:6">
      <c r="B89" s="571"/>
      <c r="C89" s="54"/>
      <c r="D89" s="60"/>
      <c r="E89" s="60"/>
      <c r="F89" s="60"/>
    </row>
    <row r="90" spans="2:6">
      <c r="D90" s="56"/>
      <c r="E90" s="56"/>
      <c r="F90" s="56"/>
    </row>
    <row r="91" spans="2:6">
      <c r="D91" s="56"/>
      <c r="E91" s="56"/>
      <c r="F91" s="56"/>
    </row>
    <row r="92" spans="2:6" s="47" customFormat="1">
      <c r="B92" s="571"/>
      <c r="C92" s="54"/>
      <c r="D92" s="54"/>
      <c r="E92" s="54"/>
      <c r="F92" s="54"/>
    </row>
    <row r="93" spans="2:6">
      <c r="D93" s="56"/>
      <c r="E93" s="56"/>
      <c r="F93" s="56"/>
    </row>
    <row r="94" spans="2:6">
      <c r="D94" s="56"/>
      <c r="E94" s="56"/>
      <c r="F94" s="56"/>
    </row>
    <row r="95" spans="2:6" s="47" customFormat="1">
      <c r="B95" s="571"/>
      <c r="C95" s="54"/>
      <c r="D95" s="56"/>
      <c r="E95" s="56"/>
      <c r="F95" s="56"/>
    </row>
    <row r="96" spans="2:6">
      <c r="C96" s="57"/>
      <c r="D96" s="61"/>
      <c r="E96" s="61"/>
      <c r="F96" s="61"/>
    </row>
    <row r="97" spans="2:6">
      <c r="C97" s="57"/>
      <c r="D97" s="61"/>
      <c r="E97" s="61"/>
      <c r="F97" s="61"/>
    </row>
    <row r="98" spans="2:6">
      <c r="C98" s="57"/>
      <c r="D98" s="61"/>
      <c r="E98" s="61"/>
      <c r="F98" s="61"/>
    </row>
    <row r="99" spans="2:6">
      <c r="C99" s="57"/>
      <c r="D99" s="61"/>
      <c r="E99" s="61"/>
      <c r="F99" s="61"/>
    </row>
    <row r="100" spans="2:6">
      <c r="C100" s="57"/>
      <c r="D100" s="61"/>
      <c r="E100" s="61"/>
      <c r="F100" s="61"/>
    </row>
    <row r="101" spans="2:6">
      <c r="C101" s="57"/>
      <c r="D101" s="61"/>
      <c r="E101" s="61"/>
      <c r="F101" s="61"/>
    </row>
    <row r="102" spans="2:6">
      <c r="C102" s="57"/>
      <c r="D102" s="61"/>
      <c r="E102" s="61"/>
      <c r="F102" s="61"/>
    </row>
    <row r="103" spans="2:6">
      <c r="C103" s="57"/>
      <c r="D103" s="61"/>
      <c r="E103" s="61"/>
      <c r="F103" s="61"/>
    </row>
    <row r="104" spans="2:6">
      <c r="B104" s="571"/>
      <c r="C104" s="54"/>
      <c r="D104" s="55"/>
      <c r="E104" s="55"/>
      <c r="F104" s="55"/>
    </row>
    <row r="105" spans="2:6">
      <c r="B105" s="571"/>
      <c r="C105" s="54"/>
    </row>
    <row r="106" spans="2:6">
      <c r="D106" s="55"/>
      <c r="E106" s="55"/>
      <c r="F106" s="55"/>
    </row>
    <row r="107" spans="2:6">
      <c r="B107" s="571"/>
      <c r="C107" s="54"/>
    </row>
    <row r="109" spans="2:6">
      <c r="D109" s="55"/>
      <c r="E109" s="55"/>
      <c r="F109" s="55"/>
    </row>
    <row r="110" spans="2:6">
      <c r="B110" s="571"/>
      <c r="C110" s="54"/>
      <c r="D110" s="55"/>
      <c r="E110" s="55"/>
      <c r="F110" s="55"/>
    </row>
    <row r="111" spans="2:6">
      <c r="B111" s="571"/>
      <c r="C111" s="54"/>
    </row>
    <row r="112" spans="2:6">
      <c r="D112" s="55"/>
      <c r="E112" s="55"/>
      <c r="F112" s="55"/>
    </row>
    <row r="113" spans="2:6">
      <c r="B113" s="571"/>
      <c r="C113" s="54"/>
      <c r="D113" s="61"/>
      <c r="E113" s="61"/>
      <c r="F113" s="61"/>
    </row>
    <row r="114" spans="2:6">
      <c r="B114" s="573"/>
      <c r="C114" s="63"/>
      <c r="D114" s="61"/>
      <c r="E114" s="61"/>
      <c r="F114" s="61"/>
    </row>
    <row r="115" spans="2:6">
      <c r="B115" s="573"/>
      <c r="C115" s="63"/>
      <c r="D115" s="61"/>
      <c r="E115" s="61"/>
      <c r="F115" s="61"/>
    </row>
    <row r="116" spans="2:6">
      <c r="B116" s="573"/>
      <c r="C116" s="63"/>
      <c r="D116" s="61"/>
      <c r="E116" s="61"/>
      <c r="F116" s="61"/>
    </row>
    <row r="117" spans="2:6">
      <c r="B117" s="573"/>
      <c r="C117" s="63"/>
      <c r="D117" s="61"/>
      <c r="E117" s="61"/>
      <c r="F117" s="61"/>
    </row>
    <row r="118" spans="2:6">
      <c r="B118" s="573"/>
      <c r="C118" s="63"/>
      <c r="D118" s="61"/>
      <c r="E118" s="61"/>
      <c r="F118" s="61"/>
    </row>
    <row r="119" spans="2:6">
      <c r="B119" s="573"/>
      <c r="C119" s="63"/>
      <c r="D119" s="61"/>
      <c r="E119" s="61"/>
      <c r="F119" s="61"/>
    </row>
    <row r="120" spans="2:6">
      <c r="B120" s="573"/>
      <c r="C120" s="63"/>
      <c r="D120" s="61"/>
      <c r="E120" s="61"/>
      <c r="F120" s="61"/>
    </row>
    <row r="121" spans="2:6">
      <c r="B121" s="573"/>
      <c r="C121" s="63"/>
      <c r="D121" s="61"/>
      <c r="E121" s="61"/>
      <c r="F121" s="61"/>
    </row>
    <row r="122" spans="2:6">
      <c r="B122" s="573"/>
      <c r="C122" s="63"/>
    </row>
    <row r="129" spans="2:6">
      <c r="D129" s="55"/>
      <c r="E129" s="55"/>
      <c r="F129" s="55"/>
    </row>
    <row r="130" spans="2:6">
      <c r="B130" s="571"/>
      <c r="C130" s="54"/>
    </row>
    <row r="131" spans="2:6">
      <c r="D131" s="55"/>
      <c r="E131" s="55"/>
      <c r="F131" s="55"/>
    </row>
    <row r="132" spans="2:6">
      <c r="B132" s="571"/>
      <c r="C132" s="54"/>
    </row>
    <row r="135" spans="2:6">
      <c r="D135" s="55"/>
      <c r="E135" s="55"/>
      <c r="F135" s="55"/>
    </row>
    <row r="136" spans="2:6">
      <c r="D136" s="56"/>
      <c r="E136" s="56"/>
      <c r="F136" s="56"/>
    </row>
    <row r="137" spans="2:6">
      <c r="D137" s="55"/>
      <c r="E137" s="55"/>
      <c r="F137" s="55"/>
    </row>
    <row r="138" spans="2:6">
      <c r="B138" s="571"/>
      <c r="C138" s="54"/>
      <c r="D138" s="61"/>
      <c r="E138" s="61"/>
      <c r="F138" s="61"/>
    </row>
    <row r="139" spans="2:6">
      <c r="B139" s="573"/>
      <c r="C139" s="63"/>
    </row>
    <row r="140" spans="2:6">
      <c r="D140" s="55"/>
      <c r="E140" s="55"/>
      <c r="F140" s="55"/>
    </row>
    <row r="141" spans="2:6">
      <c r="B141" s="571"/>
      <c r="C141" s="54"/>
    </row>
    <row r="142" spans="2:6">
      <c r="D142" s="55"/>
      <c r="E142" s="55"/>
      <c r="F142" s="55"/>
    </row>
    <row r="143" spans="2:6">
      <c r="B143" s="571"/>
      <c r="C143" s="54"/>
    </row>
  </sheetData>
  <mergeCells count="3">
    <mergeCell ref="A3:E3"/>
    <mergeCell ref="A1:E1"/>
    <mergeCell ref="D38:D40"/>
  </mergeCells>
  <phoneticPr fontId="0" type="noConversion"/>
  <printOptions horizontalCentered="1"/>
  <pageMargins left="0.39370078740157483" right="0.39370078740157483" top="0.35433070866141736" bottom="0.6692913385826772" header="0.35433070866141736" footer="0.27559055118110237"/>
  <pageSetup paperSize="9" scale="6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27"/>
  <sheetViews>
    <sheetView view="pageBreakPreview" zoomScale="60" zoomScaleNormal="100" workbookViewId="0">
      <selection activeCell="Q6" sqref="Q6"/>
    </sheetView>
  </sheetViews>
  <sheetFormatPr defaultColWidth="8.85546875" defaultRowHeight="15.75"/>
  <cols>
    <col min="1" max="2" width="5.28515625" style="36" customWidth="1"/>
    <col min="3" max="3" width="3.85546875" style="65" bestFit="1" customWidth="1"/>
    <col min="4" max="4" width="12.140625" style="66" bestFit="1" customWidth="1"/>
    <col min="5" max="5" width="43.42578125" style="70" customWidth="1"/>
    <col min="6" max="6" width="18.7109375" style="70" customWidth="1"/>
    <col min="7" max="7" width="21.28515625" style="70" customWidth="1"/>
    <col min="8" max="8" width="19.85546875" style="70" customWidth="1"/>
    <col min="9" max="12" width="8.85546875" style="70"/>
    <col min="13" max="16384" width="8.85546875" style="36"/>
  </cols>
  <sheetData>
    <row r="1" spans="1:12" s="81" customFormat="1">
      <c r="A1" s="705" t="s">
        <v>953</v>
      </c>
      <c r="B1" s="705"/>
      <c r="C1" s="705"/>
      <c r="D1" s="705"/>
      <c r="E1" s="705"/>
      <c r="F1" s="705"/>
      <c r="G1" s="705"/>
      <c r="H1" s="705"/>
      <c r="I1" s="705"/>
      <c r="J1" s="66"/>
      <c r="K1" s="66"/>
      <c r="L1" s="66"/>
    </row>
    <row r="2" spans="1:12">
      <c r="E2" s="67"/>
      <c r="F2" s="67"/>
      <c r="G2" s="69"/>
    </row>
    <row r="3" spans="1:12">
      <c r="E3" s="67"/>
      <c r="F3" s="68"/>
      <c r="G3" s="69"/>
    </row>
    <row r="4" spans="1:12" ht="27.75" customHeight="1">
      <c r="A4" s="709" t="s">
        <v>61</v>
      </c>
      <c r="B4" s="709"/>
      <c r="C4" s="709"/>
      <c r="D4" s="709"/>
      <c r="E4" s="709"/>
      <c r="F4" s="709"/>
      <c r="G4" s="709"/>
      <c r="H4" s="709"/>
      <c r="I4" s="71"/>
      <c r="J4" s="71"/>
      <c r="K4" s="71"/>
      <c r="L4" s="71"/>
    </row>
    <row r="5" spans="1:12" ht="39" customHeight="1">
      <c r="A5" s="709" t="s">
        <v>468</v>
      </c>
      <c r="B5" s="709"/>
      <c r="C5" s="709"/>
      <c r="D5" s="709"/>
      <c r="E5" s="709"/>
      <c r="F5" s="709"/>
      <c r="G5" s="709"/>
      <c r="H5" s="243"/>
      <c r="I5" s="71"/>
      <c r="J5" s="71"/>
      <c r="K5" s="71"/>
      <c r="L5" s="71"/>
    </row>
    <row r="6" spans="1:12" ht="16.5" customHeight="1">
      <c r="D6" s="72"/>
      <c r="E6" s="72"/>
      <c r="F6" s="72"/>
      <c r="G6" s="72"/>
      <c r="H6" s="72"/>
      <c r="I6" s="72"/>
      <c r="J6" s="72"/>
      <c r="K6" s="71"/>
      <c r="L6" s="71"/>
    </row>
    <row r="7" spans="1:12" s="73" customFormat="1" ht="96" customHeight="1">
      <c r="C7" s="201" t="s">
        <v>158</v>
      </c>
      <c r="D7" s="74" t="s">
        <v>62</v>
      </c>
      <c r="E7" s="74" t="s">
        <v>63</v>
      </c>
      <c r="F7" s="192" t="s">
        <v>469</v>
      </c>
      <c r="G7" s="192" t="s">
        <v>483</v>
      </c>
      <c r="H7" s="192" t="s">
        <v>648</v>
      </c>
      <c r="I7" s="75"/>
    </row>
    <row r="8" spans="1:12" s="73" customFormat="1">
      <c r="C8" s="198"/>
      <c r="D8" s="195" t="s">
        <v>165</v>
      </c>
      <c r="E8" s="76" t="s">
        <v>64</v>
      </c>
      <c r="F8" s="390">
        <f>+'4.a sz.mell.'!AK6</f>
        <v>1</v>
      </c>
      <c r="G8" s="390">
        <f>+'4.a sz.mell.'!AL6</f>
        <v>1</v>
      </c>
      <c r="H8" s="390">
        <f>+'4.a sz.mell.'!AM6</f>
        <v>1</v>
      </c>
      <c r="I8" s="75"/>
    </row>
    <row r="9" spans="1:12" s="73" customFormat="1">
      <c r="C9" s="193"/>
      <c r="D9" s="195" t="s">
        <v>167</v>
      </c>
      <c r="E9" s="76" t="s">
        <v>166</v>
      </c>
      <c r="F9" s="390">
        <f>+'4.a sz.mell.'!AK19</f>
        <v>1</v>
      </c>
      <c r="G9" s="390">
        <f>+'4.a sz.mell.'!AL19</f>
        <v>1</v>
      </c>
      <c r="H9" s="390">
        <f>+'4.a sz.mell.'!AM19</f>
        <v>1</v>
      </c>
      <c r="I9" s="75"/>
    </row>
    <row r="10" spans="1:12" s="73" customFormat="1">
      <c r="C10" s="193"/>
      <c r="D10" s="196" t="s">
        <v>168</v>
      </c>
      <c r="E10" s="76" t="s">
        <v>169</v>
      </c>
      <c r="F10" s="390">
        <f>+'4.a sz.mell.'!AK20</f>
        <v>9</v>
      </c>
      <c r="G10" s="390">
        <f>+'4.a sz.mell.'!AL20</f>
        <v>10</v>
      </c>
      <c r="H10" s="390">
        <f>+'4.a sz.mell.'!AM20</f>
        <v>10</v>
      </c>
      <c r="I10" s="75"/>
    </row>
    <row r="11" spans="1:12" s="73" customFormat="1">
      <c r="C11" s="193"/>
      <c r="D11" s="196" t="s">
        <v>170</v>
      </c>
      <c r="E11" s="76" t="s">
        <v>48</v>
      </c>
      <c r="F11" s="390">
        <f>+'4.a sz.mell.'!AK22</f>
        <v>3</v>
      </c>
      <c r="G11" s="390">
        <f>+'4.a sz.mell.'!AL22</f>
        <v>3</v>
      </c>
      <c r="H11" s="390">
        <f>+'4.a sz.mell.'!AM22</f>
        <v>3</v>
      </c>
      <c r="I11" s="75"/>
    </row>
    <row r="12" spans="1:12" s="73" customFormat="1">
      <c r="C12" s="194"/>
      <c r="D12" s="77">
        <v>104044</v>
      </c>
      <c r="E12" s="76" t="s">
        <v>172</v>
      </c>
      <c r="F12" s="390">
        <f>+'4.a sz.mell.'!AK27</f>
        <v>2</v>
      </c>
      <c r="G12" s="390">
        <f>+'4.a sz.mell.'!AL27</f>
        <v>2</v>
      </c>
      <c r="H12" s="390">
        <f>+'4.a sz.mell.'!AM27</f>
        <v>2</v>
      </c>
      <c r="I12" s="75"/>
    </row>
    <row r="13" spans="1:12" s="73" customFormat="1">
      <c r="C13" s="193"/>
      <c r="D13" s="476" t="s">
        <v>487</v>
      </c>
      <c r="E13" s="76" t="s">
        <v>488</v>
      </c>
      <c r="F13" s="390">
        <f>+'4.a sz.mell.'!AK31</f>
        <v>0</v>
      </c>
      <c r="G13" s="390">
        <f>+'4.a sz.mell.'!AL16</f>
        <v>1</v>
      </c>
      <c r="H13" s="390">
        <f>+'4.a sz.mell.'!AM16</f>
        <v>1</v>
      </c>
      <c r="I13" s="75"/>
    </row>
    <row r="14" spans="1:12" s="73" customFormat="1">
      <c r="C14" s="182" t="s">
        <v>38</v>
      </c>
      <c r="D14" s="79" t="s">
        <v>176</v>
      </c>
      <c r="E14" s="220"/>
      <c r="F14" s="456">
        <f>SUM(F8:F13)</f>
        <v>16</v>
      </c>
      <c r="G14" s="456">
        <f>SUM(G8:G13)</f>
        <v>18</v>
      </c>
      <c r="H14" s="456">
        <f>SUM(H8:H13)</f>
        <v>18</v>
      </c>
      <c r="I14" s="75"/>
    </row>
    <row r="15" spans="1:12" s="73" customFormat="1" ht="19.5" customHeight="1">
      <c r="C15" s="182"/>
      <c r="D15" s="197" t="s">
        <v>165</v>
      </c>
      <c r="E15" s="78" t="s">
        <v>180</v>
      </c>
      <c r="F15" s="391">
        <f>+'4.a sz.mell.'!AK48</f>
        <v>17</v>
      </c>
      <c r="G15" s="391">
        <f>+'4.a sz.mell.'!AL48</f>
        <v>17</v>
      </c>
      <c r="H15" s="391">
        <f>+'4.a sz.mell.'!AM48</f>
        <v>17</v>
      </c>
      <c r="I15" s="75"/>
    </row>
    <row r="16" spans="1:12">
      <c r="C16" s="199" t="s">
        <v>39</v>
      </c>
      <c r="D16" s="79" t="s">
        <v>175</v>
      </c>
      <c r="E16" s="80"/>
      <c r="F16" s="457">
        <f>F15</f>
        <v>17</v>
      </c>
      <c r="G16" s="457">
        <f>G15</f>
        <v>17</v>
      </c>
      <c r="H16" s="457">
        <f>H15</f>
        <v>17</v>
      </c>
      <c r="J16" s="36"/>
      <c r="K16" s="36"/>
      <c r="L16" s="36"/>
    </row>
    <row r="17" spans="3:12">
      <c r="C17" s="193"/>
      <c r="D17" s="195" t="s">
        <v>229</v>
      </c>
      <c r="E17" s="76" t="s">
        <v>253</v>
      </c>
      <c r="F17" s="390">
        <f>+'4.a sz.mell.'!AK49</f>
        <v>3</v>
      </c>
      <c r="G17" s="390">
        <f>+'4.a sz.mell.'!AL49</f>
        <v>3</v>
      </c>
      <c r="H17" s="390">
        <f>+'4.a sz.mell.'!AM49</f>
        <v>3</v>
      </c>
      <c r="J17" s="36"/>
      <c r="K17" s="36"/>
      <c r="L17" s="36"/>
    </row>
    <row r="18" spans="3:12" ht="18" customHeight="1">
      <c r="C18" s="200" t="s">
        <v>41</v>
      </c>
      <c r="D18" s="79" t="s">
        <v>173</v>
      </c>
      <c r="E18" s="80"/>
      <c r="F18" s="310">
        <f>SUM(F17)</f>
        <v>3</v>
      </c>
      <c r="G18" s="310">
        <f>SUM(G17)</f>
        <v>3</v>
      </c>
      <c r="H18" s="310">
        <f>SUM(H17)</f>
        <v>3</v>
      </c>
      <c r="J18" s="36"/>
      <c r="K18" s="36"/>
      <c r="L18" s="36"/>
    </row>
    <row r="19" spans="3:12">
      <c r="C19" s="193"/>
      <c r="D19" s="195" t="s">
        <v>234</v>
      </c>
      <c r="E19" s="76" t="s">
        <v>160</v>
      </c>
      <c r="F19" s="390">
        <f>+'4.a sz.mell.'!AK56</f>
        <v>1</v>
      </c>
      <c r="G19" s="390">
        <f>+'4.a sz.mell.'!AL56</f>
        <v>1</v>
      </c>
      <c r="H19" s="390">
        <f>+'4.a sz.mell.'!AM56</f>
        <v>1</v>
      </c>
      <c r="J19" s="36"/>
      <c r="K19" s="36"/>
      <c r="L19" s="36"/>
    </row>
    <row r="20" spans="3:12">
      <c r="C20" s="200" t="s">
        <v>43</v>
      </c>
      <c r="D20" s="79" t="s">
        <v>174</v>
      </c>
      <c r="E20" s="80"/>
      <c r="F20" s="310">
        <v>1</v>
      </c>
      <c r="G20" s="310">
        <v>1</v>
      </c>
      <c r="H20" s="310">
        <v>1</v>
      </c>
      <c r="J20" s="36"/>
      <c r="K20" s="36"/>
      <c r="L20" s="36"/>
    </row>
    <row r="21" spans="3:12">
      <c r="C21" s="193"/>
      <c r="D21" s="77">
        <v>107052</v>
      </c>
      <c r="E21" s="76" t="s">
        <v>225</v>
      </c>
      <c r="F21" s="390">
        <f>+'4.a sz.mell.'!AK57</f>
        <v>4</v>
      </c>
      <c r="G21" s="390">
        <f>+'4.a sz.mell.'!AL57</f>
        <v>4</v>
      </c>
      <c r="H21" s="390">
        <f>+'4.a sz.mell.'!AM57</f>
        <v>4</v>
      </c>
      <c r="J21" s="36"/>
      <c r="K21" s="36"/>
      <c r="L21" s="36"/>
    </row>
    <row r="22" spans="3:12">
      <c r="C22" s="193"/>
      <c r="D22" s="77">
        <v>104042</v>
      </c>
      <c r="E22" s="76" t="s">
        <v>226</v>
      </c>
      <c r="F22" s="390">
        <f>+'4.a sz.mell.'!AK58</f>
        <v>2</v>
      </c>
      <c r="G22" s="390">
        <f>+'4.a sz.mell.'!AL58</f>
        <v>2</v>
      </c>
      <c r="H22" s="390">
        <f>+'4.a sz.mell.'!AM58</f>
        <v>2</v>
      </c>
      <c r="J22" s="36"/>
      <c r="K22" s="36"/>
      <c r="L22" s="36"/>
    </row>
    <row r="23" spans="3:12">
      <c r="C23" s="193"/>
      <c r="D23" s="77">
        <v>102031</v>
      </c>
      <c r="E23" s="76" t="s">
        <v>227</v>
      </c>
      <c r="F23" s="390">
        <f>+'4.a sz.mell.'!AK59</f>
        <v>2</v>
      </c>
      <c r="G23" s="390">
        <f>+'4.a sz.mell.'!AL59</f>
        <v>6</v>
      </c>
      <c r="H23" s="390">
        <f>+'4.a sz.mell.'!AM59</f>
        <v>6</v>
      </c>
      <c r="J23" s="36"/>
      <c r="K23" s="36"/>
      <c r="L23" s="36"/>
    </row>
    <row r="24" spans="3:12">
      <c r="C24" s="193"/>
      <c r="D24" s="77">
        <v>107051</v>
      </c>
      <c r="E24" s="76" t="s">
        <v>228</v>
      </c>
      <c r="F24" s="390">
        <f>+'4.a sz.mell.'!AK61</f>
        <v>1</v>
      </c>
      <c r="G24" s="390">
        <f>+'4.a sz.mell.'!AL61</f>
        <v>1</v>
      </c>
      <c r="H24" s="390">
        <f>+'4.a sz.mell.'!AM61</f>
        <v>1</v>
      </c>
      <c r="J24" s="36"/>
      <c r="K24" s="36"/>
      <c r="L24" s="36"/>
    </row>
    <row r="25" spans="3:12">
      <c r="C25" s="193"/>
      <c r="D25" s="196" t="s">
        <v>171</v>
      </c>
      <c r="E25" s="76" t="s">
        <v>65</v>
      </c>
      <c r="F25" s="390">
        <f>+'4.a sz.mell.'!AK64</f>
        <v>9</v>
      </c>
      <c r="G25" s="390">
        <f>+'4.a sz.mell.'!AL64</f>
        <v>8</v>
      </c>
      <c r="H25" s="390">
        <f>+'4.a sz.mell.'!AM64</f>
        <v>8</v>
      </c>
      <c r="J25" s="36"/>
      <c r="K25" s="36"/>
      <c r="L25" s="36"/>
    </row>
    <row r="26" spans="3:12" ht="19.5" customHeight="1">
      <c r="C26" s="200" t="s">
        <v>156</v>
      </c>
      <c r="D26" s="79" t="s">
        <v>254</v>
      </c>
      <c r="E26" s="80"/>
      <c r="F26" s="310">
        <f>SUM(F21:F25)</f>
        <v>18</v>
      </c>
      <c r="G26" s="310">
        <f>SUM(G21:G25)</f>
        <v>21</v>
      </c>
      <c r="H26" s="310">
        <f>SUM(H21:H25)</f>
        <v>21</v>
      </c>
      <c r="J26" s="36"/>
      <c r="K26" s="36"/>
      <c r="L26" s="36"/>
    </row>
    <row r="27" spans="3:12" ht="36" customHeight="1">
      <c r="C27" s="706" t="s">
        <v>66</v>
      </c>
      <c r="D27" s="707"/>
      <c r="E27" s="708"/>
      <c r="F27" s="311">
        <f>SUM(F14,F16,F18,F20,F26)</f>
        <v>55</v>
      </c>
      <c r="G27" s="311">
        <f>SUM(G14,G16,G18,G20,G26)</f>
        <v>60</v>
      </c>
      <c r="H27" s="311">
        <f>SUM(H14,H16,H18,H20,H26)</f>
        <v>60</v>
      </c>
      <c r="J27" s="36"/>
      <c r="K27" s="36"/>
      <c r="L27" s="36"/>
    </row>
  </sheetData>
  <mergeCells count="4">
    <mergeCell ref="A1:I1"/>
    <mergeCell ref="C27:E27"/>
    <mergeCell ref="A4:H4"/>
    <mergeCell ref="A5:G5"/>
  </mergeCells>
  <phoneticPr fontId="0" type="noConversion"/>
  <printOptions horizontalCentered="1"/>
  <pageMargins left="0.74803149606299213" right="0.70866141732283472" top="0.31496062992125984" bottom="0.27559055118110237" header="0.31496062992125984" footer="0.31496062992125984"/>
  <pageSetup paperSize="9" scale="66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23</vt:i4>
      </vt:variant>
    </vt:vector>
  </HeadingPairs>
  <TitlesOfParts>
    <vt:vector size="46" baseType="lpstr">
      <vt:lpstr>1.sz.mell.</vt:lpstr>
      <vt:lpstr>2.sz.mell.</vt:lpstr>
      <vt:lpstr>3.sz.mell.</vt:lpstr>
      <vt:lpstr>4.a sz.mell.</vt:lpstr>
      <vt:lpstr>4 b.sz.mell.</vt:lpstr>
      <vt:lpstr>5.sz.mell.</vt:lpstr>
      <vt:lpstr>6.sz.mell.</vt:lpstr>
      <vt:lpstr>7.sz.mell.</vt:lpstr>
      <vt:lpstr>8.sz.mell.</vt:lpstr>
      <vt:lpstr>9.sz.mell.</vt:lpstr>
      <vt:lpstr>10.sz.mell.</vt:lpstr>
      <vt:lpstr>11.sz.mell.</vt:lpstr>
      <vt:lpstr>12.sz.mell.</vt:lpstr>
      <vt:lpstr>13.sz.mell.</vt:lpstr>
      <vt:lpstr>14.sz.m</vt:lpstr>
      <vt:lpstr>15.sz.m.</vt:lpstr>
      <vt:lpstr>16.sz.m.</vt:lpstr>
      <vt:lpstr>17.sz.mell</vt:lpstr>
      <vt:lpstr>18.sz.mell</vt:lpstr>
      <vt:lpstr>19. sz.mell</vt:lpstr>
      <vt:lpstr>20.sz. mell.</vt:lpstr>
      <vt:lpstr>21.sz. mell</vt:lpstr>
      <vt:lpstr>22.sz. mell</vt:lpstr>
      <vt:lpstr>'1.sz.mell.'!Nyomtatási_cím</vt:lpstr>
      <vt:lpstr>'2.sz.mell.'!Nyomtatási_cím</vt:lpstr>
      <vt:lpstr>'21.sz. mell'!Nyomtatási_cím</vt:lpstr>
      <vt:lpstr>'4 b.sz.mell.'!Nyomtatási_cím</vt:lpstr>
      <vt:lpstr>'4.a sz.mell.'!Nyomtatási_cím</vt:lpstr>
      <vt:lpstr>'1.sz.mell.'!Nyomtatási_terület</vt:lpstr>
      <vt:lpstr>'10.sz.mell.'!Nyomtatási_terület</vt:lpstr>
      <vt:lpstr>'11.sz.mell.'!Nyomtatási_terület</vt:lpstr>
      <vt:lpstr>'12.sz.mell.'!Nyomtatási_terület</vt:lpstr>
      <vt:lpstr>'13.sz.mell.'!Nyomtatási_terület</vt:lpstr>
      <vt:lpstr>'14.sz.m'!Nyomtatási_terület</vt:lpstr>
      <vt:lpstr>'15.sz.m.'!Nyomtatási_terület</vt:lpstr>
      <vt:lpstr>'16.sz.m.'!Nyomtatási_terület</vt:lpstr>
      <vt:lpstr>'17.sz.mell'!Nyomtatási_terület</vt:lpstr>
      <vt:lpstr>'2.sz.mell.'!Nyomtatási_terület</vt:lpstr>
      <vt:lpstr>'3.sz.mell.'!Nyomtatási_terület</vt:lpstr>
      <vt:lpstr>'4 b.sz.mell.'!Nyomtatási_terület</vt:lpstr>
      <vt:lpstr>'4.a sz.mell.'!Nyomtatási_terület</vt:lpstr>
      <vt:lpstr>'5.sz.mell.'!Nyomtatási_terület</vt:lpstr>
      <vt:lpstr>'6.sz.mell.'!Nyomtatási_terület</vt:lpstr>
      <vt:lpstr>'7.sz.mell.'!Nyomtatási_terület</vt:lpstr>
      <vt:lpstr>'8.sz.mell.'!Nyomtatási_terület</vt:lpstr>
      <vt:lpstr>'9.sz.mell.'!Nyomtatási_terület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2020-07-15T10:41:41Z</cp:lastPrinted>
  <dcterms:created xsi:type="dcterms:W3CDTF">2015-02-02T07:42:02Z</dcterms:created>
  <dcterms:modified xsi:type="dcterms:W3CDTF">2020-07-15T11:00:50Z</dcterms:modified>
</cp:coreProperties>
</file>