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9440" windowHeight="9525" tabRatio="808" firstSheet="6" activeTab="11"/>
  </bookViews>
  <sheets>
    <sheet name="11 ktgvetési mérleg" sheetId="11" r:id="rId1"/>
    <sheet name="1 bevétel-kiadás" sheetId="1" r:id="rId2"/>
    <sheet name="2 helyi adó bev." sheetId="2" r:id="rId3"/>
    <sheet name="3 tám.ért. bev." sheetId="3" r:id="rId4"/>
    <sheet name="4 ktgvetési tám. bev." sheetId="4" r:id="rId5"/>
    <sheet name="5 EU-s pr. bev-kiad." sheetId="5" r:id="rId6"/>
    <sheet name="6 Ber-Felúj. kiad." sheetId="6" r:id="rId7"/>
    <sheet name="7 átadott pénzeszk." sheetId="7" r:id="rId8"/>
    <sheet name="8 ellátotak jutt." sheetId="8" r:id="rId9"/>
    <sheet name="9 létszám" sheetId="9" r:id="rId10"/>
    <sheet name="10 közvetett tám-ok kiad." sheetId="14" r:id="rId11"/>
    <sheet name="12 EI felh.terv" sheetId="12" r:id="rId12"/>
    <sheet name="Munka1" sheetId="13" r:id="rId13"/>
  </sheets>
  <externalReferences>
    <externalReference r:id="rId14"/>
  </externalReferences>
  <definedNames>
    <definedName name="_xlnm.Print_Area" localSheetId="1">'1 bevétel-kiadás'!$A$1:$P$65</definedName>
  </definedNames>
  <calcPr calcId="124519"/>
</workbook>
</file>

<file path=xl/calcChain.xml><?xml version="1.0" encoding="utf-8"?>
<calcChain xmlns="http://schemas.openxmlformats.org/spreadsheetml/2006/main">
  <c r="G31" i="11"/>
  <c r="F24"/>
  <c r="F29" s="1"/>
  <c r="D15"/>
  <c r="D27"/>
  <c r="C25" i="14"/>
  <c r="C26"/>
  <c r="C21"/>
  <c r="C13"/>
  <c r="P9" i="9"/>
  <c r="N9"/>
  <c r="J9"/>
  <c r="I9"/>
  <c r="H9"/>
  <c r="G9"/>
  <c r="F9"/>
  <c r="E9"/>
  <c r="D9"/>
  <c r="C9"/>
  <c r="M8"/>
  <c r="L8"/>
  <c r="O8" s="1"/>
  <c r="K8"/>
  <c r="M7"/>
  <c r="M9" s="1"/>
  <c r="L7"/>
  <c r="L9" s="1"/>
  <c r="K7"/>
  <c r="K9" s="1"/>
  <c r="O7" l="1"/>
  <c r="O9" s="1"/>
  <c r="E10" i="8" l="1"/>
  <c r="D40" i="1"/>
  <c r="D53"/>
  <c r="D34" i="6"/>
  <c r="D35"/>
  <c r="D44"/>
  <c r="N52"/>
  <c r="M52"/>
  <c r="L52"/>
  <c r="K52"/>
  <c r="J52"/>
  <c r="I52"/>
  <c r="H52"/>
  <c r="G52"/>
  <c r="F52"/>
  <c r="E52"/>
  <c r="D52"/>
  <c r="C52"/>
  <c r="N44"/>
  <c r="L44"/>
  <c r="H44"/>
  <c r="G44"/>
  <c r="F44"/>
  <c r="E44"/>
  <c r="C44"/>
  <c r="C54" s="1"/>
  <c r="M43"/>
  <c r="K43"/>
  <c r="J43"/>
  <c r="I43"/>
  <c r="M42"/>
  <c r="K42"/>
  <c r="J42"/>
  <c r="I42"/>
  <c r="M41"/>
  <c r="M44" s="1"/>
  <c r="K41"/>
  <c r="K44" s="1"/>
  <c r="J41"/>
  <c r="J44" s="1"/>
  <c r="I41"/>
  <c r="I44" s="1"/>
  <c r="N35"/>
  <c r="N54" s="1"/>
  <c r="L35"/>
  <c r="L54" s="1"/>
  <c r="H35"/>
  <c r="H54" s="1"/>
  <c r="G35"/>
  <c r="G54" s="1"/>
  <c r="F35"/>
  <c r="F54" s="1"/>
  <c r="E35"/>
  <c r="E54" s="1"/>
  <c r="C35"/>
  <c r="K34"/>
  <c r="J34"/>
  <c r="M34" s="1"/>
  <c r="I34"/>
  <c r="K33"/>
  <c r="J33"/>
  <c r="M33" s="1"/>
  <c r="I33"/>
  <c r="K32"/>
  <c r="J32"/>
  <c r="M32" s="1"/>
  <c r="I32"/>
  <c r="K31"/>
  <c r="J31"/>
  <c r="M31" s="1"/>
  <c r="I31"/>
  <c r="K30"/>
  <c r="J30"/>
  <c r="M30" s="1"/>
  <c r="I30"/>
  <c r="K29"/>
  <c r="J29"/>
  <c r="M29" s="1"/>
  <c r="I29"/>
  <c r="K28"/>
  <c r="J28"/>
  <c r="M28" s="1"/>
  <c r="I28"/>
  <c r="K27"/>
  <c r="J27"/>
  <c r="M27" s="1"/>
  <c r="I27"/>
  <c r="K26"/>
  <c r="J26"/>
  <c r="M26" s="1"/>
  <c r="I26"/>
  <c r="K25"/>
  <c r="J25"/>
  <c r="M25" s="1"/>
  <c r="I25"/>
  <c r="K24"/>
  <c r="J24"/>
  <c r="M24" s="1"/>
  <c r="I24"/>
  <c r="K23"/>
  <c r="J23"/>
  <c r="M23" s="1"/>
  <c r="I23"/>
  <c r="K22"/>
  <c r="J22"/>
  <c r="M22" s="1"/>
  <c r="I22"/>
  <c r="K21"/>
  <c r="J21"/>
  <c r="M21" s="1"/>
  <c r="I21"/>
  <c r="K20"/>
  <c r="J20"/>
  <c r="M20" s="1"/>
  <c r="I20"/>
  <c r="K19"/>
  <c r="J19"/>
  <c r="M19" s="1"/>
  <c r="I19"/>
  <c r="K18"/>
  <c r="J18"/>
  <c r="M18" s="1"/>
  <c r="I18"/>
  <c r="K17"/>
  <c r="J17"/>
  <c r="M17" s="1"/>
  <c r="I17"/>
  <c r="K16"/>
  <c r="J16"/>
  <c r="M16" s="1"/>
  <c r="I16"/>
  <c r="K15"/>
  <c r="J15"/>
  <c r="M15" s="1"/>
  <c r="I15"/>
  <c r="K14"/>
  <c r="J14"/>
  <c r="M14" s="1"/>
  <c r="I14"/>
  <c r="K13"/>
  <c r="J13"/>
  <c r="M13" s="1"/>
  <c r="I13"/>
  <c r="K12"/>
  <c r="J12"/>
  <c r="M12" s="1"/>
  <c r="I12"/>
  <c r="K11"/>
  <c r="J11"/>
  <c r="M11" s="1"/>
  <c r="I11"/>
  <c r="K10"/>
  <c r="J10"/>
  <c r="M10" s="1"/>
  <c r="I10"/>
  <c r="K9"/>
  <c r="J9"/>
  <c r="M9" s="1"/>
  <c r="I9"/>
  <c r="K8"/>
  <c r="J8"/>
  <c r="M8" s="1"/>
  <c r="I8"/>
  <c r="K7"/>
  <c r="K35" s="1"/>
  <c r="K54" s="1"/>
  <c r="J7"/>
  <c r="J35" s="1"/>
  <c r="J54" s="1"/>
  <c r="I7"/>
  <c r="I35" s="1"/>
  <c r="I54" s="1"/>
  <c r="D54" l="1"/>
  <c r="M7"/>
  <c r="M35" s="1"/>
  <c r="M54" s="1"/>
  <c r="E9" i="5"/>
  <c r="F22" i="4"/>
  <c r="D23"/>
  <c r="E23"/>
  <c r="F23"/>
  <c r="C23"/>
  <c r="D21"/>
  <c r="E19"/>
  <c r="F19"/>
  <c r="E18"/>
  <c r="F18"/>
  <c r="D15"/>
  <c r="D14"/>
  <c r="G18" i="3"/>
  <c r="D19"/>
  <c r="E19"/>
  <c r="F19"/>
  <c r="G19"/>
  <c r="H19"/>
  <c r="C19"/>
  <c r="D18"/>
  <c r="D11"/>
  <c r="G10"/>
  <c r="C11"/>
  <c r="E10"/>
  <c r="E11" s="1"/>
  <c r="D13" i="2"/>
  <c r="D54" i="1"/>
  <c r="D38" l="1"/>
  <c r="D15" l="1"/>
  <c r="D14"/>
  <c r="D61"/>
  <c r="D47"/>
  <c r="D43"/>
  <c r="D48"/>
  <c r="D39"/>
  <c r="D20"/>
  <c r="D21"/>
  <c r="D7"/>
  <c r="D11"/>
  <c r="D9"/>
  <c r="D19"/>
  <c r="H40" l="1"/>
  <c r="H7"/>
  <c r="H18" s="1"/>
  <c r="H39"/>
  <c r="H38"/>
  <c r="J40"/>
  <c r="J7"/>
  <c r="J39"/>
  <c r="J38"/>
  <c r="F38"/>
  <c r="F39"/>
  <c r="O38"/>
  <c r="F40"/>
  <c r="F7"/>
  <c r="F11" i="11"/>
  <c r="G9" i="8"/>
  <c r="E9"/>
  <c r="D16" i="4"/>
  <c r="F16" s="1"/>
  <c r="D25"/>
  <c r="D13"/>
  <c r="C21"/>
  <c r="C15"/>
  <c r="C14"/>
  <c r="C13" i="2"/>
  <c r="E13"/>
  <c r="O61" i="1"/>
  <c r="O56"/>
  <c r="O57"/>
  <c r="O58"/>
  <c r="O54"/>
  <c r="O47"/>
  <c r="O43"/>
  <c r="O44"/>
  <c r="O45"/>
  <c r="O46"/>
  <c r="O48"/>
  <c r="O50"/>
  <c r="O51"/>
  <c r="M54"/>
  <c r="C39"/>
  <c r="O53"/>
  <c r="C53"/>
  <c r="C7"/>
  <c r="C11"/>
  <c r="C9"/>
  <c r="G7"/>
  <c r="I40"/>
  <c r="I39"/>
  <c r="I7"/>
  <c r="O39"/>
  <c r="O40"/>
  <c r="E39"/>
  <c r="E40"/>
  <c r="E38"/>
  <c r="C23" i="14"/>
  <c r="D31"/>
  <c r="C31"/>
  <c r="D27"/>
  <c r="C27"/>
  <c r="D23"/>
  <c r="D19"/>
  <c r="C19"/>
  <c r="D15"/>
  <c r="D32"/>
  <c r="C15"/>
  <c r="C32" s="1"/>
  <c r="G26" i="11"/>
  <c r="G24" s="1"/>
  <c r="G16"/>
  <c r="G15"/>
  <c r="D14" i="2"/>
  <c r="L45" i="1"/>
  <c r="L46"/>
  <c r="K45"/>
  <c r="K46"/>
  <c r="K43"/>
  <c r="D42"/>
  <c r="G7" i="11"/>
  <c r="D22"/>
  <c r="D28"/>
  <c r="H11" i="8"/>
  <c r="F11"/>
  <c r="N49" i="1"/>
  <c r="P47"/>
  <c r="D41"/>
  <c r="O41" s="1"/>
  <c r="L43"/>
  <c r="O14"/>
  <c r="G23" i="11"/>
  <c r="G20"/>
  <c r="G19"/>
  <c r="G12"/>
  <c r="D21"/>
  <c r="D20"/>
  <c r="D17"/>
  <c r="D12"/>
  <c r="D11"/>
  <c r="G22"/>
  <c r="D11" i="8"/>
  <c r="G14" i="11"/>
  <c r="L48" i="1"/>
  <c r="G9" i="11"/>
  <c r="G8"/>
  <c r="O15" i="1"/>
  <c r="H21" i="3"/>
  <c r="G7"/>
  <c r="G8"/>
  <c r="G9"/>
  <c r="O9" i="1"/>
  <c r="O10"/>
  <c r="O11"/>
  <c r="O12"/>
  <c r="O13"/>
  <c r="O16"/>
  <c r="O17"/>
  <c r="O19"/>
  <c r="O20"/>
  <c r="O21"/>
  <c r="O22"/>
  <c r="O23"/>
  <c r="O26"/>
  <c r="O27"/>
  <c r="O29"/>
  <c r="D10" i="5"/>
  <c r="E8"/>
  <c r="C10"/>
  <c r="E10" s="1"/>
  <c r="C42" i="1"/>
  <c r="C41"/>
  <c r="K48"/>
  <c r="K38"/>
  <c r="K39"/>
  <c r="K40"/>
  <c r="M7"/>
  <c r="D11" i="12"/>
  <c r="E11"/>
  <c r="F11"/>
  <c r="G11"/>
  <c r="H11"/>
  <c r="I11"/>
  <c r="J11"/>
  <c r="K11"/>
  <c r="L11"/>
  <c r="M11"/>
  <c r="N11"/>
  <c r="C11"/>
  <c r="D9"/>
  <c r="E9"/>
  <c r="F9"/>
  <c r="G9"/>
  <c r="H9"/>
  <c r="I9"/>
  <c r="J9"/>
  <c r="K9"/>
  <c r="L9"/>
  <c r="M9"/>
  <c r="N9"/>
  <c r="C9"/>
  <c r="C11" i="8"/>
  <c r="E9" i="4"/>
  <c r="C21" i="3"/>
  <c r="E7"/>
  <c r="M40" i="1"/>
  <c r="E22" i="4"/>
  <c r="F17"/>
  <c r="F11"/>
  <c r="E11"/>
  <c r="G8" i="8"/>
  <c r="G10"/>
  <c r="E8"/>
  <c r="E7"/>
  <c r="E11"/>
  <c r="F14" i="2"/>
  <c r="H14"/>
  <c r="G7"/>
  <c r="G8"/>
  <c r="G9"/>
  <c r="G10"/>
  <c r="G11"/>
  <c r="G12"/>
  <c r="G13"/>
  <c r="E7"/>
  <c r="E8"/>
  <c r="E9"/>
  <c r="E10"/>
  <c r="E11"/>
  <c r="E12"/>
  <c r="C14"/>
  <c r="P59" i="1"/>
  <c r="D49"/>
  <c r="O49" s="1"/>
  <c r="E49"/>
  <c r="E42"/>
  <c r="E52"/>
  <c r="F49"/>
  <c r="F52"/>
  <c r="F42"/>
  <c r="G49"/>
  <c r="G42"/>
  <c r="G52"/>
  <c r="H49"/>
  <c r="H42"/>
  <c r="H52"/>
  <c r="I49"/>
  <c r="I42"/>
  <c r="I52"/>
  <c r="J49"/>
  <c r="J42"/>
  <c r="K50"/>
  <c r="K51"/>
  <c r="K49"/>
  <c r="K44"/>
  <c r="K42"/>
  <c r="K47"/>
  <c r="K41"/>
  <c r="L50"/>
  <c r="L51"/>
  <c r="L49" s="1"/>
  <c r="L44"/>
  <c r="L39"/>
  <c r="M50"/>
  <c r="M51"/>
  <c r="M43"/>
  <c r="M44"/>
  <c r="M42"/>
  <c r="M39"/>
  <c r="M38"/>
  <c r="N47"/>
  <c r="N42"/>
  <c r="N52"/>
  <c r="P42"/>
  <c r="C49"/>
  <c r="C52"/>
  <c r="C25" i="4"/>
  <c r="C16"/>
  <c r="E16"/>
  <c r="E17"/>
  <c r="G7" i="8"/>
  <c r="F8" i="4"/>
  <c r="F9"/>
  <c r="F12"/>
  <c r="F13"/>
  <c r="F14"/>
  <c r="F15"/>
  <c r="F20"/>
  <c r="F21"/>
  <c r="F24"/>
  <c r="F25"/>
  <c r="F10"/>
  <c r="F7"/>
  <c r="G17" i="3"/>
  <c r="E17"/>
  <c r="E6"/>
  <c r="E9"/>
  <c r="E8"/>
  <c r="G6"/>
  <c r="G6" i="2"/>
  <c r="E6"/>
  <c r="C24" i="11"/>
  <c r="F18"/>
  <c r="C10"/>
  <c r="C8" s="1"/>
  <c r="C19" s="1"/>
  <c r="C26" s="1"/>
  <c r="C29" s="1"/>
  <c r="F17" i="7"/>
  <c r="H17"/>
  <c r="F18"/>
  <c r="H18"/>
  <c r="F19"/>
  <c r="H19"/>
  <c r="F20"/>
  <c r="H20"/>
  <c r="H16"/>
  <c r="H21"/>
  <c r="F16"/>
  <c r="F21"/>
  <c r="H8"/>
  <c r="H9"/>
  <c r="H10"/>
  <c r="H11"/>
  <c r="H7"/>
  <c r="F8"/>
  <c r="F9"/>
  <c r="F10"/>
  <c r="F11"/>
  <c r="F7"/>
  <c r="G21"/>
  <c r="E21"/>
  <c r="E12"/>
  <c r="D21"/>
  <c r="C21"/>
  <c r="C12"/>
  <c r="E8" i="4"/>
  <c r="E12"/>
  <c r="E14"/>
  <c r="E15"/>
  <c r="E20"/>
  <c r="E21"/>
  <c r="E24"/>
  <c r="E10"/>
  <c r="E7"/>
  <c r="F11" i="3"/>
  <c r="H11"/>
  <c r="G11"/>
  <c r="G21" s="1"/>
  <c r="L53" i="1"/>
  <c r="L54"/>
  <c r="L56"/>
  <c r="L57"/>
  <c r="L58"/>
  <c r="M56"/>
  <c r="M57"/>
  <c r="M58"/>
  <c r="M55"/>
  <c r="K56"/>
  <c r="K57"/>
  <c r="K58"/>
  <c r="K55"/>
  <c r="N55"/>
  <c r="N59"/>
  <c r="M61"/>
  <c r="M9"/>
  <c r="M10"/>
  <c r="M11"/>
  <c r="M12"/>
  <c r="M13"/>
  <c r="M14"/>
  <c r="M15"/>
  <c r="M16"/>
  <c r="M17"/>
  <c r="M19"/>
  <c r="M20"/>
  <c r="M21"/>
  <c r="M22"/>
  <c r="M23"/>
  <c r="M26"/>
  <c r="M27"/>
  <c r="M29"/>
  <c r="D24"/>
  <c r="L24" s="1"/>
  <c r="F8"/>
  <c r="F18"/>
  <c r="H8"/>
  <c r="J8"/>
  <c r="J18"/>
  <c r="J25" s="1"/>
  <c r="K54"/>
  <c r="K61"/>
  <c r="L61"/>
  <c r="K9"/>
  <c r="L9"/>
  <c r="K10"/>
  <c r="L10"/>
  <c r="K11"/>
  <c r="L11"/>
  <c r="K12"/>
  <c r="L12"/>
  <c r="K13"/>
  <c r="L13"/>
  <c r="K14"/>
  <c r="L14"/>
  <c r="K15"/>
  <c r="L15"/>
  <c r="K16"/>
  <c r="L16"/>
  <c r="K17"/>
  <c r="L17"/>
  <c r="K19"/>
  <c r="L19"/>
  <c r="K20"/>
  <c r="L20"/>
  <c r="K21"/>
  <c r="L21"/>
  <c r="K22"/>
  <c r="L22"/>
  <c r="K23"/>
  <c r="L23"/>
  <c r="F24"/>
  <c r="F25"/>
  <c r="F28" s="1"/>
  <c r="H24"/>
  <c r="O24"/>
  <c r="J24"/>
  <c r="K26"/>
  <c r="L26"/>
  <c r="K27"/>
  <c r="L27"/>
  <c r="K29"/>
  <c r="L29"/>
  <c r="K7"/>
  <c r="E8"/>
  <c r="E18"/>
  <c r="E24"/>
  <c r="E55"/>
  <c r="E59"/>
  <c r="E60"/>
  <c r="E62"/>
  <c r="F55"/>
  <c r="F59"/>
  <c r="J55"/>
  <c r="J59"/>
  <c r="I55"/>
  <c r="I59"/>
  <c r="I60"/>
  <c r="I62"/>
  <c r="H55"/>
  <c r="H59"/>
  <c r="H60"/>
  <c r="H62" s="1"/>
  <c r="G55"/>
  <c r="G59"/>
  <c r="G60"/>
  <c r="G62"/>
  <c r="D55"/>
  <c r="O55" s="1"/>
  <c r="O59" s="1"/>
  <c r="C55"/>
  <c r="C59"/>
  <c r="I24"/>
  <c r="G24"/>
  <c r="I8"/>
  <c r="I18"/>
  <c r="I25"/>
  <c r="I28"/>
  <c r="G8"/>
  <c r="G18"/>
  <c r="G25" s="1"/>
  <c r="C8"/>
  <c r="M8"/>
  <c r="C24"/>
  <c r="G12" i="7"/>
  <c r="D12"/>
  <c r="K53" i="1"/>
  <c r="M53"/>
  <c r="M41"/>
  <c r="C13" i="4"/>
  <c r="E13"/>
  <c r="H12" i="7"/>
  <c r="J52" i="1"/>
  <c r="J60" s="1"/>
  <c r="J62" s="1"/>
  <c r="D9" i="11"/>
  <c r="D16"/>
  <c r="G17"/>
  <c r="M48" i="1"/>
  <c r="L47"/>
  <c r="E25" i="4"/>
  <c r="P52" i="1"/>
  <c r="P60" s="1"/>
  <c r="P62" s="1"/>
  <c r="D52"/>
  <c r="L40"/>
  <c r="L38"/>
  <c r="D7" i="11"/>
  <c r="O7" i="1"/>
  <c r="L7"/>
  <c r="E25"/>
  <c r="E28"/>
  <c r="G14" i="2"/>
  <c r="E14"/>
  <c r="F12" i="7"/>
  <c r="E26" i="4"/>
  <c r="C26"/>
  <c r="D21" i="3"/>
  <c r="F21"/>
  <c r="E21"/>
  <c r="E30" i="1"/>
  <c r="E32"/>
  <c r="E31"/>
  <c r="I30"/>
  <c r="I32"/>
  <c r="I31"/>
  <c r="F60"/>
  <c r="F62" s="1"/>
  <c r="K52"/>
  <c r="K8"/>
  <c r="M24"/>
  <c r="D59"/>
  <c r="M49"/>
  <c r="D8"/>
  <c r="D18" s="1"/>
  <c r="M59"/>
  <c r="L41"/>
  <c r="M52"/>
  <c r="M60"/>
  <c r="M62"/>
  <c r="K59"/>
  <c r="K60"/>
  <c r="K62"/>
  <c r="C60"/>
  <c r="C62"/>
  <c r="N60"/>
  <c r="N62"/>
  <c r="O8"/>
  <c r="L42"/>
  <c r="K24"/>
  <c r="C18"/>
  <c r="L8"/>
  <c r="C25"/>
  <c r="K18"/>
  <c r="M18"/>
  <c r="C28"/>
  <c r="C31"/>
  <c r="C30"/>
  <c r="C32"/>
  <c r="G29" i="11" l="1"/>
  <c r="F21"/>
  <c r="G11"/>
  <c r="G18"/>
  <c r="G11" i="8"/>
  <c r="F26" i="4"/>
  <c r="D26"/>
  <c r="L55" i="1"/>
  <c r="D60"/>
  <c r="D62" s="1"/>
  <c r="L59"/>
  <c r="O42"/>
  <c r="O52" s="1"/>
  <c r="O60" s="1"/>
  <c r="O62" s="1"/>
  <c r="D25"/>
  <c r="D28" s="1"/>
  <c r="O8" i="12" s="1"/>
  <c r="D24" i="11"/>
  <c r="D8"/>
  <c r="H25" i="1"/>
  <c r="H28" s="1"/>
  <c r="L18"/>
  <c r="O18"/>
  <c r="L52"/>
  <c r="H31"/>
  <c r="O10" i="12"/>
  <c r="K10" s="1"/>
  <c r="H30" i="1"/>
  <c r="H32" s="1"/>
  <c r="K25"/>
  <c r="M25"/>
  <c r="G28"/>
  <c r="J28"/>
  <c r="O25"/>
  <c r="J31"/>
  <c r="J30"/>
  <c r="J32" s="1"/>
  <c r="O11" i="12"/>
  <c r="L25" i="1"/>
  <c r="F31"/>
  <c r="F30"/>
  <c r="O9" i="12"/>
  <c r="F30" i="11"/>
  <c r="F32" s="1"/>
  <c r="L10" i="12"/>
  <c r="N10"/>
  <c r="D19" i="11"/>
  <c r="G21" l="1"/>
  <c r="G30" s="1"/>
  <c r="G32" s="1"/>
  <c r="D26"/>
  <c r="D29" s="1"/>
  <c r="D30" i="1"/>
  <c r="D32" s="1"/>
  <c r="L60"/>
  <c r="L62" s="1"/>
  <c r="F8" i="12"/>
  <c r="D8"/>
  <c r="M8"/>
  <c r="L28" i="1"/>
  <c r="O28"/>
  <c r="D31"/>
  <c r="O31" s="1"/>
  <c r="K8" i="12"/>
  <c r="K12" s="1"/>
  <c r="H8"/>
  <c r="I8"/>
  <c r="G8"/>
  <c r="C8"/>
  <c r="L8"/>
  <c r="N8"/>
  <c r="N12" s="1"/>
  <c r="J8"/>
  <c r="E8"/>
  <c r="D10"/>
  <c r="O12"/>
  <c r="L12"/>
  <c r="M10"/>
  <c r="M12" s="1"/>
  <c r="J10"/>
  <c r="J12" s="1"/>
  <c r="E10"/>
  <c r="G10"/>
  <c r="C10"/>
  <c r="I10"/>
  <c r="H10"/>
  <c r="F10"/>
  <c r="M28" i="1"/>
  <c r="K28"/>
  <c r="G30"/>
  <c r="G31"/>
  <c r="O30"/>
  <c r="L30"/>
  <c r="F32"/>
  <c r="D12" i="12"/>
  <c r="C12" l="1"/>
  <c r="F12"/>
  <c r="E12"/>
  <c r="L31" i="1"/>
  <c r="H12" i="12"/>
  <c r="I12"/>
  <c r="G12"/>
  <c r="K31" i="1"/>
  <c r="M31"/>
  <c r="G32"/>
  <c r="K30"/>
  <c r="M30"/>
  <c r="L32"/>
  <c r="O32"/>
  <c r="M32" l="1"/>
  <c r="K32"/>
</calcChain>
</file>

<file path=xl/sharedStrings.xml><?xml version="1.0" encoding="utf-8"?>
<sst xmlns="http://schemas.openxmlformats.org/spreadsheetml/2006/main" count="636" uniqueCount="307">
  <si>
    <t>adatok eFt-ban</t>
  </si>
  <si>
    <t>Megnevezés</t>
  </si>
  <si>
    <t>Önkormányzat előirányzatai</t>
  </si>
  <si>
    <t>TEMÜSZ előirányzatai</t>
  </si>
  <si>
    <t>ÖSSZESEN eredeti előirányzatok</t>
  </si>
  <si>
    <t>ÖSSZESEN módosított előirányzatok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</si>
  <si>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</si>
  <si>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</si>
  <si>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</si>
  <si>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</si>
  <si>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</si>
  <si>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</si>
  <si>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</si>
  <si>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</si>
  <si>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</si>
  <si>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</si>
  <si>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</si>
  <si>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</si>
  <si>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</si>
  <si>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 xml:space="preserve">  Helyi adók  </t>
  </si>
  <si>
    <t xml:space="preserve">  Illetékek </t>
  </si>
  <si>
    <t xml:space="preserve">  Pótlékok, bírságok</t>
  </si>
  <si>
    <t>Irányító szervtől kapott működési költségvetési támogatás</t>
  </si>
  <si>
    <t>Központi költségvetésből kapott támogatás</t>
  </si>
  <si>
    <t>Működési célú támogatásértékű bevétel ÁH-n belülről</t>
  </si>
  <si>
    <t>Működési célú átvett pénzeszköz ÁH-n kívülről</t>
  </si>
  <si>
    <t xml:space="preserve">Előző évi működési célú előirányzat-maradvány, pénzmaradvány átvétel összesen </t>
  </si>
  <si>
    <t>MŰKÖDÉSI BEVÉTELEK ÖSSZESEN</t>
  </si>
  <si>
    <t>Felhalmozási célú támogatásértékű bevétel ÁH-n belülről</t>
  </si>
  <si>
    <t>Felhalmozási célú átvett pénzeszköz ÁH-n kívülről</t>
  </si>
  <si>
    <t>Felhalmozáci célú bevételek (a tárgyi eszközök és immateriális javak értékesítése és a pénzügyi befektetések bevételei)</t>
  </si>
  <si>
    <t>Előző évi felhalmozási célú előirányzat-maradvány, pénzmaradvány átvétel</t>
  </si>
  <si>
    <t>Irányító szervtől kapott felhalmozási célú költségvetési támogatás</t>
  </si>
  <si>
    <t>FELHALMOZÁSI BEVÉTELEK ÖSSZESEN</t>
  </si>
  <si>
    <t>BEVÉTELEK ÖSSZESEN:*</t>
  </si>
  <si>
    <t xml:space="preserve">Előző évek előirányzat-maradványának, pénzmaradványának és előző évek vállalkozási maradványának igénybevétele </t>
  </si>
  <si>
    <t xml:space="preserve">Finanszírozási bevételek  </t>
  </si>
  <si>
    <t>BEVÉTELEK MINDÖSSZESEN:*</t>
  </si>
  <si>
    <t>Költségvetési hiány  (BEVÉTELEK ÖSSZESEN-KIADÁSOK ÖSSZESEN (-) )</t>
  </si>
  <si>
    <t>Költségvetési többlet (BEVÉTELEK ÖSSZESEN-KIADÁSOK ÖSSZESEN (+) )</t>
  </si>
  <si>
    <t>Előző évi előirányzat-maradvány, pénzmaradvány és előző évi vállalkozási maradvány igénybevétele utáni hiány vagy többlet (Költségvetési hiány+Előző évi maradvány igénybevétele)  (Költségvetési többlet+előző évi maradvány igénybevétele)</t>
  </si>
  <si>
    <t>Személyi juttatások</t>
  </si>
  <si>
    <t xml:space="preserve">Munkaadókat terhelő járulékok és szociális hozzájárulási adó, </t>
  </si>
  <si>
    <t>Dologi kiadások és egyéb folyó kiadások</t>
  </si>
  <si>
    <t xml:space="preserve">  irányító szerv alá tartozó költségvetési szervnek folyósított működési támogatás</t>
  </si>
  <si>
    <t>Egyéb működési célú kiadások</t>
  </si>
  <si>
    <t xml:space="preserve">   támogatásértékű működési kiadások</t>
  </si>
  <si>
    <t xml:space="preserve">   előző évi működési célú előirányzat-maradvány, pénzmaradvány átadás összesen</t>
  </si>
  <si>
    <t xml:space="preserve">   működési célú pénzeszközátadások államháztartáson kívülre</t>
  </si>
  <si>
    <t xml:space="preserve">Egyéb pénzforgalom nélküli kiadások -Tartalékok </t>
  </si>
  <si>
    <t xml:space="preserve">  általános tartalék</t>
  </si>
  <si>
    <t xml:space="preserve">  céltartalék</t>
  </si>
  <si>
    <t>MŰKÖDÉSI KIADÁSOK ÖSSZESEN</t>
  </si>
  <si>
    <t xml:space="preserve">Intézményi beruházások </t>
  </si>
  <si>
    <t>Felújítások</t>
  </si>
  <si>
    <t xml:space="preserve">Egyéb felhalmozási kiadások </t>
  </si>
  <si>
    <t xml:space="preserve">   befektetési célú részesedések vásárlása </t>
  </si>
  <si>
    <t xml:space="preserve">   támogatásértékű felhalmozási kiadások</t>
  </si>
  <si>
    <t xml:space="preserve">   előző évi felhalmozási célú előirányzat-maradvány, pénzmaradvány átadás</t>
  </si>
  <si>
    <t xml:space="preserve">   felhalmozási célú pénzeszközátadások államháztartáson kívülre </t>
  </si>
  <si>
    <t>FELHALMOZÁSI KIADÁSOK ÖSSZESEN</t>
  </si>
  <si>
    <t>KIADÁSOK ÖSSZESEN:*</t>
  </si>
  <si>
    <t xml:space="preserve">Finanszírozási kiadások </t>
  </si>
  <si>
    <t>KIADÁSOK MINDÖSSZESEN:*</t>
  </si>
  <si>
    <t>* az önkormányzati bevétel-kiadás mindösszesen összegből levonásra került az intézményeknek átadott finanszírozás, annak érdekében, hogy a végösszesen ne tartalmazzon halmozódást</t>
  </si>
  <si>
    <t>Közös Önkormányzati Hivatal előirányzatai</t>
  </si>
  <si>
    <t xml:space="preserve">Önkormányzat módosított előirányzatai </t>
  </si>
  <si>
    <t xml:space="preserve">Közös Önkormányzati Hivatal módosított előirányzatai </t>
  </si>
  <si>
    <t xml:space="preserve">TEMÜSZ módosított előirányzatai </t>
  </si>
  <si>
    <t xml:space="preserve">Napraforgó Óvoda módosított előirányzatai </t>
  </si>
  <si>
    <t>Eredeti előirányzatból KÖTELEZŐ feladatok</t>
  </si>
  <si>
    <t>Eredeti előirányzatból ÖNKÉNT vállalt feladatok</t>
  </si>
  <si>
    <t xml:space="preserve">Napraforgó Óvoda előirányzatai </t>
  </si>
  <si>
    <t>Módosított előirányzatból KÖTELEZŐ feladatok</t>
  </si>
  <si>
    <t>Módosított előirányzatból ÖNKÉNT vállalt feladatok</t>
  </si>
  <si>
    <t xml:space="preserve">  Átengedett központi adók (Gépjárműadó)</t>
  </si>
  <si>
    <t>N</t>
  </si>
  <si>
    <t>O</t>
  </si>
  <si>
    <t>Önkormányzat módosított előirányzatai</t>
  </si>
  <si>
    <t>Helyi adók összesen:</t>
  </si>
  <si>
    <t xml:space="preserve">E </t>
  </si>
  <si>
    <t xml:space="preserve">Támogatásértékű működési bevételek </t>
  </si>
  <si>
    <t xml:space="preserve">Támogatásértékű felhalmozási bevételek </t>
  </si>
  <si>
    <t>Támogatásértékű bevételek mindösszesen</t>
  </si>
  <si>
    <t>HELYI ADÓ BEVÉTELEK</t>
  </si>
  <si>
    <t>KÖZPONTI KÖLTSÉGVETÉSBŐL SZÁRMAZÓ TÁMOGATÁSOK</t>
  </si>
  <si>
    <t>Önkormányzati hivatal működésének támogatása</t>
  </si>
  <si>
    <t>adatok Ft-ban</t>
  </si>
  <si>
    <t>Településüzemeltetéshez kapcsolódó feladatok támogatása</t>
  </si>
  <si>
    <t>Egyéb kötelező önkormányzati feladatok támogatása</t>
  </si>
  <si>
    <t>Óvodapedagógusok, óvodapedagógusok munkáját közvetlenül segítők bértámogatása</t>
  </si>
  <si>
    <t>Óvodaműködtetési támogatás</t>
  </si>
  <si>
    <t>Hozzájárulás pénzbeli szociális ellátásokhoz</t>
  </si>
  <si>
    <t>Települési önkormányzatok szociális és gyermekjóléti feladatainak támogatása összesen</t>
  </si>
  <si>
    <t>Könyvtári, közművelődési és műzeumi feladatok támogatása</t>
  </si>
  <si>
    <t>Települési önkormányzatok kulturális feladatainak támogatása összesen</t>
  </si>
  <si>
    <t>Üdülőhelyi feladatok támogatása</t>
  </si>
  <si>
    <t>Európai Uniós Projektek</t>
  </si>
  <si>
    <t>Összesen</t>
  </si>
  <si>
    <t>Összesen:</t>
  </si>
  <si>
    <t>Támogatási bevétel</t>
  </si>
  <si>
    <t>Megvalósítás költsége</t>
  </si>
  <si>
    <t>Önkormányzat önrésze</t>
  </si>
  <si>
    <t>Megjegyzés</t>
  </si>
  <si>
    <t>BERUHÁZÁS-FELÚJÍTÁS</t>
  </si>
  <si>
    <t>Beruházás</t>
  </si>
  <si>
    <t>Felújítás</t>
  </si>
  <si>
    <t>Felhalmozási kiadások összesen</t>
  </si>
  <si>
    <t>hitel, kölcsön felvétele, átvállalása</t>
  </si>
  <si>
    <t xml:space="preserve">pénzügyi lízing </t>
  </si>
  <si>
    <t xml:space="preserve"> visszavásárlási kötelezettség kikötésével megkötött adásvételi szerződés</t>
  </si>
  <si>
    <t>TEMÜSZ módosított előirányzatai</t>
  </si>
  <si>
    <t>Napraforgó Óvoda módosított előirányzatai</t>
  </si>
  <si>
    <t xml:space="preserve">Működési célú pénzeszközátadások államháztartáson kívülre </t>
  </si>
  <si>
    <t>Felhalmozási célú pénzeszközátadások államháztartáson kívülre</t>
  </si>
  <si>
    <t>ÁTADOTT PÉNZESZKÖZÖK ÁLLAMHÁZTARTÁSON KÍVÜLRE</t>
  </si>
  <si>
    <t>Szociálpolitikai ellátások és egyéb juttatások, TB pénzbeli ellátások összesen</t>
  </si>
  <si>
    <t>LÉTSZÁM</t>
  </si>
  <si>
    <t xml:space="preserve">Létszám összesen </t>
  </si>
  <si>
    <t>MÉRLEG ÖNKORMÁNYZATI ÖSSZESEN</t>
  </si>
  <si>
    <t>Önkormányzati összesen eredeti ei.</t>
  </si>
  <si>
    <t>Önkormányzati összesen módosított ei.</t>
  </si>
  <si>
    <t xml:space="preserve">D </t>
  </si>
  <si>
    <t xml:space="preserve">  Irányító szerv alá tartozó költségvetési szervnek folyósított működési támogatás</t>
  </si>
  <si>
    <t>MŰKÖDÉSI KIADÁSOK ÖSSZESEN*</t>
  </si>
  <si>
    <t xml:space="preserve">   Irányító szerv alá tartozó költségvetési szervnek folyósított felhalmozási támogatás</t>
  </si>
  <si>
    <t>FELHALMOZÁSI KIADÁSOK ÖSSZESEN*</t>
  </si>
  <si>
    <t>BEVÉTELEK ÖSSZESEN:</t>
  </si>
  <si>
    <t>KIADÁSOK ÖSSZESEN:</t>
  </si>
  <si>
    <t>BEVÉTELEK MINDÖSSZESEN:</t>
  </si>
  <si>
    <t>KIADÁSOK MINDÖSSZESEN: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</si>
  <si>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</si>
  <si>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</si>
  <si>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</si>
  <si>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</si>
  <si>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</si>
  <si>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</si>
  <si>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</si>
  <si>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</si>
  <si>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</si>
  <si>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</si>
  <si>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</si>
  <si>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</si>
  <si>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ELŐIRÁNYZAT FELHASZNÁLÁSI TERV</t>
  </si>
  <si>
    <t>Alsóörs Község Önkormányzata</t>
  </si>
  <si>
    <t>Alsóörsi Közös Önkormányzati Hivatal</t>
  </si>
  <si>
    <t>Alsóörsi Településműködtetési és Községgazdálkodási Szervezet</t>
  </si>
  <si>
    <t>Napraforgó Óvoda Alsóörs</t>
  </si>
  <si>
    <t>Mindösszesen</t>
  </si>
  <si>
    <t>Talajterhelési díj</t>
  </si>
  <si>
    <t>Kistelepülések szociális feladatainak támogatása</t>
  </si>
  <si>
    <t>Helyi önkormnyzatok általános működésének támogatása összesen</t>
  </si>
  <si>
    <t>Települési önkormányzatok köznevelési feladatainak támogatása összesen</t>
  </si>
  <si>
    <t>Szociális étkeztetés</t>
  </si>
  <si>
    <t>Gyermekétkeztetés üzemeltetési támogatása</t>
  </si>
  <si>
    <t>Külterülettel kapcsolatos feladatok támogatása</t>
  </si>
  <si>
    <t>Költségvetési bevételek összesen</t>
  </si>
  <si>
    <t xml:space="preserve">  Ellátottak juttatásai,  társadalom-, szociálpolitikai és egyéb juttatás, támogatás</t>
  </si>
  <si>
    <t>Beruházások</t>
  </si>
  <si>
    <t>Műk.c.tám. EGYHÁZ</t>
  </si>
  <si>
    <t>Műk.c.tám. NONPROFIT GAZD.TÁRS.</t>
  </si>
  <si>
    <t>Műk.c.tám. EGYÉB CIVIL SZERV. (alapítvány, egyesület, helyi szervezet)</t>
  </si>
  <si>
    <t>Műk.c.tám. HÁZTARTÁSOK</t>
  </si>
  <si>
    <t>Műk.c.tám. EGYÉB VÁLLALKOZÁSOK</t>
  </si>
  <si>
    <t>Felh.c.tám. EGYHÁZ</t>
  </si>
  <si>
    <t>Felh.c.tám. NONPROFIT GAZD.TÁRS.</t>
  </si>
  <si>
    <t>Felh.c.tám. EGYÉB CIVIL SZERV. (alapítvány, egyesület, helyi szervezet)</t>
  </si>
  <si>
    <t>Felh.c.tám. HÁZTARTÁSOK</t>
  </si>
  <si>
    <t>ELLÁTOTTAK JUTTATÁSAI</t>
  </si>
  <si>
    <t>Egyéb műk.c. támogatás (TB alapoktól és kezelőitől)</t>
  </si>
  <si>
    <t>Egyéb műk.c. támogatás (Elkülnített Állami Pénzalapoktól)</t>
  </si>
  <si>
    <t>Egyéb műk.c. támogatás Önk-tól, Önk-i ktgv.szervtől</t>
  </si>
  <si>
    <t>TÁMOGATÁSÉRTÉKŰ BEVÉTELEK</t>
  </si>
  <si>
    <t>Építményadó</t>
  </si>
  <si>
    <t>Telekadó</t>
  </si>
  <si>
    <t>Állandó jelleggel végzett ip.űzési adó</t>
  </si>
  <si>
    <t>Idegenfor.adó épület után</t>
  </si>
  <si>
    <t>Idegenfor.adó tartózkodás után</t>
  </si>
  <si>
    <t>Egyéb közhatalmi bevételek (Pótlékok, illetékek, bírságok)</t>
  </si>
  <si>
    <t>Rendszeres gyermekvéd.kedv. (5800/fő Erzsébet utalvány) Normatív</t>
  </si>
  <si>
    <t>Átmeneti segély (temetési segély, rendk.gyv.tám.) Szoc.tv. 45.§ Önk.rend.</t>
  </si>
  <si>
    <t>Szakmai</t>
  </si>
  <si>
    <t xml:space="preserve">Intézmény üzemeltetéshez kapcsolódó </t>
  </si>
  <si>
    <t>polgármester 1</t>
  </si>
  <si>
    <t>védőnő 1</t>
  </si>
  <si>
    <t>takarító 0,75</t>
  </si>
  <si>
    <t>jegyző 1</t>
  </si>
  <si>
    <t>aljegyző 1</t>
  </si>
  <si>
    <t>inform. 0,75</t>
  </si>
  <si>
    <t>szoc.ea. 1</t>
  </si>
  <si>
    <t>anyakönyvv. 1</t>
  </si>
  <si>
    <t>int.vez. 1</t>
  </si>
  <si>
    <t>int.vez.h. 1</t>
  </si>
  <si>
    <t>pü.üi. 1</t>
  </si>
  <si>
    <t xml:space="preserve">Előző évi működési célú előirányzat-maradvány, pénzmaradvány  összesen </t>
  </si>
  <si>
    <t>pü 5</t>
  </si>
  <si>
    <t>Kisértékű tárgyi eszkösz</t>
  </si>
  <si>
    <t>Szépkilátó parkoló</t>
  </si>
  <si>
    <t>egyéb elvonások befizetések</t>
  </si>
  <si>
    <t>a helyi önk. Előző évi elsz. Származó kiadások</t>
  </si>
  <si>
    <t>KÖZVETETT TÁMOGATÁSOK</t>
  </si>
  <si>
    <t xml:space="preserve">B </t>
  </si>
  <si>
    <t>Helyi adónál, gépjárműadónál biztosított kedvezmény, mentesség összege adónemenként</t>
  </si>
  <si>
    <t>Bevétel kedvezmény nélkül</t>
  </si>
  <si>
    <t>Adott kedvezmény</t>
  </si>
  <si>
    <t>Megjegyzés/hivatkozás</t>
  </si>
  <si>
    <t xml:space="preserve">Építményadó </t>
  </si>
  <si>
    <t>méltányossági alapon, valamint az állandó lakosok 25 nm kedvezménye</t>
  </si>
  <si>
    <t xml:space="preserve">Telekadó </t>
  </si>
  <si>
    <t xml:space="preserve">méltányossági alapon </t>
  </si>
  <si>
    <t xml:space="preserve">Idegenforgalmi adó tartózkodás után </t>
  </si>
  <si>
    <t xml:space="preserve">Iparűzési adó állandó jelleggel végzett iparűzési tevékenység után </t>
  </si>
  <si>
    <t>adóelőleg csökkentés méltányossági alapon</t>
  </si>
  <si>
    <t>Gépjárműadó</t>
  </si>
  <si>
    <t>Adókedvezmények összesen:</t>
  </si>
  <si>
    <t>Lakosság részére lakásépítéshez, lakásfelújításhoz nyújtott kölcsönök elengedésének összege</t>
  </si>
  <si>
    <t>Kölcsönök elengedése összesen</t>
  </si>
  <si>
    <t>Ellátottak térítési díjának, illetve kártérítésének méltányossági alapon történő elengedésének összege</t>
  </si>
  <si>
    <t>Óvodai, szociális étkeztetés</t>
  </si>
  <si>
    <t>Térítési díj kedveznények összesen</t>
  </si>
  <si>
    <t>Helyiségek, eszközök hasznosításából származó bevételből nyújtott kedvezmény, mentesség összege</t>
  </si>
  <si>
    <t>Temüsz bevételek</t>
  </si>
  <si>
    <t>Önkormányzat bevételek</t>
  </si>
  <si>
    <t>Bérleti díj kedveznények összesen</t>
  </si>
  <si>
    <t>egyéb nyújtott kedvezmény vagy kölcsön elengedésének összege.</t>
  </si>
  <si>
    <t>Egyéb kölcsön elengedése</t>
  </si>
  <si>
    <t>egyéb követelések elengedése</t>
  </si>
  <si>
    <t>Egyéb kedvezmények összesen</t>
  </si>
  <si>
    <t>MINDÖSSZESEN:</t>
  </si>
  <si>
    <t xml:space="preserve">2017 évi költségvetés </t>
  </si>
  <si>
    <t xml:space="preserve">BEVÉTELEK </t>
  </si>
  <si>
    <t xml:space="preserve">KIADÁSOK </t>
  </si>
  <si>
    <r>
      <t>Intézményi működési bevételek</t>
    </r>
    <r>
      <rPr>
        <sz val="11"/>
        <rFont val="Arial"/>
        <family val="2"/>
        <charset val="238"/>
      </rPr>
      <t xml:space="preserve"> (áru- és készletértékesítés, a nyújtott szolgáltatások ellenértéke, a bérleti díj bevételek, az intézményi ellátási díjak, az alkalmazottak térítése, az általános forgalmi adó bevételek, valamint a hozam- és kamatbevételek)</t>
    </r>
  </si>
  <si>
    <r>
      <t xml:space="preserve">Közhatalmi bevételek </t>
    </r>
    <r>
      <rPr>
        <sz val="11"/>
        <rFont val="Arial"/>
        <family val="2"/>
        <charset val="238"/>
      </rPr>
      <t>(adók, illetékek, járulékok, hozzájárulások, bírságok, díjak, és más fizetési kötelezettségek)</t>
    </r>
  </si>
  <si>
    <t xml:space="preserve">   támogatásértékű működési kiadások államáztartáson belülre</t>
  </si>
  <si>
    <t xml:space="preserve">   támogatásértékű felhalmozási kiadások államháztartáson belülre</t>
  </si>
  <si>
    <r>
      <t xml:space="preserve">Gépjárműadó (beszedett összeg </t>
    </r>
    <r>
      <rPr>
        <b/>
        <sz val="10"/>
        <rFont val="Arial"/>
        <family val="2"/>
        <charset val="238"/>
      </rPr>
      <t>40 %-</t>
    </r>
    <r>
      <rPr>
        <sz val="10"/>
        <rFont val="Arial"/>
        <family val="2"/>
        <charset val="238"/>
      </rPr>
      <t>a marad)</t>
    </r>
  </si>
  <si>
    <t>Egyéb műk.c. támogatás (Pályázat, Rendszeres gyv.kedv. 5800/fő Erzsébet utalvány)</t>
  </si>
  <si>
    <t>Merse park térkő</t>
  </si>
  <si>
    <t>Március 15.u. és csap.víz elv., és útportalanítás</t>
  </si>
  <si>
    <t>Útépítés Törökházhoz vezető út, Halacs, Liszt F. u., Hegyalja u., Rege köz, Táborok</t>
  </si>
  <si>
    <t>Kisajátítás</t>
  </si>
  <si>
    <t>Tőkeemelés Bahart</t>
  </si>
  <si>
    <t>Rendezési terv</t>
  </si>
  <si>
    <t>Közvilágítás</t>
  </si>
  <si>
    <t>Mobilház vásárlás Kempingbe</t>
  </si>
  <si>
    <t>Kamerák (Település)</t>
  </si>
  <si>
    <t>Buszmegálló</t>
  </si>
  <si>
    <t>Iskola tanterem parkettázás</t>
  </si>
  <si>
    <t>Sirálypark (színpad)</t>
  </si>
  <si>
    <t>ÁFA</t>
  </si>
  <si>
    <t xml:space="preserve">M </t>
  </si>
  <si>
    <t>A fenti előirányzatokból 2017. költségvetési év azon fejlesztési céljai, amelyek megvalósításához a Stabilitási tv. 3. § (1) bekezdése szerinti adósságot keletkeztető ügylet megkötése válik vagy válhat szükségessé (forrás feltüntetése ezer forintban)</t>
  </si>
  <si>
    <t>Szociális , gyermek étkeztetés tám. Önk.rend. Szoc.tv.</t>
  </si>
  <si>
    <t>könyvtáros 1</t>
  </si>
  <si>
    <t>hivatalsegéd 1</t>
  </si>
  <si>
    <t>adó 3</t>
  </si>
  <si>
    <t>adóellenőr 0,5 (2 fő 6 órás 3,5 hóra)</t>
  </si>
  <si>
    <t>közterület felügyelő 0,75</t>
  </si>
  <si>
    <t>Egyéb műk.c. támogatás társulástól</t>
  </si>
  <si>
    <t>Felh.c. önkormányzati támogatás (Közművelődési érdekeltségnövelő pályázat)</t>
  </si>
  <si>
    <t>Felh.c. tám. Fejezeti kezelésű előirányzat (Turizmusfejlesztési pályázat, TOP pályázat - Varázserdő)</t>
  </si>
  <si>
    <t>Gyermekek napközbeni ellátása (bölcsőde)</t>
  </si>
  <si>
    <t>Kiegészítő támogatás bölcsőde</t>
  </si>
  <si>
    <t>Kiegészítő támogatás bölcsődei dolgozó béréhez</t>
  </si>
  <si>
    <t>TOP-1.2.1-15-VE1-2016-00035 "Varázserdő, Varázserő"</t>
  </si>
  <si>
    <t>Application Service Provider, magyarul távoli alkalmazásszolgáltatás, ASP</t>
  </si>
  <si>
    <t>Óvoda fejlesztés (Önkormányzati feladatellátást segítő fejlesztések BM pályázat)</t>
  </si>
  <si>
    <t>Endrődi járda (+Laroba) (Adósságkonszolidációban részt nem vett önk-ok tám-sa BM pályázat)</t>
  </si>
  <si>
    <t>Temető nyilvántartó program</t>
  </si>
  <si>
    <t>Település arculait kézikönyv</t>
  </si>
  <si>
    <t>Egyéb ingatlanok beszerzése (erdő)</t>
  </si>
  <si>
    <t>Strandfejlesztés (Turizmusfejlesztési pályázat)</t>
  </si>
  <si>
    <t>Varázserdő, varázserő (TOP pályázat)</t>
  </si>
  <si>
    <t>Kilátótér fejlesztés I. ütem (BFT pályázat)</t>
  </si>
  <si>
    <t>Informatikai eszköz beszerzés (ASP pályázat)</t>
  </si>
  <si>
    <t>Laptop beszerzés (iskola info terem)</t>
  </si>
  <si>
    <t>Informatikai eszköz beszerzés (Közművelődési érd.növ. Pályázat)</t>
  </si>
  <si>
    <t>Gáztűzhely (Óvoda konyha)</t>
  </si>
  <si>
    <t>Projektor (Művház)</t>
  </si>
  <si>
    <t>Vetítővászon (Művház)</t>
  </si>
  <si>
    <t>Halászbokor Kft. Törzstőke</t>
  </si>
  <si>
    <t>Út felújítás</t>
  </si>
  <si>
    <t>Műk.c.tám. EGYÉB VÁLLALKOZÁSOK (Lakossági ivóvíz és szennyvíz pály. DRV részére átadott pe.)</t>
  </si>
  <si>
    <t>Első lakáshoz jutók tám., beiskolázási tám. Önk.rend.alapján</t>
  </si>
  <si>
    <t>6 óvónő</t>
  </si>
  <si>
    <t>3 dajka</t>
  </si>
  <si>
    <t>2 ped.assz. (ebből 1 fő 07.31-ig)</t>
  </si>
  <si>
    <t>fizikai 19</t>
  </si>
  <si>
    <t>2 kisgy.nevelő</t>
  </si>
  <si>
    <t>ebből strand, kemping 7  temüsz 12</t>
  </si>
  <si>
    <t>0,5 dajka/takarító (bölcsőde)</t>
  </si>
  <si>
    <t>1 szakács (bölcsőde)</t>
  </si>
  <si>
    <t>4 szakács</t>
  </si>
  <si>
    <t>adatok főben</t>
  </si>
  <si>
    <t>11. melléklet a 1/2018. (II.23) Önkormányzati rendelethez</t>
  </si>
  <si>
    <t>1. melléklet a 1/2018. (II.23) Önkormányzati rendelethez</t>
  </si>
  <si>
    <t>2. melléklet a 1/2018. (II.23) Önkormányzati rendelethez</t>
  </si>
  <si>
    <t>3. melléklet a 1/2018. (II.23) Önkormányzati rendelethez</t>
  </si>
  <si>
    <t>4. melléklet a 1/2018. (II.23) Önkormányzati rendelethez</t>
  </si>
  <si>
    <t>5. melléklet a 1/2018. (II.23) Önkormányzati rendelethez</t>
  </si>
  <si>
    <t>6. melléklet a 1/2018. (II.23) Önkormányzati rendelethez</t>
  </si>
  <si>
    <t>7. melléklet a 1/2018. (II.23) Önkormányzati rendelethez</t>
  </si>
  <si>
    <t>8. melléklet a 1/2018. (II.23) Önkormányzati rendelethez</t>
  </si>
  <si>
    <t>9. melléklet a 1/2018. (II.23) Önkormányzati rendelethez</t>
  </si>
  <si>
    <t>10. melléklet a 1/2018. (II.23) Önkormányzati rendelethez</t>
  </si>
  <si>
    <t>12. melléklet a 1/2018. (II.23)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</si>
</sst>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0__"/>
    <numFmt numFmtId="165" formatCode="_-* #,##0\ _F_t_-;\-* #,##0\ _F_t_-;_-* &quot;-&quot;??\ _F_t_-;_-@_-"/>
  </numFmts>
  <fonts count="46">
    <font>
      <sz val="10"/>
      <name val="Arial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3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22"/>
      <name val="Arial"/>
      <family val="2"/>
      <charset val="238"/>
    </font>
    <font>
      <b/>
      <sz val="16"/>
      <name val="Arial"/>
      <family val="2"/>
      <charset val="238"/>
    </font>
    <font>
      <b/>
      <i/>
      <sz val="16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i/>
      <sz val="13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sz val="9"/>
      <name val="Arial"/>
      <family val="2"/>
      <charset val="238"/>
    </font>
    <font>
      <i/>
      <sz val="22"/>
      <name val="Arial"/>
      <family val="2"/>
      <charset val="238"/>
    </font>
    <font>
      <i/>
      <sz val="10"/>
      <name val="Arial"/>
      <family val="2"/>
      <charset val="238"/>
    </font>
    <font>
      <b/>
      <i/>
      <sz val="12"/>
      <color indexed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i/>
      <u/>
      <sz val="11"/>
      <name val="Arial"/>
      <family val="2"/>
      <charset val="238"/>
    </font>
    <font>
      <b/>
      <i/>
      <u/>
      <sz val="14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u/>
      <sz val="8"/>
      <name val="Arial"/>
      <family val="2"/>
      <charset val="238"/>
    </font>
    <font>
      <u/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4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229">
    <xf numFmtId="0" fontId="0" fillId="0" borderId="0" xfId="0"/>
    <xf numFmtId="0" fontId="2" fillId="0" borderId="0" xfId="0" applyFont="1"/>
    <xf numFmtId="164" fontId="3" fillId="0" borderId="0" xfId="4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164" fontId="10" fillId="0" borderId="1" xfId="4" applyNumberFormat="1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wrapText="1"/>
    </xf>
    <xf numFmtId="164" fontId="11" fillId="0" borderId="1" xfId="4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Fill="1" applyBorder="1" applyAlignment="1">
      <alignment horizontal="justify" wrapText="1"/>
    </xf>
    <xf numFmtId="0" fontId="9" fillId="7" borderId="1" xfId="0" applyFont="1" applyFill="1" applyBorder="1" applyAlignment="1">
      <alignment horizontal="justify" wrapText="1"/>
    </xf>
    <xf numFmtId="0" fontId="8" fillId="0" borderId="1" xfId="0" applyFont="1" applyFill="1" applyBorder="1" applyAlignment="1">
      <alignment horizontal="justify" wrapText="1"/>
    </xf>
    <xf numFmtId="0" fontId="7" fillId="0" borderId="0" xfId="0" applyFont="1"/>
    <xf numFmtId="0" fontId="7" fillId="0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8" fillId="0" borderId="1" xfId="0" applyFont="1" applyFill="1" applyBorder="1" applyAlignment="1">
      <alignment wrapText="1"/>
    </xf>
    <xf numFmtId="0" fontId="12" fillId="0" borderId="0" xfId="0" applyFont="1" applyFill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wrapText="1"/>
    </xf>
    <xf numFmtId="0" fontId="14" fillId="0" borderId="0" xfId="0" applyFont="1" applyFill="1" applyAlignment="1"/>
    <xf numFmtId="0" fontId="15" fillId="0" borderId="0" xfId="0" applyFont="1" applyFill="1" applyAlignment="1">
      <alignment wrapText="1"/>
    </xf>
    <xf numFmtId="164" fontId="11" fillId="2" borderId="1" xfId="4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9" fillId="2" borderId="1" xfId="0" applyFont="1" applyFill="1" applyBorder="1" applyAlignment="1">
      <alignment wrapText="1"/>
    </xf>
    <xf numFmtId="165" fontId="2" fillId="0" borderId="0" xfId="1" applyNumberFormat="1" applyFont="1" applyFill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165" fontId="11" fillId="7" borderId="1" xfId="1" applyNumberFormat="1" applyFont="1" applyFill="1" applyBorder="1" applyAlignment="1">
      <alignment horizontal="center" vertical="center" wrapText="1"/>
    </xf>
    <xf numFmtId="165" fontId="9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9" fillId="2" borderId="1" xfId="1" applyNumberFormat="1" applyFont="1" applyFill="1" applyBorder="1" applyAlignment="1">
      <alignment horizontal="center" vertical="center"/>
    </xf>
    <xf numFmtId="165" fontId="9" fillId="8" borderId="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Alignment="1">
      <alignment horizontal="center" vertical="center" wrapText="1"/>
    </xf>
    <xf numFmtId="165" fontId="9" fillId="9" borderId="1" xfId="1" applyNumberFormat="1" applyFont="1" applyFill="1" applyBorder="1" applyAlignment="1">
      <alignment horizontal="center" vertical="center"/>
    </xf>
    <xf numFmtId="165" fontId="9" fillId="1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19" fillId="0" borderId="1" xfId="4" applyNumberFormat="1" applyFont="1" applyFill="1" applyBorder="1" applyAlignment="1">
      <alignment horizontal="left" vertical="center" wrapText="1"/>
    </xf>
    <xf numFmtId="3" fontId="19" fillId="0" borderId="1" xfId="4" applyNumberFormat="1" applyFont="1" applyFill="1" applyBorder="1" applyAlignment="1">
      <alignment horizontal="right" vertical="center" wrapText="1"/>
    </xf>
    <xf numFmtId="164" fontId="20" fillId="0" borderId="1" xfId="4" applyNumberFormat="1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3" fillId="0" borderId="1" xfId="4" applyNumberFormat="1" applyFont="1" applyFill="1" applyBorder="1" applyAlignment="1">
      <alignment horizontal="right" vertical="center"/>
    </xf>
    <xf numFmtId="3" fontId="3" fillId="0" borderId="1" xfId="4" applyNumberFormat="1" applyFont="1" applyFill="1" applyBorder="1" applyAlignment="1">
      <alignment horizontal="right" vertical="center" wrapText="1"/>
    </xf>
    <xf numFmtId="164" fontId="3" fillId="0" borderId="0" xfId="4" applyNumberFormat="1" applyFont="1" applyFill="1" applyBorder="1" applyAlignment="1">
      <alignment horizontal="left" vertical="center"/>
    </xf>
    <xf numFmtId="3" fontId="21" fillId="0" borderId="1" xfId="4" applyNumberFormat="1" applyFont="1" applyFill="1" applyBorder="1" applyAlignment="1">
      <alignment horizontal="right" vertical="center" wrapText="1"/>
    </xf>
    <xf numFmtId="164" fontId="21" fillId="0" borderId="0" xfId="4" applyNumberFormat="1" applyFont="1" applyFill="1" applyBorder="1" applyAlignment="1">
      <alignment horizontal="left" vertical="center" wrapText="1"/>
    </xf>
    <xf numFmtId="164" fontId="22" fillId="0" borderId="0" xfId="4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3" fontId="3" fillId="0" borderId="1" xfId="3" applyNumberFormat="1" applyFont="1" applyFill="1" applyBorder="1" applyAlignment="1">
      <alignment horizontal="right" vertical="center"/>
    </xf>
    <xf numFmtId="0" fontId="3" fillId="0" borderId="0" xfId="3" applyFont="1" applyFill="1" applyBorder="1" applyAlignment="1">
      <alignment horizontal="left" vertical="center"/>
    </xf>
    <xf numFmtId="164" fontId="23" fillId="0" borderId="0" xfId="4" applyNumberFormat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0" fillId="0" borderId="2" xfId="0" applyFont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2" fillId="0" borderId="0" xfId="0" applyFont="1" applyAlignment="1"/>
    <xf numFmtId="165" fontId="2" fillId="0" borderId="0" xfId="1" applyNumberFormat="1" applyFont="1"/>
    <xf numFmtId="165" fontId="8" fillId="0" borderId="1" xfId="1" applyNumberFormat="1" applyFont="1" applyBorder="1" applyAlignment="1">
      <alignment horizontal="center" vertical="center" wrapText="1"/>
    </xf>
    <xf numFmtId="3" fontId="21" fillId="0" borderId="0" xfId="4" applyNumberFormat="1" applyFont="1" applyFill="1" applyBorder="1" applyAlignment="1">
      <alignment horizontal="right" vertical="center" wrapText="1"/>
    </xf>
    <xf numFmtId="165" fontId="2" fillId="0" borderId="0" xfId="1" applyNumberFormat="1" applyFont="1" applyFill="1"/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65" fontId="24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3" fontId="2" fillId="0" borderId="1" xfId="0" applyNumberFormat="1" applyFont="1" applyBorder="1"/>
    <xf numFmtId="165" fontId="2" fillId="0" borderId="1" xfId="1" applyNumberFormat="1" applyFont="1" applyBorder="1"/>
    <xf numFmtId="3" fontId="2" fillId="0" borderId="1" xfId="0" applyNumberFormat="1" applyFont="1" applyBorder="1" applyAlignment="1">
      <alignment wrapText="1"/>
    </xf>
    <xf numFmtId="3" fontId="7" fillId="0" borderId="1" xfId="0" applyNumberFormat="1" applyFont="1" applyBorder="1"/>
    <xf numFmtId="165" fontId="7" fillId="0" borderId="1" xfId="1" applyNumberFormat="1" applyFont="1" applyBorder="1"/>
    <xf numFmtId="3" fontId="2" fillId="0" borderId="0" xfId="0" applyNumberFormat="1" applyFont="1"/>
    <xf numFmtId="0" fontId="13" fillId="0" borderId="2" xfId="0" applyFont="1" applyBorder="1" applyAlignment="1">
      <alignment wrapText="1"/>
    </xf>
    <xf numFmtId="0" fontId="2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1" fontId="28" fillId="0" borderId="0" xfId="0" applyNumberFormat="1" applyFont="1" applyAlignment="1">
      <alignment vertical="center"/>
    </xf>
    <xf numFmtId="1" fontId="29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28" fillId="0" borderId="1" xfId="0" applyFont="1" applyBorder="1" applyAlignment="1">
      <alignment wrapText="1"/>
    </xf>
    <xf numFmtId="0" fontId="28" fillId="0" borderId="1" xfId="0" applyFont="1" applyBorder="1" applyAlignment="1">
      <alignment vertical="center"/>
    </xf>
    <xf numFmtId="1" fontId="28" fillId="0" borderId="1" xfId="0" applyNumberFormat="1" applyFont="1" applyFill="1" applyBorder="1" applyAlignment="1">
      <alignment vertical="center"/>
    </xf>
    <xf numFmtId="1" fontId="28" fillId="0" borderId="1" xfId="0" applyNumberFormat="1" applyFont="1" applyBorder="1" applyAlignment="1">
      <alignment vertical="center"/>
    </xf>
    <xf numFmtId="0" fontId="28" fillId="0" borderId="1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5" fillId="0" borderId="1" xfId="0" applyFont="1" applyBorder="1" applyAlignment="1">
      <alignment wrapText="1"/>
    </xf>
    <xf numFmtId="165" fontId="28" fillId="0" borderId="3" xfId="1" applyNumberFormat="1" applyFont="1" applyFill="1" applyBorder="1" applyAlignment="1" applyProtection="1">
      <alignment horizontal="right"/>
    </xf>
    <xf numFmtId="165" fontId="28" fillId="0" borderId="1" xfId="1" applyNumberFormat="1" applyFont="1" applyBorder="1" applyAlignment="1">
      <alignment horizontal="right" vertical="center"/>
    </xf>
    <xf numFmtId="165" fontId="13" fillId="0" borderId="1" xfId="1" applyNumberFormat="1" applyFont="1" applyBorder="1" applyAlignment="1">
      <alignment horizontal="right" vertical="center"/>
    </xf>
    <xf numFmtId="164" fontId="21" fillId="0" borderId="0" xfId="4" applyNumberFormat="1" applyFont="1" applyFill="1" applyBorder="1" applyAlignment="1">
      <alignment vertical="center" wrapText="1"/>
    </xf>
    <xf numFmtId="164" fontId="20" fillId="0" borderId="0" xfId="4" applyNumberFormat="1" applyFont="1" applyFill="1" applyBorder="1" applyAlignment="1">
      <alignment horizontal="left" vertical="center" wrapText="1"/>
    </xf>
    <xf numFmtId="0" fontId="22" fillId="0" borderId="0" xfId="3" applyFont="1" applyFill="1" applyBorder="1" applyAlignment="1">
      <alignment horizontal="right" vertical="center"/>
    </xf>
    <xf numFmtId="0" fontId="8" fillId="0" borderId="0" xfId="0" applyFont="1"/>
    <xf numFmtId="0" fontId="2" fillId="0" borderId="1" xfId="0" applyFont="1" applyBorder="1" applyAlignment="1" applyProtection="1">
      <alignment wrapText="1"/>
      <protection locked="0"/>
    </xf>
    <xf numFmtId="0" fontId="24" fillId="0" borderId="1" xfId="0" applyFont="1" applyFill="1" applyBorder="1" applyAlignment="1">
      <alignment wrapText="1"/>
    </xf>
    <xf numFmtId="0" fontId="31" fillId="0" borderId="0" xfId="0" applyFont="1" applyAlignment="1"/>
    <xf numFmtId="0" fontId="16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horizontal="center" vertical="center"/>
    </xf>
    <xf numFmtId="0" fontId="32" fillId="0" borderId="0" xfId="0" applyFont="1"/>
    <xf numFmtId="0" fontId="17" fillId="0" borderId="1" xfId="0" applyFont="1" applyFill="1" applyBorder="1" applyAlignment="1">
      <alignment wrapText="1"/>
    </xf>
    <xf numFmtId="2" fontId="33" fillId="0" borderId="1" xfId="4" applyNumberFormat="1" applyFont="1" applyFill="1" applyBorder="1" applyAlignment="1">
      <alignment horizontal="center" vertical="center" wrapText="1"/>
    </xf>
    <xf numFmtId="0" fontId="32" fillId="0" borderId="0" xfId="0" applyFont="1" applyFill="1"/>
    <xf numFmtId="0" fontId="17" fillId="0" borderId="0" xfId="0" applyFont="1" applyFill="1" applyBorder="1" applyAlignment="1">
      <alignment wrapText="1"/>
    </xf>
    <xf numFmtId="2" fontId="33" fillId="0" borderId="0" xfId="4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4" fillId="3" borderId="4" xfId="0" applyFont="1" applyFill="1" applyBorder="1" applyAlignment="1">
      <alignment wrapText="1"/>
    </xf>
    <xf numFmtId="0" fontId="35" fillId="0" borderId="5" xfId="0" applyFont="1" applyBorder="1" applyAlignment="1">
      <alignment horizontal="center" vertical="center" wrapText="1"/>
    </xf>
    <xf numFmtId="164" fontId="10" fillId="0" borderId="1" xfId="4" applyNumberFormat="1" applyFont="1" applyFill="1" applyBorder="1" applyAlignment="1">
      <alignment vertical="center" wrapText="1"/>
    </xf>
    <xf numFmtId="3" fontId="10" fillId="0" borderId="1" xfId="4" applyNumberFormat="1" applyFont="1" applyFill="1" applyBorder="1" applyAlignment="1">
      <alignment horizontal="center" vertical="center" wrapText="1"/>
    </xf>
    <xf numFmtId="3" fontId="19" fillId="0" borderId="1" xfId="4" applyNumberFormat="1" applyFont="1" applyFill="1" applyBorder="1" applyAlignment="1">
      <alignment horizontal="center" vertical="center" wrapText="1"/>
    </xf>
    <xf numFmtId="3" fontId="19" fillId="0" borderId="0" xfId="4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wrapText="1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center" vertical="center"/>
    </xf>
    <xf numFmtId="3" fontId="19" fillId="0" borderId="7" xfId="4" applyNumberFormat="1" applyFont="1" applyFill="1" applyBorder="1" applyAlignment="1">
      <alignment horizontal="center" vertical="center" wrapText="1"/>
    </xf>
    <xf numFmtId="0" fontId="36" fillId="0" borderId="8" xfId="0" applyFont="1" applyFill="1" applyBorder="1"/>
    <xf numFmtId="3" fontId="36" fillId="0" borderId="9" xfId="0" applyNumberFormat="1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/>
    <xf numFmtId="0" fontId="43" fillId="0" borderId="1" xfId="0" applyFont="1" applyFill="1" applyBorder="1" applyAlignment="1">
      <alignment horizontal="center" vertical="center"/>
    </xf>
    <xf numFmtId="0" fontId="34" fillId="3" borderId="11" xfId="0" applyFont="1" applyFill="1" applyBorder="1" applyAlignment="1">
      <alignment wrapText="1"/>
    </xf>
    <xf numFmtId="1" fontId="8" fillId="0" borderId="1" xfId="0" applyNumberFormat="1" applyFont="1" applyFill="1" applyBorder="1" applyAlignment="1">
      <alignment horizontal="center" vertical="center"/>
    </xf>
    <xf numFmtId="1" fontId="36" fillId="0" borderId="9" xfId="0" applyNumberFormat="1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wrapText="1"/>
    </xf>
    <xf numFmtId="1" fontId="26" fillId="0" borderId="12" xfId="0" applyNumberFormat="1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" fillId="0" borderId="0" xfId="0" applyFont="1" applyBorder="1"/>
    <xf numFmtId="0" fontId="27" fillId="0" borderId="0" xfId="0" applyFont="1"/>
    <xf numFmtId="0" fontId="6" fillId="0" borderId="0" xfId="2" applyFont="1" applyAlignment="1" applyProtection="1"/>
    <xf numFmtId="165" fontId="2" fillId="0" borderId="0" xfId="1" applyNumberFormat="1" applyFont="1" applyAlignment="1">
      <alignment vertical="center"/>
    </xf>
    <xf numFmtId="165" fontId="2" fillId="0" borderId="0" xfId="1" applyNumberFormat="1" applyFont="1" applyAlignment="1">
      <alignment horizontal="right" vertical="center"/>
    </xf>
    <xf numFmtId="165" fontId="16" fillId="0" borderId="0" xfId="1" applyNumberFormat="1" applyFont="1" applyAlignment="1">
      <alignment vertical="center"/>
    </xf>
    <xf numFmtId="165" fontId="8" fillId="0" borderId="0" xfId="1" applyNumberFormat="1" applyFont="1" applyAlignment="1">
      <alignment horizontal="right" vertical="center"/>
    </xf>
    <xf numFmtId="165" fontId="17" fillId="2" borderId="1" xfId="1" applyNumberFormat="1" applyFont="1" applyFill="1" applyBorder="1" applyAlignment="1">
      <alignment horizontal="center" vertical="center"/>
    </xf>
    <xf numFmtId="165" fontId="17" fillId="2" borderId="1" xfId="1" applyNumberFormat="1" applyFont="1" applyFill="1" applyBorder="1" applyAlignment="1">
      <alignment horizontal="center" vertical="center" wrapText="1"/>
    </xf>
    <xf numFmtId="165" fontId="9" fillId="0" borderId="1" xfId="1" applyNumberFormat="1" applyFont="1" applyBorder="1" applyAlignment="1">
      <alignment vertical="center" wrapText="1"/>
    </xf>
    <xf numFmtId="165" fontId="8" fillId="0" borderId="1" xfId="1" applyNumberFormat="1" applyFont="1" applyBorder="1" applyAlignment="1">
      <alignment horizontal="right" vertical="center"/>
    </xf>
    <xf numFmtId="165" fontId="9" fillId="0" borderId="1" xfId="1" applyNumberFormat="1" applyFont="1" applyBorder="1" applyAlignment="1">
      <alignment horizontal="justify" vertical="center" wrapText="1"/>
    </xf>
    <xf numFmtId="165" fontId="10" fillId="0" borderId="1" xfId="1" applyNumberFormat="1" applyFont="1" applyFill="1" applyBorder="1" applyAlignment="1">
      <alignment horizontal="left" vertical="center" wrapText="1"/>
    </xf>
    <xf numFmtId="165" fontId="9" fillId="4" borderId="1" xfId="1" applyNumberFormat="1" applyFont="1" applyFill="1" applyBorder="1" applyAlignment="1">
      <alignment horizontal="justify" vertical="center" wrapText="1"/>
    </xf>
    <xf numFmtId="165" fontId="8" fillId="4" borderId="1" xfId="1" applyNumberFormat="1" applyFont="1" applyFill="1" applyBorder="1" applyAlignment="1">
      <alignment horizontal="right" vertical="center"/>
    </xf>
    <xf numFmtId="165" fontId="8" fillId="0" borderId="1" xfId="1" applyNumberFormat="1" applyFont="1" applyFill="1" applyBorder="1" applyAlignment="1">
      <alignment horizontal="justify" vertical="center" wrapText="1"/>
    </xf>
    <xf numFmtId="165" fontId="8" fillId="0" borderId="1" xfId="1" applyNumberFormat="1" applyFont="1" applyBorder="1" applyAlignment="1">
      <alignment horizontal="justify" vertical="center" wrapText="1"/>
    </xf>
    <xf numFmtId="165" fontId="9" fillId="0" borderId="1" xfId="1" applyNumberFormat="1" applyFont="1" applyFill="1" applyBorder="1" applyAlignment="1">
      <alignment horizontal="justify" vertical="center" wrapText="1"/>
    </xf>
    <xf numFmtId="165" fontId="17" fillId="2" borderId="1" xfId="1" applyNumberFormat="1" applyFont="1" applyFill="1" applyBorder="1" applyAlignment="1">
      <alignment vertical="center" wrapText="1"/>
    </xf>
    <xf numFmtId="165" fontId="17" fillId="2" borderId="1" xfId="1" applyNumberFormat="1" applyFont="1" applyFill="1" applyBorder="1" applyAlignment="1">
      <alignment horizontal="justify" vertical="center" wrapText="1"/>
    </xf>
    <xf numFmtId="165" fontId="8" fillId="0" borderId="1" xfId="1" applyNumberFormat="1" applyFont="1" applyBorder="1" applyAlignment="1">
      <alignment vertical="center" wrapText="1"/>
    </xf>
    <xf numFmtId="165" fontId="9" fillId="4" borderId="1" xfId="1" applyNumberFormat="1" applyFont="1" applyFill="1" applyBorder="1" applyAlignment="1">
      <alignment vertical="center" wrapText="1"/>
    </xf>
    <xf numFmtId="165" fontId="8" fillId="0" borderId="1" xfId="1" applyNumberFormat="1" applyFont="1" applyFill="1" applyBorder="1" applyAlignment="1">
      <alignment vertical="center" wrapText="1"/>
    </xf>
    <xf numFmtId="165" fontId="17" fillId="5" borderId="1" xfId="1" applyNumberFormat="1" applyFont="1" applyFill="1" applyBorder="1" applyAlignment="1">
      <alignment vertical="center" wrapText="1"/>
    </xf>
    <xf numFmtId="165" fontId="11" fillId="0" borderId="1" xfId="1" applyNumberFormat="1" applyFont="1" applyFill="1" applyBorder="1" applyAlignment="1">
      <alignment horizontal="left" vertical="center" wrapText="1"/>
    </xf>
    <xf numFmtId="165" fontId="17" fillId="6" borderId="1" xfId="1" applyNumberFormat="1" applyFont="1" applyFill="1" applyBorder="1" applyAlignment="1">
      <alignment vertical="center" wrapText="1"/>
    </xf>
    <xf numFmtId="165" fontId="38" fillId="6" borderId="1" xfId="1" applyNumberFormat="1" applyFont="1" applyFill="1" applyBorder="1" applyAlignment="1">
      <alignment horizontal="left" vertical="center" wrapText="1"/>
    </xf>
    <xf numFmtId="0" fontId="25" fillId="0" borderId="0" xfId="0" applyFont="1"/>
    <xf numFmtId="0" fontId="25" fillId="0" borderId="1" xfId="0" applyFont="1" applyBorder="1"/>
    <xf numFmtId="0" fontId="30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65" fontId="30" fillId="0" borderId="1" xfId="1" applyNumberFormat="1" applyFont="1" applyBorder="1" applyAlignment="1">
      <alignment vertical="center" shrinkToFit="1"/>
    </xf>
    <xf numFmtId="165" fontId="2" fillId="0" borderId="1" xfId="1" applyNumberFormat="1" applyFont="1" applyBorder="1" applyAlignment="1">
      <alignment vertical="center" shrinkToFit="1"/>
    </xf>
    <xf numFmtId="0" fontId="7" fillId="0" borderId="1" xfId="0" applyFont="1" applyBorder="1" applyAlignment="1">
      <alignment wrapText="1"/>
    </xf>
    <xf numFmtId="165" fontId="7" fillId="0" borderId="1" xfId="1" applyNumberFormat="1" applyFont="1" applyBorder="1" applyAlignment="1">
      <alignment vertical="center" shrinkToFit="1"/>
    </xf>
    <xf numFmtId="0" fontId="7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0" fillId="0" borderId="13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center" vertical="center"/>
    </xf>
    <xf numFmtId="0" fontId="40" fillId="0" borderId="13" xfId="0" applyFont="1" applyFill="1" applyBorder="1" applyAlignment="1">
      <alignment horizontal="center" vertical="center" wrapText="1"/>
    </xf>
    <xf numFmtId="0" fontId="42" fillId="0" borderId="16" xfId="0" applyFont="1" applyFill="1" applyBorder="1" applyAlignment="1">
      <alignment horizontal="center" vertical="center"/>
    </xf>
    <xf numFmtId="0" fontId="42" fillId="0" borderId="14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0" fontId="0" fillId="0" borderId="2" xfId="0" applyBorder="1" applyAlignment="1" applyProtection="1">
      <alignment wrapText="1"/>
      <protection locked="0"/>
    </xf>
    <xf numFmtId="0" fontId="44" fillId="0" borderId="2" xfId="0" applyFont="1" applyBorder="1" applyAlignment="1">
      <alignment wrapText="1"/>
    </xf>
    <xf numFmtId="165" fontId="45" fillId="0" borderId="3" xfId="1" applyNumberFormat="1" applyFont="1" applyFill="1" applyBorder="1" applyAlignment="1" applyProtection="1">
      <alignment horizontal="right"/>
    </xf>
    <xf numFmtId="0" fontId="26" fillId="0" borderId="1" xfId="0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28" fillId="0" borderId="0" xfId="0" applyFont="1" applyAlignment="1">
      <alignment wrapText="1"/>
    </xf>
    <xf numFmtId="0" fontId="13" fillId="0" borderId="0" xfId="0" applyFont="1" applyFill="1" applyBorder="1" applyAlignment="1">
      <alignment wrapText="1"/>
    </xf>
    <xf numFmtId="3" fontId="45" fillId="0" borderId="1" xfId="0" applyNumberFormat="1" applyFont="1" applyBorder="1" applyAlignment="1">
      <alignment vertical="center" wrapText="1"/>
    </xf>
    <xf numFmtId="3" fontId="44" fillId="0" borderId="1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28" fillId="0" borderId="1" xfId="0" applyFont="1" applyFill="1" applyBorder="1" applyAlignment="1">
      <alignment wrapText="1"/>
    </xf>
    <xf numFmtId="0" fontId="28" fillId="0" borderId="0" xfId="0" applyFont="1" applyBorder="1" applyAlignment="1">
      <alignment wrapText="1"/>
    </xf>
    <xf numFmtId="0" fontId="13" fillId="11" borderId="1" xfId="0" applyFont="1" applyFill="1" applyBorder="1" applyAlignment="1">
      <alignment vertical="center" wrapText="1"/>
    </xf>
    <xf numFmtId="3" fontId="13" fillId="11" borderId="1" xfId="0" applyNumberFormat="1" applyFont="1" applyFill="1" applyBorder="1" applyAlignment="1">
      <alignment vertical="center"/>
    </xf>
    <xf numFmtId="0" fontId="44" fillId="0" borderId="17" xfId="0" applyFont="1" applyBorder="1" applyAlignment="1">
      <alignment wrapText="1"/>
    </xf>
    <xf numFmtId="0" fontId="44" fillId="0" borderId="1" xfId="0" applyFont="1" applyBorder="1" applyAlignment="1">
      <alignment wrapText="1"/>
    </xf>
    <xf numFmtId="0" fontId="0" fillId="0" borderId="0" xfId="0" applyFill="1" applyAlignment="1">
      <alignment wrapText="1"/>
    </xf>
    <xf numFmtId="165" fontId="9" fillId="0" borderId="1" xfId="1" applyNumberFormat="1" applyFont="1" applyBorder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165" fontId="2" fillId="0" borderId="0" xfId="1" applyNumberFormat="1" applyFont="1" applyAlignment="1">
      <alignment horizontal="center" vertical="center"/>
    </xf>
    <xf numFmtId="165" fontId="2" fillId="0" borderId="0" xfId="1" applyNumberFormat="1" applyFont="1" applyFill="1" applyAlignment="1">
      <alignment horizontal="right" vertical="center"/>
    </xf>
    <xf numFmtId="0" fontId="2" fillId="0" borderId="0" xfId="0" applyFont="1" applyAlignment="1">
      <alignment horizontal="right"/>
    </xf>
    <xf numFmtId="165" fontId="2" fillId="0" borderId="0" xfId="1" applyNumberFormat="1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 vertical="center"/>
    </xf>
    <xf numFmtId="0" fontId="24" fillId="0" borderId="0" xfId="0" applyFont="1" applyAlignment="1">
      <alignment wrapText="1"/>
    </xf>
    <xf numFmtId="0" fontId="2" fillId="0" borderId="0" xfId="0" applyFont="1" applyAlignment="1">
      <alignment horizontal="center" vertical="center"/>
    </xf>
  </cellXfs>
  <cellStyles count="5">
    <cellStyle name="Ezres" xfId="1" builtinId="3"/>
    <cellStyle name="Hivatkozás" xfId="2" builtinId="8"/>
    <cellStyle name="Normál" xfId="0" builtinId="0"/>
    <cellStyle name="Normál_70ûrlap" xfId="3"/>
    <cellStyle name="Normál_97ûrlap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-ROZSA\Dokumentumok\Users\pugy\Documents\K&#246;lts&#233;gvet&#233;s%20&#233;s%20EI%20m&#243;d.%202012\2013%20Feb.12-i%20&#252;l&#233;s%20Ktgvet&#233;s%203.sz.%20m&#243;dos&#237;t&#225;sa\2013.02.12-i%20&#252;l&#233;s%202012.%20&#233;vi%20k&#246;lts&#233;gvet&#233;si%20rendelet%203.sz.%20EI%20m&#243;d%202012.10.01-12.31-ig%20mell&#233;klet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bevétel-kiadás"/>
      <sheetName val="2 finanszírozás"/>
      <sheetName val="3 támért kiadás"/>
      <sheetName val="4 átadott pénzeszköz"/>
      <sheetName val="5 beruházás felújítás"/>
      <sheetName val="6 támért bevétel"/>
      <sheetName val="7 átvett pénzeszköz"/>
      <sheetName val="8 felhalmozási és műk-i bev"/>
      <sheetName val="9 helyi adók"/>
      <sheetName val="10 állami támogatás"/>
      <sheetName val="11 tartalékok"/>
      <sheetName val="12 EU projektek"/>
      <sheetName val="13 létszám"/>
      <sheetName val="14 stabilitási tv"/>
      <sheetName val="15 több éves"/>
      <sheetName val="16 közvetett"/>
      <sheetName val="17 mérleg összesen"/>
      <sheetName val="18a, Önk. ei. f. ütemterv"/>
      <sheetName val="18b, PH ei. f. ütemterv"/>
      <sheetName val="18c, ÁMK ei. f. ütemterv"/>
      <sheetName val="18d, Temüsz ei. f. ütemterv"/>
      <sheetName val="18e, Óvoda ei.f. ütemterv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view="pageBreakPreview" zoomScale="75" zoomScaleSheetLayoutView="75" workbookViewId="0">
      <selection activeCell="B1" sqref="B1:G1"/>
    </sheetView>
  </sheetViews>
  <sheetFormatPr defaultRowHeight="14.25"/>
  <cols>
    <col min="1" max="1" width="9.140625" style="152" customWidth="1"/>
    <col min="2" max="2" width="48" style="152" customWidth="1"/>
    <col min="3" max="3" width="21.42578125" style="155" customWidth="1"/>
    <col min="4" max="4" width="21.7109375" style="155" customWidth="1"/>
    <col min="5" max="5" width="49.5703125" style="152" customWidth="1"/>
    <col min="6" max="6" width="20.140625" style="155" customWidth="1"/>
    <col min="7" max="7" width="20.85546875" style="155" customWidth="1"/>
    <col min="8" max="8" width="20.7109375" style="152" customWidth="1"/>
    <col min="9" max="9" width="18" style="152" customWidth="1"/>
    <col min="10" max="16384" width="9.140625" style="152"/>
  </cols>
  <sheetData>
    <row r="1" spans="1:7" ht="14.25" customHeight="1">
      <c r="B1" s="219" t="s">
        <v>295</v>
      </c>
      <c r="C1" s="219"/>
      <c r="D1" s="219"/>
      <c r="E1" s="219"/>
      <c r="F1" s="219"/>
      <c r="G1" s="219"/>
    </row>
    <row r="2" spans="1:7" ht="14.25" customHeight="1">
      <c r="B2" s="153"/>
      <c r="C2" s="153"/>
      <c r="D2" s="153"/>
      <c r="E2" s="220"/>
      <c r="F2" s="220"/>
      <c r="G2" s="220"/>
    </row>
    <row r="3" spans="1:7" ht="20.25">
      <c r="B3" s="154" t="s">
        <v>119</v>
      </c>
      <c r="E3" s="154"/>
    </row>
    <row r="4" spans="1:7">
      <c r="F4" s="155" t="s">
        <v>0</v>
      </c>
    </row>
    <row r="5" spans="1:7" ht="60.2" customHeight="1">
      <c r="B5" s="156" t="s">
        <v>1</v>
      </c>
      <c r="C5" s="157" t="s">
        <v>120</v>
      </c>
      <c r="D5" s="157" t="s">
        <v>121</v>
      </c>
      <c r="E5" s="157" t="s">
        <v>1</v>
      </c>
      <c r="F5" s="157" t="s">
        <v>120</v>
      </c>
      <c r="G5" s="157" t="s">
        <v>121</v>
      </c>
    </row>
    <row r="6" spans="1:7">
      <c r="B6" s="156" t="s">
        <v>6</v>
      </c>
      <c r="C6" s="157" t="s">
        <v>7</v>
      </c>
      <c r="D6" s="157" t="s">
        <v>8</v>
      </c>
      <c r="E6" s="156" t="s">
        <v>122</v>
      </c>
      <c r="F6" s="157" t="s">
        <v>10</v>
      </c>
      <c r="G6" s="157" t="s">
        <v>11</v>
      </c>
    </row>
    <row r="7" spans="1:7" ht="107.25" customHeight="1">
      <c r="A7" s="152">
        <v>1</v>
      </c>
      <c r="B7" s="158" t="s">
        <v>232</v>
      </c>
      <c r="C7" s="159">
        <v>207808</v>
      </c>
      <c r="D7" s="159">
        <f>'1 bevétel-kiadás'!D7+'1 bevétel-kiadás'!F7+'1 bevétel-kiadás'!H7+'1 bevétel-kiadás'!J7</f>
        <v>270957</v>
      </c>
      <c r="E7" s="160" t="s">
        <v>41</v>
      </c>
      <c r="F7" s="159">
        <v>180754</v>
      </c>
      <c r="G7" s="159">
        <f>'1 bevétel-kiadás'!D38+'1 bevétel-kiadás'!F38+'1 bevétel-kiadás'!H38+'1 bevétel-kiadás'!J38</f>
        <v>194446</v>
      </c>
    </row>
    <row r="8" spans="1:7" ht="45">
      <c r="A8" s="152">
        <v>2</v>
      </c>
      <c r="B8" s="158" t="s">
        <v>233</v>
      </c>
      <c r="C8" s="159">
        <f>SUM(C9:C12)</f>
        <v>218220</v>
      </c>
      <c r="D8" s="159">
        <f>'1 bevétel-kiadás'!D8</f>
        <v>242345</v>
      </c>
      <c r="E8" s="160" t="s">
        <v>42</v>
      </c>
      <c r="F8" s="159">
        <v>44045</v>
      </c>
      <c r="G8" s="159">
        <f>'1 bevétel-kiadás'!D39+'1 bevétel-kiadás'!F39+'1 bevétel-kiadás'!H39+'1 bevétel-kiadás'!J39</f>
        <v>45756</v>
      </c>
    </row>
    <row r="9" spans="1:7" ht="96" customHeight="1">
      <c r="A9" s="152">
        <v>3</v>
      </c>
      <c r="B9" s="161" t="s">
        <v>19</v>
      </c>
      <c r="C9" s="159">
        <v>211600</v>
      </c>
      <c r="D9" s="159">
        <f>'1 bevétel-kiadás'!D9</f>
        <v>234041</v>
      </c>
      <c r="E9" s="160" t="s">
        <v>43</v>
      </c>
      <c r="F9" s="159">
        <v>249410</v>
      </c>
      <c r="G9" s="159">
        <f>'1 bevétel-kiadás'!D40+'1 bevétel-kiadás'!F40+'1 bevétel-kiadás'!H40+'1 bevétel-kiadás'!J40</f>
        <v>282868</v>
      </c>
    </row>
    <row r="10" spans="1:7" ht="30">
      <c r="A10" s="152">
        <v>4</v>
      </c>
      <c r="B10" s="161" t="s">
        <v>20</v>
      </c>
      <c r="C10" s="159">
        <f>'[1]1 bevétel-kiadás'!J9</f>
        <v>0</v>
      </c>
      <c r="D10" s="159">
        <v>0</v>
      </c>
      <c r="E10" s="162" t="s">
        <v>123</v>
      </c>
      <c r="F10" s="163"/>
      <c r="G10" s="163"/>
    </row>
    <row r="11" spans="1:7" ht="15">
      <c r="A11" s="152">
        <v>5</v>
      </c>
      <c r="B11" s="161" t="s">
        <v>21</v>
      </c>
      <c r="C11" s="159">
        <v>620</v>
      </c>
      <c r="D11" s="159">
        <f>'1 bevétel-kiadás'!D11</f>
        <v>998</v>
      </c>
      <c r="E11" s="160" t="s">
        <v>45</v>
      </c>
      <c r="F11" s="159">
        <f>SUM(F12:F16)</f>
        <v>75355</v>
      </c>
      <c r="G11" s="159">
        <f>SUM(G12:G16)</f>
        <v>89306</v>
      </c>
    </row>
    <row r="12" spans="1:7">
      <c r="A12" s="152">
        <v>6</v>
      </c>
      <c r="B12" s="161" t="s">
        <v>75</v>
      </c>
      <c r="C12" s="159">
        <v>6000</v>
      </c>
      <c r="D12" s="159">
        <f>'1 bevétel-kiadás'!D12</f>
        <v>7306</v>
      </c>
      <c r="E12" s="164" t="s">
        <v>46</v>
      </c>
      <c r="F12" s="159">
        <v>3580</v>
      </c>
      <c r="G12" s="159">
        <f>'1 bevétel-kiadás'!D43</f>
        <v>5085</v>
      </c>
    </row>
    <row r="13" spans="1:7" ht="28.5">
      <c r="A13" s="152">
        <v>7</v>
      </c>
      <c r="B13" s="161"/>
      <c r="C13" s="159"/>
      <c r="D13" s="159"/>
      <c r="E13" s="165" t="s">
        <v>47</v>
      </c>
      <c r="F13" s="159">
        <v>0</v>
      </c>
      <c r="G13" s="159"/>
    </row>
    <row r="14" spans="1:7" ht="28.5">
      <c r="A14" s="152">
        <v>8</v>
      </c>
      <c r="B14" s="161"/>
      <c r="C14" s="159"/>
      <c r="D14" s="159"/>
      <c r="E14" s="164" t="s">
        <v>48</v>
      </c>
      <c r="F14" s="159">
        <v>71775</v>
      </c>
      <c r="G14" s="159">
        <f>'1 bevétel-kiadás'!D47</f>
        <v>84009</v>
      </c>
    </row>
    <row r="15" spans="1:7" ht="15">
      <c r="A15" s="152">
        <v>9</v>
      </c>
      <c r="B15" s="158" t="s">
        <v>23</v>
      </c>
      <c r="C15" s="159">
        <v>166027</v>
      </c>
      <c r="D15" s="159">
        <f>'1 bevétel-kiadás'!L14</f>
        <v>189868</v>
      </c>
      <c r="E15" s="164" t="s">
        <v>199</v>
      </c>
      <c r="F15" s="159">
        <v>0</v>
      </c>
      <c r="G15" s="159">
        <f>'1 bevétel-kiadás'!D45</f>
        <v>55</v>
      </c>
    </row>
    <row r="16" spans="1:7" ht="30">
      <c r="A16" s="152">
        <v>10</v>
      </c>
      <c r="B16" s="158" t="s">
        <v>24</v>
      </c>
      <c r="C16" s="159">
        <v>14200</v>
      </c>
      <c r="D16" s="159">
        <f>'1 bevétel-kiadás'!D15</f>
        <v>20637</v>
      </c>
      <c r="E16" s="164" t="s">
        <v>198</v>
      </c>
      <c r="F16" s="159">
        <v>0</v>
      </c>
      <c r="G16" s="159">
        <f>'1 bevétel-kiadás'!D46</f>
        <v>157</v>
      </c>
    </row>
    <row r="17" spans="1:7" ht="30">
      <c r="A17" s="152">
        <v>11</v>
      </c>
      <c r="B17" s="158" t="s">
        <v>25</v>
      </c>
      <c r="C17" s="159">
        <v>2000</v>
      </c>
      <c r="D17" s="159">
        <f>'1 bevétel-kiadás'!D16</f>
        <v>0</v>
      </c>
      <c r="E17" s="166" t="s">
        <v>157</v>
      </c>
      <c r="F17" s="159">
        <v>10300</v>
      </c>
      <c r="G17" s="159">
        <f>'1 bevétel-kiadás'!D48</f>
        <v>4134</v>
      </c>
    </row>
    <row r="18" spans="1:7" ht="30">
      <c r="A18" s="152">
        <v>12</v>
      </c>
      <c r="B18" s="158" t="s">
        <v>194</v>
      </c>
      <c r="C18" s="159">
        <v>0</v>
      </c>
      <c r="D18" s="159">
        <v>0</v>
      </c>
      <c r="E18" s="160" t="s">
        <v>49</v>
      </c>
      <c r="F18" s="159">
        <f>SUM(F19:F20)</f>
        <v>26224</v>
      </c>
      <c r="G18" s="159">
        <f>SUM(G19:G20)</f>
        <v>361995</v>
      </c>
    </row>
    <row r="19" spans="1:7">
      <c r="A19" s="152">
        <v>13</v>
      </c>
      <c r="B19" s="167" t="s">
        <v>27</v>
      </c>
      <c r="C19" s="159">
        <f>C7+C8+C15+C16+C17+C18</f>
        <v>608255</v>
      </c>
      <c r="D19" s="159">
        <f>D7+D8+D15+D16+D17+D18</f>
        <v>723807</v>
      </c>
      <c r="E19" s="165" t="s">
        <v>50</v>
      </c>
      <c r="F19" s="159">
        <v>25224</v>
      </c>
      <c r="G19" s="159">
        <f>'1 bevétel-kiadás'!D50</f>
        <v>361995</v>
      </c>
    </row>
    <row r="20" spans="1:7" ht="30">
      <c r="A20" s="152">
        <v>14</v>
      </c>
      <c r="B20" s="158" t="s">
        <v>28</v>
      </c>
      <c r="C20" s="159">
        <v>0</v>
      </c>
      <c r="D20" s="159">
        <f>'1 bevétel-kiadás'!D19</f>
        <v>290655</v>
      </c>
      <c r="E20" s="165" t="s">
        <v>51</v>
      </c>
      <c r="F20" s="159">
        <v>1000</v>
      </c>
      <c r="G20" s="159">
        <f>'1 bevétel-kiadás'!D51</f>
        <v>0</v>
      </c>
    </row>
    <row r="21" spans="1:7" ht="30">
      <c r="A21" s="152">
        <v>15</v>
      </c>
      <c r="B21" s="158" t="s">
        <v>29</v>
      </c>
      <c r="C21" s="159">
        <v>1000</v>
      </c>
      <c r="D21" s="159">
        <f>'1 bevétel-kiadás'!D20</f>
        <v>2766</v>
      </c>
      <c r="E21" s="168" t="s">
        <v>124</v>
      </c>
      <c r="F21" s="159">
        <f>F18+F11+F9+F8+F7+F17</f>
        <v>586088</v>
      </c>
      <c r="G21" s="159">
        <f>G18+G11+G9+G8+G7+G17</f>
        <v>978505</v>
      </c>
    </row>
    <row r="22" spans="1:7" ht="45">
      <c r="A22" s="152">
        <v>16</v>
      </c>
      <c r="B22" s="158" t="s">
        <v>30</v>
      </c>
      <c r="C22" s="159">
        <v>7500</v>
      </c>
      <c r="D22" s="159">
        <f>'1 bevétel-kiadás'!D21</f>
        <v>20565</v>
      </c>
      <c r="E22" s="166" t="s">
        <v>53</v>
      </c>
      <c r="F22" s="159">
        <v>190164</v>
      </c>
      <c r="G22" s="159">
        <f>'1 bevétel-kiadás'!D53</f>
        <v>208547</v>
      </c>
    </row>
    <row r="23" spans="1:7" ht="30">
      <c r="A23" s="152">
        <v>17</v>
      </c>
      <c r="B23" s="158" t="s">
        <v>31</v>
      </c>
      <c r="C23" s="159">
        <v>0</v>
      </c>
      <c r="D23" s="159">
        <v>0</v>
      </c>
      <c r="E23" s="166" t="s">
        <v>54</v>
      </c>
      <c r="F23" s="159">
        <v>1270</v>
      </c>
      <c r="G23" s="159">
        <f>'1 bevétel-kiadás'!D54</f>
        <v>3525</v>
      </c>
    </row>
    <row r="24" spans="1:7" ht="15">
      <c r="A24" s="152">
        <v>18</v>
      </c>
      <c r="B24" s="167" t="s">
        <v>33</v>
      </c>
      <c r="C24" s="159">
        <f>SUM(C20:C23)</f>
        <v>8500</v>
      </c>
      <c r="D24" s="159">
        <f>SUM(D20:D23)</f>
        <v>313986</v>
      </c>
      <c r="E24" s="160" t="s">
        <v>55</v>
      </c>
      <c r="F24" s="218">
        <f>SUM(F25:F28)</f>
        <v>0</v>
      </c>
      <c r="G24" s="218">
        <f>SUM(G25:G28)</f>
        <v>3400</v>
      </c>
    </row>
    <row r="25" spans="1:7" ht="30">
      <c r="A25" s="152">
        <v>19</v>
      </c>
      <c r="B25" s="170" t="s">
        <v>125</v>
      </c>
      <c r="C25" s="163"/>
      <c r="D25" s="163"/>
      <c r="E25" s="169" t="s">
        <v>58</v>
      </c>
      <c r="F25" s="159"/>
      <c r="G25" s="159"/>
    </row>
    <row r="26" spans="1:7" ht="28.5">
      <c r="A26" s="152">
        <v>20</v>
      </c>
      <c r="B26" s="172" t="s">
        <v>127</v>
      </c>
      <c r="C26" s="159">
        <f>C24+C19</f>
        <v>616755</v>
      </c>
      <c r="D26" s="159">
        <f>D24+D19</f>
        <v>1037793</v>
      </c>
      <c r="E26" s="171" t="s">
        <v>59</v>
      </c>
      <c r="F26" s="159"/>
      <c r="G26" s="159">
        <f>'1 bevétel-kiadás'!D58</f>
        <v>400</v>
      </c>
    </row>
    <row r="27" spans="1:7" ht="45">
      <c r="A27" s="152">
        <v>21</v>
      </c>
      <c r="B27" s="173" t="s">
        <v>35</v>
      </c>
      <c r="C27" s="159">
        <v>166967</v>
      </c>
      <c r="D27" s="159">
        <f>'1 bevétel-kiadás'!L26</f>
        <v>166934</v>
      </c>
      <c r="E27" s="171" t="s">
        <v>56</v>
      </c>
      <c r="F27" s="159"/>
      <c r="G27" s="159">
        <v>3000</v>
      </c>
    </row>
    <row r="28" spans="1:7" ht="71.25" customHeight="1">
      <c r="A28" s="152">
        <v>22</v>
      </c>
      <c r="B28" s="173" t="s">
        <v>36</v>
      </c>
      <c r="C28" s="159"/>
      <c r="D28" s="159">
        <f>'1 bevétel-kiadás'!D27</f>
        <v>8174</v>
      </c>
      <c r="E28" s="171" t="s">
        <v>57</v>
      </c>
      <c r="F28" s="159"/>
      <c r="G28" s="159"/>
    </row>
    <row r="29" spans="1:7">
      <c r="A29" s="152">
        <v>23</v>
      </c>
      <c r="B29" s="175" t="s">
        <v>129</v>
      </c>
      <c r="C29" s="159">
        <f>C26+C28+C27</f>
        <v>783722</v>
      </c>
      <c r="D29" s="159">
        <f>D26+D28+D27</f>
        <v>1212901</v>
      </c>
      <c r="E29" s="168" t="s">
        <v>126</v>
      </c>
      <c r="F29" s="159">
        <f>F24+F23+F22</f>
        <v>191434</v>
      </c>
      <c r="G29" s="159">
        <f>G24+G23+G22</f>
        <v>215472</v>
      </c>
    </row>
    <row r="30" spans="1:7" ht="83.25" customHeight="1">
      <c r="A30" s="152">
        <v>24</v>
      </c>
      <c r="E30" s="172" t="s">
        <v>128</v>
      </c>
      <c r="F30" s="159">
        <f>F21+F29</f>
        <v>777522</v>
      </c>
      <c r="G30" s="159">
        <f>G21+G29</f>
        <v>1193977</v>
      </c>
    </row>
    <row r="31" spans="1:7" ht="54" customHeight="1">
      <c r="A31" s="152">
        <v>25</v>
      </c>
      <c r="E31" s="173" t="s">
        <v>62</v>
      </c>
      <c r="F31" s="159">
        <v>6200</v>
      </c>
      <c r="G31" s="159">
        <f>'1 bevétel-kiadás'!L61</f>
        <v>18924</v>
      </c>
    </row>
    <row r="32" spans="1:7">
      <c r="A32" s="152">
        <v>26</v>
      </c>
      <c r="E32" s="174" t="s">
        <v>130</v>
      </c>
      <c r="F32" s="159">
        <f>F31+F30</f>
        <v>783722</v>
      </c>
      <c r="G32" s="159">
        <f>G31+G30</f>
        <v>1212901</v>
      </c>
    </row>
    <row r="39" ht="68.25" customHeight="1"/>
    <row r="45" ht="97.5" customHeight="1"/>
  </sheetData>
  <mergeCells count="2">
    <mergeCell ref="B1:G1"/>
    <mergeCell ref="E2:G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26"/>
  <sheetViews>
    <sheetView topLeftCell="B1" zoomScale="75" zoomScaleNormal="75" workbookViewId="0">
      <selection activeCell="B1" sqref="B1:P1"/>
    </sheetView>
  </sheetViews>
  <sheetFormatPr defaultRowHeight="12.75"/>
  <cols>
    <col min="1" max="1" width="7.28515625" style="1" customWidth="1"/>
    <col min="2" max="2" width="50" style="76" customWidth="1"/>
    <col min="3" max="4" width="19.42578125" style="21" customWidth="1"/>
    <col min="5" max="6" width="19.28515625" style="21" customWidth="1"/>
    <col min="7" max="8" width="17.5703125" style="21" customWidth="1"/>
    <col min="9" max="9" width="17.28515625" style="21" customWidth="1"/>
    <col min="10" max="10" width="17.5703125" style="21" customWidth="1"/>
    <col min="11" max="11" width="19.5703125" style="21" customWidth="1"/>
    <col min="12" max="12" width="18.7109375" style="21" customWidth="1"/>
    <col min="13" max="13" width="19.42578125" style="21" customWidth="1"/>
    <col min="14" max="14" width="19.7109375" style="21" customWidth="1"/>
    <col min="15" max="15" width="19.28515625" style="21" customWidth="1"/>
    <col min="16" max="16" width="19.5703125" style="21" customWidth="1"/>
    <col min="17" max="16384" width="9.140625" style="1"/>
  </cols>
  <sheetData>
    <row r="1" spans="1:16">
      <c r="B1" s="224" t="s">
        <v>304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</row>
    <row r="2" spans="1:16" ht="27.75">
      <c r="B2" s="115"/>
      <c r="L2" s="224"/>
      <c r="M2" s="224"/>
      <c r="N2" s="224"/>
      <c r="O2" s="224"/>
      <c r="P2" s="224"/>
    </row>
    <row r="3" spans="1:16" ht="20.25">
      <c r="B3" s="116" t="s">
        <v>117</v>
      </c>
    </row>
    <row r="4" spans="1:16" ht="20.25">
      <c r="B4" s="116"/>
      <c r="O4" s="200" t="s">
        <v>294</v>
      </c>
    </row>
    <row r="5" spans="1:16" ht="79.5" customHeight="1">
      <c r="B5" s="53" t="s">
        <v>1</v>
      </c>
      <c r="C5" s="47" t="s">
        <v>2</v>
      </c>
      <c r="D5" s="47" t="s">
        <v>66</v>
      </c>
      <c r="E5" s="47" t="s">
        <v>65</v>
      </c>
      <c r="F5" s="47" t="s">
        <v>67</v>
      </c>
      <c r="G5" s="47" t="s">
        <v>3</v>
      </c>
      <c r="H5" s="47" t="s">
        <v>68</v>
      </c>
      <c r="I5" s="47" t="s">
        <v>72</v>
      </c>
      <c r="J5" s="47" t="s">
        <v>69</v>
      </c>
      <c r="K5" s="54" t="s">
        <v>4</v>
      </c>
      <c r="L5" s="54" t="s">
        <v>5</v>
      </c>
      <c r="M5" s="54" t="s">
        <v>70</v>
      </c>
      <c r="N5" s="54" t="s">
        <v>71</v>
      </c>
      <c r="O5" s="54" t="s">
        <v>73</v>
      </c>
      <c r="P5" s="54" t="s">
        <v>74</v>
      </c>
    </row>
    <row r="6" spans="1:16" ht="14.25">
      <c r="B6" s="46" t="s">
        <v>6</v>
      </c>
      <c r="C6" s="47" t="s">
        <v>7</v>
      </c>
      <c r="D6" s="46" t="s">
        <v>8</v>
      </c>
      <c r="E6" s="47" t="s">
        <v>9</v>
      </c>
      <c r="F6" s="47" t="s">
        <v>10</v>
      </c>
      <c r="G6" s="47" t="s">
        <v>11</v>
      </c>
      <c r="H6" s="47" t="s">
        <v>12</v>
      </c>
      <c r="I6" s="47" t="s">
        <v>13</v>
      </c>
      <c r="J6" s="47" t="s">
        <v>14</v>
      </c>
      <c r="K6" s="47" t="s">
        <v>15</v>
      </c>
      <c r="L6" s="47" t="s">
        <v>16</v>
      </c>
      <c r="M6" s="47" t="s">
        <v>17</v>
      </c>
      <c r="N6" s="47" t="s">
        <v>18</v>
      </c>
      <c r="O6" s="47" t="s">
        <v>76</v>
      </c>
      <c r="P6" s="47" t="s">
        <v>77</v>
      </c>
    </row>
    <row r="7" spans="1:16" ht="14.25">
      <c r="A7" s="1">
        <v>1</v>
      </c>
      <c r="B7" s="117" t="s">
        <v>181</v>
      </c>
      <c r="C7" s="118">
        <v>3</v>
      </c>
      <c r="D7" s="118">
        <v>3</v>
      </c>
      <c r="E7" s="118">
        <v>14</v>
      </c>
      <c r="F7" s="118">
        <v>14</v>
      </c>
      <c r="G7" s="118">
        <v>3</v>
      </c>
      <c r="H7" s="118">
        <v>3</v>
      </c>
      <c r="I7" s="118">
        <v>15</v>
      </c>
      <c r="J7" s="118">
        <v>15</v>
      </c>
      <c r="K7" s="118">
        <f>C7+E7+G7+I7</f>
        <v>35</v>
      </c>
      <c r="L7" s="118">
        <f>D7+F7+H7+J7</f>
        <v>35</v>
      </c>
      <c r="M7" s="118">
        <f>C7+E7+G7+I7</f>
        <v>35</v>
      </c>
      <c r="N7" s="118">
        <v>0</v>
      </c>
      <c r="O7" s="118">
        <f>L7</f>
        <v>35</v>
      </c>
      <c r="P7" s="118">
        <v>0</v>
      </c>
    </row>
    <row r="8" spans="1:16" ht="14.25">
      <c r="A8" s="1">
        <v>2</v>
      </c>
      <c r="B8" s="117" t="s">
        <v>182</v>
      </c>
      <c r="C8" s="118">
        <v>1.75</v>
      </c>
      <c r="D8" s="118">
        <v>1.75</v>
      </c>
      <c r="E8" s="118">
        <v>0</v>
      </c>
      <c r="F8" s="118">
        <v>0</v>
      </c>
      <c r="G8" s="118">
        <v>19</v>
      </c>
      <c r="H8" s="118">
        <v>19</v>
      </c>
      <c r="I8" s="118">
        <v>5</v>
      </c>
      <c r="J8" s="118">
        <v>5</v>
      </c>
      <c r="K8" s="118">
        <f>C8+E8+G8+I8</f>
        <v>25.75</v>
      </c>
      <c r="L8" s="118">
        <f>D8+F8+H8+J8</f>
        <v>25.75</v>
      </c>
      <c r="M8" s="118">
        <f>C8+E8+G8+I8</f>
        <v>25.75</v>
      </c>
      <c r="N8" s="118">
        <v>0</v>
      </c>
      <c r="O8" s="118">
        <f>L8</f>
        <v>25.75</v>
      </c>
      <c r="P8" s="118">
        <v>0</v>
      </c>
    </row>
    <row r="9" spans="1:16" s="122" customFormat="1" ht="15">
      <c r="A9" s="119">
        <v>9</v>
      </c>
      <c r="B9" s="120" t="s">
        <v>118</v>
      </c>
      <c r="C9" s="121">
        <f>SUM(C7:C8)</f>
        <v>4.75</v>
      </c>
      <c r="D9" s="121">
        <f t="shared" ref="D9:P9" si="0">SUM(D7:D8)</f>
        <v>4.75</v>
      </c>
      <c r="E9" s="121">
        <f t="shared" si="0"/>
        <v>14</v>
      </c>
      <c r="F9" s="121">
        <f t="shared" si="0"/>
        <v>14</v>
      </c>
      <c r="G9" s="121">
        <f t="shared" si="0"/>
        <v>22</v>
      </c>
      <c r="H9" s="121">
        <f t="shared" si="0"/>
        <v>22</v>
      </c>
      <c r="I9" s="121">
        <f t="shared" si="0"/>
        <v>20</v>
      </c>
      <c r="J9" s="121">
        <f t="shared" si="0"/>
        <v>20</v>
      </c>
      <c r="K9" s="121">
        <f t="shared" si="0"/>
        <v>60.75</v>
      </c>
      <c r="L9" s="121">
        <f t="shared" si="0"/>
        <v>60.75</v>
      </c>
      <c r="M9" s="121">
        <f t="shared" si="0"/>
        <v>60.75</v>
      </c>
      <c r="N9" s="121">
        <f t="shared" si="0"/>
        <v>0</v>
      </c>
      <c r="O9" s="121">
        <f>SUM(O7:O8)</f>
        <v>60.75</v>
      </c>
      <c r="P9" s="121">
        <f t="shared" si="0"/>
        <v>0</v>
      </c>
    </row>
    <row r="10" spans="1:16" s="122" customFormat="1" ht="15">
      <c r="A10" s="119"/>
      <c r="B10" s="123"/>
      <c r="C10" s="200" t="s">
        <v>183</v>
      </c>
      <c r="D10" s="200"/>
      <c r="E10" s="200" t="s">
        <v>186</v>
      </c>
      <c r="F10" s="200"/>
      <c r="G10" s="200" t="s">
        <v>191</v>
      </c>
      <c r="H10" s="200"/>
      <c r="I10" s="217" t="s">
        <v>285</v>
      </c>
      <c r="J10" s="200"/>
      <c r="K10" s="124"/>
      <c r="L10" s="124"/>
      <c r="M10" s="124"/>
      <c r="N10" s="124"/>
      <c r="O10" s="124"/>
      <c r="P10" s="124"/>
    </row>
    <row r="11" spans="1:16" s="200" customFormat="1" ht="15">
      <c r="A11" s="1"/>
      <c r="B11" s="125"/>
      <c r="C11" s="200" t="s">
        <v>254</v>
      </c>
      <c r="E11" s="200" t="s">
        <v>187</v>
      </c>
      <c r="G11" s="200" t="s">
        <v>192</v>
      </c>
      <c r="I11" s="217" t="s">
        <v>286</v>
      </c>
    </row>
    <row r="12" spans="1:16" s="200" customFormat="1" ht="25.5">
      <c r="A12" s="1"/>
      <c r="B12" s="125"/>
      <c r="C12" s="200" t="s">
        <v>184</v>
      </c>
      <c r="E12" s="200" t="s">
        <v>195</v>
      </c>
      <c r="G12" s="200" t="s">
        <v>193</v>
      </c>
      <c r="I12" s="217" t="s">
        <v>287</v>
      </c>
    </row>
    <row r="13" spans="1:16" s="200" customFormat="1" ht="15">
      <c r="A13" s="1"/>
      <c r="B13" s="125"/>
      <c r="C13" s="200" t="s">
        <v>185</v>
      </c>
      <c r="E13" s="200" t="s">
        <v>256</v>
      </c>
      <c r="G13" s="200" t="s">
        <v>288</v>
      </c>
      <c r="I13" s="217" t="s">
        <v>289</v>
      </c>
    </row>
    <row r="14" spans="1:16" s="200" customFormat="1" ht="38.25">
      <c r="A14" s="1"/>
      <c r="B14" s="125"/>
      <c r="C14" s="200" t="s">
        <v>255</v>
      </c>
      <c r="E14" s="126" t="s">
        <v>257</v>
      </c>
      <c r="F14" s="126"/>
      <c r="G14" s="126" t="s">
        <v>290</v>
      </c>
      <c r="H14" s="126"/>
      <c r="I14" s="22" t="s">
        <v>291</v>
      </c>
    </row>
    <row r="15" spans="1:16" s="200" customFormat="1" ht="25.5">
      <c r="A15" s="1"/>
      <c r="B15" s="125"/>
      <c r="E15" s="200" t="s">
        <v>188</v>
      </c>
      <c r="I15" s="22" t="s">
        <v>292</v>
      </c>
    </row>
    <row r="16" spans="1:16" ht="15">
      <c r="B16" s="125"/>
      <c r="C16" s="200"/>
      <c r="D16" s="200"/>
      <c r="E16" s="200" t="s">
        <v>189</v>
      </c>
      <c r="F16" s="200"/>
      <c r="G16" s="200"/>
      <c r="H16" s="200"/>
      <c r="I16" s="217" t="s">
        <v>293</v>
      </c>
      <c r="J16" s="200"/>
      <c r="K16" s="200"/>
      <c r="L16" s="200"/>
      <c r="M16" s="200"/>
      <c r="N16" s="200"/>
      <c r="O16" s="200"/>
      <c r="P16" s="200"/>
    </row>
    <row r="17" spans="2:16" ht="15">
      <c r="B17" s="125"/>
      <c r="C17" s="200"/>
      <c r="D17" s="200"/>
      <c r="E17" s="200" t="s">
        <v>190</v>
      </c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</row>
    <row r="18" spans="2:16" ht="15">
      <c r="B18" s="125"/>
      <c r="C18" s="126"/>
      <c r="D18" s="200"/>
      <c r="E18" s="200" t="s">
        <v>258</v>
      </c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</row>
    <row r="19" spans="2:16" ht="15">
      <c r="B19" s="125"/>
      <c r="C19" s="126"/>
    </row>
    <row r="20" spans="2:16" ht="15">
      <c r="B20" s="125"/>
    </row>
    <row r="21" spans="2:16" ht="15">
      <c r="B21" s="125"/>
    </row>
    <row r="22" spans="2:16" ht="15">
      <c r="B22" s="125"/>
    </row>
    <row r="23" spans="2:16" ht="15">
      <c r="B23" s="125"/>
    </row>
    <row r="24" spans="2:16" ht="15">
      <c r="B24" s="125"/>
    </row>
    <row r="25" spans="2:16" ht="15">
      <c r="B25" s="125"/>
    </row>
    <row r="26" spans="2:16" ht="15">
      <c r="B26" s="125"/>
    </row>
  </sheetData>
  <mergeCells count="2">
    <mergeCell ref="B1:P1"/>
    <mergeCell ref="L2:P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5"/>
  <sheetViews>
    <sheetView workbookViewId="0">
      <selection activeCell="B2" sqref="B2:E2"/>
    </sheetView>
  </sheetViews>
  <sheetFormatPr defaultRowHeight="12.75"/>
  <cols>
    <col min="1" max="1" width="6.7109375" style="87" customWidth="1"/>
    <col min="2" max="2" width="51.140625" style="1" customWidth="1"/>
    <col min="3" max="3" width="18.85546875" style="1" customWidth="1"/>
    <col min="4" max="4" width="15.42578125" style="1" customWidth="1"/>
    <col min="5" max="5" width="19.28515625" style="188" customWidth="1"/>
    <col min="6" max="6" width="13.85546875" style="1" customWidth="1"/>
    <col min="7" max="7" width="12.85546875" style="1" customWidth="1"/>
    <col min="8" max="8" width="13.5703125" style="1" customWidth="1"/>
    <col min="9" max="9" width="20.7109375" style="1" customWidth="1"/>
    <col min="10" max="10" width="18" style="1" customWidth="1"/>
    <col min="11" max="16384" width="9.140625" style="1"/>
  </cols>
  <sheetData>
    <row r="1" spans="1:7">
      <c r="B1" s="224" t="s">
        <v>305</v>
      </c>
      <c r="C1" s="224"/>
      <c r="D1" s="224"/>
      <c r="E1" s="224"/>
    </row>
    <row r="2" spans="1:7">
      <c r="B2" s="224"/>
      <c r="C2" s="224"/>
      <c r="D2" s="224"/>
      <c r="E2" s="224"/>
    </row>
    <row r="3" spans="1:7" ht="19.5" customHeight="1">
      <c r="B3" s="43" t="s">
        <v>200</v>
      </c>
    </row>
    <row r="4" spans="1:7">
      <c r="E4" s="188" t="s">
        <v>0</v>
      </c>
    </row>
    <row r="5" spans="1:7" ht="13.5" thickBot="1">
      <c r="B5" s="52" t="s">
        <v>6</v>
      </c>
      <c r="C5" s="52" t="s">
        <v>201</v>
      </c>
      <c r="D5" s="52" t="s">
        <v>8</v>
      </c>
      <c r="E5" s="189" t="s">
        <v>9</v>
      </c>
    </row>
    <row r="6" spans="1:7" ht="48" customHeight="1">
      <c r="A6" s="87">
        <v>1</v>
      </c>
      <c r="B6" s="127" t="s">
        <v>202</v>
      </c>
      <c r="C6" s="128" t="s">
        <v>203</v>
      </c>
      <c r="D6" s="128" t="s">
        <v>204</v>
      </c>
      <c r="E6" s="190" t="s">
        <v>205</v>
      </c>
    </row>
    <row r="7" spans="1:7" ht="45">
      <c r="A7" s="87">
        <v>2</v>
      </c>
      <c r="B7" s="129" t="s">
        <v>206</v>
      </c>
      <c r="C7" s="130">
        <v>89187</v>
      </c>
      <c r="D7" s="131">
        <v>4000</v>
      </c>
      <c r="E7" s="191" t="s">
        <v>207</v>
      </c>
      <c r="G7" s="132"/>
    </row>
    <row r="8" spans="1:7" ht="14.25">
      <c r="A8" s="87">
        <v>3</v>
      </c>
      <c r="B8" s="129" t="s">
        <v>208</v>
      </c>
      <c r="C8" s="130">
        <v>46555</v>
      </c>
      <c r="D8" s="131">
        <v>1000</v>
      </c>
      <c r="E8" s="191" t="s">
        <v>209</v>
      </c>
      <c r="G8" s="132"/>
    </row>
    <row r="9" spans="1:7" ht="14.25">
      <c r="A9" s="87">
        <v>4</v>
      </c>
      <c r="B9" s="129" t="s">
        <v>210</v>
      </c>
      <c r="C9" s="130">
        <v>63563</v>
      </c>
      <c r="D9" s="131">
        <v>0</v>
      </c>
      <c r="E9" s="192"/>
      <c r="G9" s="132"/>
    </row>
    <row r="10" spans="1:7" ht="28.5">
      <c r="A10" s="87">
        <v>5</v>
      </c>
      <c r="B10" s="129" t="s">
        <v>211</v>
      </c>
      <c r="C10" s="130">
        <v>40735</v>
      </c>
      <c r="D10" s="131">
        <v>1000</v>
      </c>
      <c r="E10" s="191" t="s">
        <v>212</v>
      </c>
      <c r="G10" s="132"/>
    </row>
    <row r="11" spans="1:7" ht="14.25">
      <c r="A11" s="87">
        <v>6</v>
      </c>
      <c r="B11" s="129" t="s">
        <v>149</v>
      </c>
      <c r="C11" s="130">
        <v>0</v>
      </c>
      <c r="D11" s="131">
        <v>0</v>
      </c>
      <c r="E11" s="192"/>
      <c r="G11" s="132"/>
    </row>
    <row r="12" spans="1:7" ht="14.25">
      <c r="A12" s="87">
        <v>7</v>
      </c>
      <c r="B12" s="133" t="s">
        <v>213</v>
      </c>
      <c r="C12" s="134">
        <v>7306</v>
      </c>
      <c r="D12" s="131">
        <v>0</v>
      </c>
      <c r="E12" s="192"/>
      <c r="G12" s="132"/>
    </row>
    <row r="13" spans="1:7" ht="14.25">
      <c r="A13" s="87">
        <v>8</v>
      </c>
      <c r="B13" s="48" t="s">
        <v>178</v>
      </c>
      <c r="C13" s="135">
        <f>48+70+880</f>
        <v>998</v>
      </c>
      <c r="D13" s="136">
        <v>0</v>
      </c>
      <c r="E13" s="193"/>
      <c r="G13" s="132"/>
    </row>
    <row r="14" spans="1:7" ht="14.25">
      <c r="A14" s="87">
        <v>9</v>
      </c>
      <c r="B14" s="48" t="s">
        <v>176</v>
      </c>
      <c r="C14" s="135"/>
      <c r="D14" s="136">
        <v>0</v>
      </c>
      <c r="E14" s="193"/>
      <c r="G14" s="132"/>
    </row>
    <row r="15" spans="1:7" ht="15" thickBot="1">
      <c r="A15" s="87">
        <v>10</v>
      </c>
      <c r="B15" s="137" t="s">
        <v>214</v>
      </c>
      <c r="C15" s="138">
        <f>SUM(C7:C14)</f>
        <v>248344</v>
      </c>
      <c r="D15" s="139">
        <f>SUM(D7:D14)</f>
        <v>6000</v>
      </c>
      <c r="E15" s="194"/>
      <c r="G15" s="132"/>
    </row>
    <row r="16" spans="1:7" ht="25.5">
      <c r="A16" s="87">
        <v>11</v>
      </c>
      <c r="B16" s="127" t="s">
        <v>215</v>
      </c>
      <c r="C16" s="140" t="s">
        <v>203</v>
      </c>
      <c r="D16" s="128" t="s">
        <v>204</v>
      </c>
      <c r="E16" s="195" t="s">
        <v>205</v>
      </c>
      <c r="G16" s="132"/>
    </row>
    <row r="17" spans="1:5" ht="14.25">
      <c r="A17" s="87">
        <v>12</v>
      </c>
      <c r="B17" s="141"/>
      <c r="C17" s="10">
        <v>500</v>
      </c>
      <c r="D17" s="10">
        <v>0</v>
      </c>
      <c r="E17" s="192"/>
    </row>
    <row r="18" spans="1:5" ht="14.25">
      <c r="A18" s="87">
        <v>13</v>
      </c>
      <c r="B18" s="141"/>
      <c r="C18" s="10"/>
      <c r="D18" s="10"/>
      <c r="E18" s="192"/>
    </row>
    <row r="19" spans="1:5" ht="15" thickBot="1">
      <c r="A19" s="87">
        <v>14</v>
      </c>
      <c r="B19" s="137" t="s">
        <v>216</v>
      </c>
      <c r="C19" s="139">
        <f>SUM(C17:C18)</f>
        <v>500</v>
      </c>
      <c r="D19" s="139">
        <f>SUM(D17:D18)</f>
        <v>0</v>
      </c>
      <c r="E19" s="194"/>
    </row>
    <row r="20" spans="1:5" ht="25.5">
      <c r="A20" s="87">
        <v>15</v>
      </c>
      <c r="B20" s="127" t="s">
        <v>217</v>
      </c>
      <c r="C20" s="140" t="s">
        <v>203</v>
      </c>
      <c r="D20" s="128" t="s">
        <v>204</v>
      </c>
      <c r="E20" s="195" t="s">
        <v>205</v>
      </c>
    </row>
    <row r="21" spans="1:5" ht="14.25">
      <c r="A21" s="87">
        <v>16</v>
      </c>
      <c r="B21" s="141" t="s">
        <v>218</v>
      </c>
      <c r="C21" s="10">
        <f>3135+6038</f>
        <v>9173</v>
      </c>
      <c r="D21" s="142">
        <v>4760</v>
      </c>
      <c r="E21" s="192"/>
    </row>
    <row r="22" spans="1:5" ht="14.25">
      <c r="A22" s="87">
        <v>17</v>
      </c>
      <c r="B22" s="141"/>
      <c r="C22" s="10"/>
      <c r="D22" s="10"/>
      <c r="E22" s="192"/>
    </row>
    <row r="23" spans="1:5" ht="15" thickBot="1">
      <c r="A23" s="87">
        <v>18</v>
      </c>
      <c r="B23" s="137" t="s">
        <v>219</v>
      </c>
      <c r="C23" s="139">
        <f>SUM(C21:C22)</f>
        <v>9173</v>
      </c>
      <c r="D23" s="139">
        <f>SUM(D21:D22)</f>
        <v>4760</v>
      </c>
      <c r="E23" s="196"/>
    </row>
    <row r="24" spans="1:5" ht="25.5">
      <c r="A24" s="87">
        <v>19</v>
      </c>
      <c r="B24" s="143" t="s">
        <v>220</v>
      </c>
      <c r="C24" s="140" t="s">
        <v>203</v>
      </c>
      <c r="D24" s="128" t="s">
        <v>204</v>
      </c>
      <c r="E24" s="195" t="s">
        <v>205</v>
      </c>
    </row>
    <row r="25" spans="1:5" ht="14.25">
      <c r="A25" s="87">
        <v>20</v>
      </c>
      <c r="B25" s="141" t="s">
        <v>221</v>
      </c>
      <c r="C25" s="144">
        <f>10064+3744</f>
        <v>13808</v>
      </c>
      <c r="D25" s="10">
        <v>0</v>
      </c>
      <c r="E25" s="197"/>
    </row>
    <row r="26" spans="1:5" ht="14.25">
      <c r="A26" s="87">
        <v>21</v>
      </c>
      <c r="B26" s="141" t="s">
        <v>222</v>
      </c>
      <c r="C26" s="144">
        <f>15067+272+14432</f>
        <v>29771</v>
      </c>
      <c r="D26" s="10">
        <v>0</v>
      </c>
      <c r="E26" s="197"/>
    </row>
    <row r="27" spans="1:5" ht="15" thickBot="1">
      <c r="A27" s="87">
        <v>22</v>
      </c>
      <c r="B27" s="137" t="s">
        <v>223</v>
      </c>
      <c r="C27" s="145">
        <f>SUM(C25:C26)</f>
        <v>43579</v>
      </c>
      <c r="D27" s="139">
        <f>SUM(D25:D26)</f>
        <v>0</v>
      </c>
      <c r="E27" s="196"/>
    </row>
    <row r="28" spans="1:5" ht="25.5">
      <c r="A28" s="87">
        <v>23</v>
      </c>
      <c r="B28" s="127" t="s">
        <v>224</v>
      </c>
      <c r="C28" s="140" t="s">
        <v>203</v>
      </c>
      <c r="D28" s="128" t="s">
        <v>204</v>
      </c>
      <c r="E28" s="195" t="s">
        <v>205</v>
      </c>
    </row>
    <row r="29" spans="1:5" ht="14.25">
      <c r="A29" s="87">
        <v>24</v>
      </c>
      <c r="B29" s="141" t="s">
        <v>225</v>
      </c>
      <c r="C29" s="10"/>
      <c r="D29" s="10"/>
      <c r="E29" s="192"/>
    </row>
    <row r="30" spans="1:5" ht="14.25">
      <c r="A30" s="87">
        <v>25</v>
      </c>
      <c r="B30" s="141" t="s">
        <v>226</v>
      </c>
      <c r="C30" s="10"/>
      <c r="D30" s="10"/>
      <c r="E30" s="192"/>
    </row>
    <row r="31" spans="1:5" ht="15" thickBot="1">
      <c r="A31" s="87">
        <v>26</v>
      </c>
      <c r="B31" s="137" t="s">
        <v>227</v>
      </c>
      <c r="C31" s="139">
        <f>SUM(C29:C30)</f>
        <v>0</v>
      </c>
      <c r="D31" s="139">
        <f>SUM(D29:D30)</f>
        <v>0</v>
      </c>
      <c r="E31" s="194"/>
    </row>
    <row r="32" spans="1:5" ht="26.25" customHeight="1">
      <c r="A32" s="87">
        <v>27</v>
      </c>
      <c r="B32" s="146" t="s">
        <v>228</v>
      </c>
      <c r="C32" s="147">
        <f>SUM(C15,C19,C23,C27,C31)</f>
        <v>301596</v>
      </c>
      <c r="D32" s="148">
        <f>SUM(D15,D19,D23,D27,D31)</f>
        <v>10760</v>
      </c>
      <c r="E32" s="198"/>
    </row>
    <row r="33" spans="2:5">
      <c r="B33" s="149"/>
      <c r="C33" s="149"/>
      <c r="D33" s="149"/>
      <c r="E33" s="199"/>
    </row>
    <row r="34" spans="2:5" ht="15.75">
      <c r="B34" s="150"/>
      <c r="C34" s="149"/>
      <c r="D34" s="149"/>
      <c r="E34" s="199"/>
    </row>
    <row r="35" spans="2:5">
      <c r="B35" s="151"/>
    </row>
  </sheetData>
  <mergeCells count="2">
    <mergeCell ref="B1:E1"/>
    <mergeCell ref="B2:E2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O12"/>
  <sheetViews>
    <sheetView tabSelected="1" workbookViewId="0">
      <selection activeCell="B3" sqref="B3"/>
    </sheetView>
  </sheetViews>
  <sheetFormatPr defaultRowHeight="12.75"/>
  <cols>
    <col min="1" max="1" width="4.85546875" style="1" customWidth="1"/>
    <col min="2" max="2" width="34.7109375" style="1" customWidth="1"/>
    <col min="3" max="3" width="9.7109375" style="1" customWidth="1"/>
    <col min="4" max="14" width="9.140625" style="1" customWidth="1"/>
    <col min="15" max="15" width="12.7109375" style="1" customWidth="1"/>
    <col min="16" max="16384" width="9.140625" style="1"/>
  </cols>
  <sheetData>
    <row r="2" spans="1:15">
      <c r="B2" s="224" t="s">
        <v>306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</row>
    <row r="3" spans="1:15">
      <c r="G3" s="222"/>
      <c r="H3" s="222"/>
      <c r="I3" s="222"/>
      <c r="J3" s="222"/>
      <c r="K3" s="222"/>
      <c r="L3" s="222"/>
      <c r="M3" s="222"/>
      <c r="N3" s="222"/>
      <c r="O3" s="222"/>
    </row>
    <row r="4" spans="1:15" ht="15">
      <c r="B4" s="176" t="s">
        <v>143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 t="s">
        <v>0</v>
      </c>
    </row>
    <row r="6" spans="1:15" ht="15">
      <c r="B6" s="177" t="s">
        <v>1</v>
      </c>
      <c r="C6" s="178" t="s">
        <v>131</v>
      </c>
      <c r="D6" s="178" t="s">
        <v>132</v>
      </c>
      <c r="E6" s="178" t="s">
        <v>133</v>
      </c>
      <c r="F6" s="178" t="s">
        <v>134</v>
      </c>
      <c r="G6" s="178" t="s">
        <v>135</v>
      </c>
      <c r="H6" s="178" t="s">
        <v>136</v>
      </c>
      <c r="I6" s="178" t="s">
        <v>137</v>
      </c>
      <c r="J6" s="178" t="s">
        <v>138</v>
      </c>
      <c r="K6" s="178" t="s">
        <v>139</v>
      </c>
      <c r="L6" s="178" t="s">
        <v>140</v>
      </c>
      <c r="M6" s="178" t="s">
        <v>141</v>
      </c>
      <c r="N6" s="178" t="s">
        <v>142</v>
      </c>
      <c r="O6" s="179" t="s">
        <v>98</v>
      </c>
    </row>
    <row r="7" spans="1:15" ht="14.25">
      <c r="B7" s="180" t="s">
        <v>6</v>
      </c>
      <c r="C7" s="181" t="s">
        <v>7</v>
      </c>
      <c r="D7" s="181" t="s">
        <v>8</v>
      </c>
      <c r="E7" s="181" t="s">
        <v>9</v>
      </c>
      <c r="F7" s="181" t="s">
        <v>10</v>
      </c>
      <c r="G7" s="181" t="s">
        <v>11</v>
      </c>
      <c r="H7" s="181" t="s">
        <v>12</v>
      </c>
      <c r="I7" s="181" t="s">
        <v>13</v>
      </c>
      <c r="J7" s="181" t="s">
        <v>14</v>
      </c>
      <c r="K7" s="181" t="s">
        <v>15</v>
      </c>
      <c r="L7" s="181" t="s">
        <v>16</v>
      </c>
      <c r="M7" s="181" t="s">
        <v>17</v>
      </c>
      <c r="N7" s="181" t="s">
        <v>18</v>
      </c>
      <c r="O7" s="181" t="s">
        <v>76</v>
      </c>
    </row>
    <row r="8" spans="1:15">
      <c r="A8" s="1">
        <v>1</v>
      </c>
      <c r="B8" s="182" t="s">
        <v>144</v>
      </c>
      <c r="C8" s="183">
        <f>$O$8/12</f>
        <v>70467.25</v>
      </c>
      <c r="D8" s="183">
        <f t="shared" ref="D8:N8" si="0">$O$8/12</f>
        <v>70467.25</v>
      </c>
      <c r="E8" s="183">
        <f t="shared" si="0"/>
        <v>70467.25</v>
      </c>
      <c r="F8" s="183">
        <f t="shared" si="0"/>
        <v>70467.25</v>
      </c>
      <c r="G8" s="183">
        <f t="shared" si="0"/>
        <v>70467.25</v>
      </c>
      <c r="H8" s="183">
        <f t="shared" si="0"/>
        <v>70467.25</v>
      </c>
      <c r="I8" s="183">
        <f t="shared" si="0"/>
        <v>70467.25</v>
      </c>
      <c r="J8" s="183">
        <f t="shared" si="0"/>
        <v>70467.25</v>
      </c>
      <c r="K8" s="183">
        <f t="shared" si="0"/>
        <v>70467.25</v>
      </c>
      <c r="L8" s="183">
        <f t="shared" si="0"/>
        <v>70467.25</v>
      </c>
      <c r="M8" s="183">
        <f t="shared" si="0"/>
        <v>70467.25</v>
      </c>
      <c r="N8" s="183">
        <f t="shared" si="0"/>
        <v>70467.25</v>
      </c>
      <c r="O8" s="184">
        <f>'1 bevétel-kiadás'!D28</f>
        <v>845607</v>
      </c>
    </row>
    <row r="9" spans="1:15">
      <c r="A9" s="1">
        <v>2</v>
      </c>
      <c r="B9" s="182" t="s">
        <v>145</v>
      </c>
      <c r="C9" s="183">
        <f>58583/12</f>
        <v>4881.916666666667</v>
      </c>
      <c r="D9" s="183">
        <f t="shared" ref="D9:N9" si="1">58583/12</f>
        <v>4881.916666666667</v>
      </c>
      <c r="E9" s="183">
        <f t="shared" si="1"/>
        <v>4881.916666666667</v>
      </c>
      <c r="F9" s="183">
        <f t="shared" si="1"/>
        <v>4881.916666666667</v>
      </c>
      <c r="G9" s="183">
        <f t="shared" si="1"/>
        <v>4881.916666666667</v>
      </c>
      <c r="H9" s="183">
        <f t="shared" si="1"/>
        <v>4881.916666666667</v>
      </c>
      <c r="I9" s="183">
        <f t="shared" si="1"/>
        <v>4881.916666666667</v>
      </c>
      <c r="J9" s="183">
        <f t="shared" si="1"/>
        <v>4881.916666666667</v>
      </c>
      <c r="K9" s="183">
        <f t="shared" si="1"/>
        <v>4881.916666666667</v>
      </c>
      <c r="L9" s="183">
        <f t="shared" si="1"/>
        <v>4881.916666666667</v>
      </c>
      <c r="M9" s="183">
        <f t="shared" si="1"/>
        <v>4881.916666666667</v>
      </c>
      <c r="N9" s="183">
        <f t="shared" si="1"/>
        <v>4881.916666666667</v>
      </c>
      <c r="O9" s="184">
        <f>'1 bevétel-kiadás'!F28</f>
        <v>65805</v>
      </c>
    </row>
    <row r="10" spans="1:15" ht="25.5">
      <c r="A10" s="1">
        <v>3</v>
      </c>
      <c r="B10" s="182" t="s">
        <v>146</v>
      </c>
      <c r="C10" s="183">
        <f>$O$10/12</f>
        <v>17259.083333333332</v>
      </c>
      <c r="D10" s="183">
        <f t="shared" ref="D10:N10" si="2">$O$10/12</f>
        <v>17259.083333333332</v>
      </c>
      <c r="E10" s="183">
        <f t="shared" si="2"/>
        <v>17259.083333333332</v>
      </c>
      <c r="F10" s="183">
        <f t="shared" si="2"/>
        <v>17259.083333333332</v>
      </c>
      <c r="G10" s="183">
        <f t="shared" si="2"/>
        <v>17259.083333333332</v>
      </c>
      <c r="H10" s="183">
        <f>$O$10/12</f>
        <v>17259.083333333332</v>
      </c>
      <c r="I10" s="183">
        <f t="shared" si="2"/>
        <v>17259.083333333332</v>
      </c>
      <c r="J10" s="183">
        <f t="shared" si="2"/>
        <v>17259.083333333332</v>
      </c>
      <c r="K10" s="183">
        <f t="shared" si="2"/>
        <v>17259.083333333332</v>
      </c>
      <c r="L10" s="183">
        <f t="shared" si="2"/>
        <v>17259.083333333332</v>
      </c>
      <c r="M10" s="183">
        <f t="shared" si="2"/>
        <v>17259.083333333332</v>
      </c>
      <c r="N10" s="183">
        <f t="shared" si="2"/>
        <v>17259.083333333332</v>
      </c>
      <c r="O10" s="184">
        <f>'1 bevétel-kiadás'!H28</f>
        <v>207109</v>
      </c>
    </row>
    <row r="11" spans="1:15">
      <c r="A11" s="1">
        <v>4</v>
      </c>
      <c r="B11" s="182" t="s">
        <v>147</v>
      </c>
      <c r="C11" s="183">
        <f>68700/12</f>
        <v>5725</v>
      </c>
      <c r="D11" s="183">
        <f t="shared" ref="D11:N11" si="3">68700/12</f>
        <v>5725</v>
      </c>
      <c r="E11" s="183">
        <f t="shared" si="3"/>
        <v>5725</v>
      </c>
      <c r="F11" s="183">
        <f t="shared" si="3"/>
        <v>5725</v>
      </c>
      <c r="G11" s="183">
        <f t="shared" si="3"/>
        <v>5725</v>
      </c>
      <c r="H11" s="183">
        <f t="shared" si="3"/>
        <v>5725</v>
      </c>
      <c r="I11" s="183">
        <f t="shared" si="3"/>
        <v>5725</v>
      </c>
      <c r="J11" s="183">
        <f t="shared" si="3"/>
        <v>5725</v>
      </c>
      <c r="K11" s="183">
        <f t="shared" si="3"/>
        <v>5725</v>
      </c>
      <c r="L11" s="183">
        <f t="shared" si="3"/>
        <v>5725</v>
      </c>
      <c r="M11" s="183">
        <f t="shared" si="3"/>
        <v>5725</v>
      </c>
      <c r="N11" s="183">
        <f t="shared" si="3"/>
        <v>5725</v>
      </c>
      <c r="O11" s="184">
        <f>'1 bevétel-kiadás'!J28</f>
        <v>94380</v>
      </c>
    </row>
    <row r="12" spans="1:15">
      <c r="A12" s="1">
        <v>5</v>
      </c>
      <c r="B12" s="185" t="s">
        <v>148</v>
      </c>
      <c r="C12" s="186">
        <f>SUM(C8:C11)</f>
        <v>98333.25</v>
      </c>
      <c r="D12" s="186">
        <f t="shared" ref="D12:N12" si="4">SUM(D8:D11)</f>
        <v>98333.25</v>
      </c>
      <c r="E12" s="186">
        <f t="shared" si="4"/>
        <v>98333.25</v>
      </c>
      <c r="F12" s="186">
        <f t="shared" si="4"/>
        <v>98333.25</v>
      </c>
      <c r="G12" s="186">
        <f t="shared" si="4"/>
        <v>98333.25</v>
      </c>
      <c r="H12" s="186">
        <f t="shared" si="4"/>
        <v>98333.25</v>
      </c>
      <c r="I12" s="186">
        <f t="shared" si="4"/>
        <v>98333.25</v>
      </c>
      <c r="J12" s="186">
        <f t="shared" si="4"/>
        <v>98333.25</v>
      </c>
      <c r="K12" s="186">
        <f t="shared" si="4"/>
        <v>98333.25</v>
      </c>
      <c r="L12" s="186">
        <f t="shared" si="4"/>
        <v>98333.25</v>
      </c>
      <c r="M12" s="186">
        <f t="shared" si="4"/>
        <v>98333.25</v>
      </c>
      <c r="N12" s="186">
        <f t="shared" si="4"/>
        <v>98333.25</v>
      </c>
      <c r="O12" s="186">
        <f>SUM(O8:O11)</f>
        <v>1212901</v>
      </c>
    </row>
  </sheetData>
  <mergeCells count="2">
    <mergeCell ref="B2:O2"/>
    <mergeCell ref="G3:O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20"/>
  <sheetViews>
    <sheetView topLeftCell="C1" zoomScale="60" zoomScaleNormal="60" zoomScaleSheetLayoutView="50" workbookViewId="0">
      <pane ySplit="6" topLeftCell="A7" activePane="bottomLeft" state="frozen"/>
      <selection pane="bottomLeft" activeCell="C2" sqref="C2"/>
    </sheetView>
  </sheetViews>
  <sheetFormatPr defaultRowHeight="12.75"/>
  <cols>
    <col min="1" max="1" width="7.28515625" style="87" customWidth="1"/>
    <col min="2" max="2" width="55" style="22" customWidth="1"/>
    <col min="3" max="4" width="19.42578125" style="28" customWidth="1"/>
    <col min="5" max="6" width="19.28515625" style="28" customWidth="1"/>
    <col min="7" max="10" width="18.5703125" style="28" customWidth="1"/>
    <col min="11" max="11" width="17.28515625" style="28" customWidth="1"/>
    <col min="12" max="12" width="17.42578125" style="28" customWidth="1"/>
    <col min="13" max="13" width="18.28515625" style="28" customWidth="1"/>
    <col min="14" max="14" width="18.5703125" style="28" customWidth="1"/>
    <col min="15" max="15" width="18.28515625" style="28" customWidth="1"/>
    <col min="16" max="16" width="18.5703125" style="28" customWidth="1"/>
    <col min="17" max="24" width="9.140625" style="3" customWidth="1"/>
    <col min="25" max="16384" width="9.140625" style="1"/>
  </cols>
  <sheetData>
    <row r="1" spans="1:16" ht="27">
      <c r="B1" s="23" t="s">
        <v>229</v>
      </c>
      <c r="C1" s="221" t="s">
        <v>296</v>
      </c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</row>
    <row r="2" spans="1:16" ht="27">
      <c r="B2" s="23"/>
    </row>
    <row r="3" spans="1:16" ht="20.25">
      <c r="B3" s="24" t="s">
        <v>230</v>
      </c>
    </row>
    <row r="4" spans="1:16" ht="20.25">
      <c r="B4" s="24"/>
      <c r="O4" s="28" t="s">
        <v>0</v>
      </c>
    </row>
    <row r="5" spans="1:16" ht="60">
      <c r="B5" s="5" t="s">
        <v>1</v>
      </c>
      <c r="C5" s="29" t="s">
        <v>2</v>
      </c>
      <c r="D5" s="29" t="s">
        <v>66</v>
      </c>
      <c r="E5" s="29" t="s">
        <v>65</v>
      </c>
      <c r="F5" s="29" t="s">
        <v>67</v>
      </c>
      <c r="G5" s="29" t="s">
        <v>3</v>
      </c>
      <c r="H5" s="29" t="s">
        <v>68</v>
      </c>
      <c r="I5" s="29" t="s">
        <v>72</v>
      </c>
      <c r="J5" s="29" t="s">
        <v>69</v>
      </c>
      <c r="K5" s="30" t="s">
        <v>4</v>
      </c>
      <c r="L5" s="30" t="s">
        <v>5</v>
      </c>
      <c r="M5" s="30" t="s">
        <v>70</v>
      </c>
      <c r="N5" s="30" t="s">
        <v>71</v>
      </c>
      <c r="O5" s="30" t="s">
        <v>73</v>
      </c>
      <c r="P5" s="30" t="s">
        <v>74</v>
      </c>
    </row>
    <row r="6" spans="1:16" ht="15">
      <c r="B6" s="5" t="s">
        <v>6</v>
      </c>
      <c r="C6" s="29" t="s">
        <v>7</v>
      </c>
      <c r="D6" s="30" t="s">
        <v>8</v>
      </c>
      <c r="E6" s="29" t="s">
        <v>9</v>
      </c>
      <c r="F6" s="29" t="s">
        <v>10</v>
      </c>
      <c r="G6" s="29" t="s">
        <v>11</v>
      </c>
      <c r="H6" s="29" t="s">
        <v>12</v>
      </c>
      <c r="I6" s="29" t="s">
        <v>13</v>
      </c>
      <c r="J6" s="29" t="s">
        <v>14</v>
      </c>
      <c r="K6" s="30" t="s">
        <v>15</v>
      </c>
      <c r="L6" s="30" t="s">
        <v>16</v>
      </c>
      <c r="M6" s="30" t="s">
        <v>17</v>
      </c>
      <c r="N6" s="30" t="s">
        <v>18</v>
      </c>
      <c r="O6" s="30" t="s">
        <v>76</v>
      </c>
      <c r="P6" s="30" t="s">
        <v>77</v>
      </c>
    </row>
    <row r="7" spans="1:16" ht="84" customHeight="1">
      <c r="A7" s="87">
        <v>1</v>
      </c>
      <c r="B7" s="6" t="s">
        <v>232</v>
      </c>
      <c r="C7" s="31">
        <f>45483</f>
        <v>45483</v>
      </c>
      <c r="D7" s="31">
        <f>196+21349+1503+14432+272+15067+239+448+14375+1171+1149</f>
        <v>70201</v>
      </c>
      <c r="E7" s="31">
        <v>602</v>
      </c>
      <c r="F7" s="31">
        <f>450+1</f>
        <v>451</v>
      </c>
      <c r="G7" s="31">
        <f>144032-1293</f>
        <v>142739</v>
      </c>
      <c r="H7" s="31">
        <f>1100+10065+29823+3653+9346+76895+3744+1737+33084+1631</f>
        <v>171078</v>
      </c>
      <c r="I7" s="31">
        <f>20947-1963</f>
        <v>18984</v>
      </c>
      <c r="J7" s="31">
        <f>13741+3135+6039+6187+1+124</f>
        <v>29227</v>
      </c>
      <c r="K7" s="31">
        <f>C7+E7+G7+I7</f>
        <v>207808</v>
      </c>
      <c r="L7" s="31">
        <f>D7+F7+H7+J7</f>
        <v>270957</v>
      </c>
      <c r="M7" s="31">
        <f>C7+E7+G7+I7</f>
        <v>207808</v>
      </c>
      <c r="N7" s="31">
        <v>0</v>
      </c>
      <c r="O7" s="31">
        <f>D7+F7+H7+J7</f>
        <v>270957</v>
      </c>
      <c r="P7" s="31">
        <v>0</v>
      </c>
    </row>
    <row r="8" spans="1:16" ht="43.5">
      <c r="A8" s="87">
        <v>2</v>
      </c>
      <c r="B8" s="6" t="s">
        <v>233</v>
      </c>
      <c r="C8" s="31">
        <f t="shared" ref="C8:J8" si="0">SUM(C9:C12)</f>
        <v>218220</v>
      </c>
      <c r="D8" s="31">
        <f t="shared" si="0"/>
        <v>242345</v>
      </c>
      <c r="E8" s="31">
        <f t="shared" si="0"/>
        <v>0</v>
      </c>
      <c r="F8" s="31">
        <f t="shared" si="0"/>
        <v>0</v>
      </c>
      <c r="G8" s="31">
        <f t="shared" si="0"/>
        <v>0</v>
      </c>
      <c r="H8" s="31">
        <f t="shared" si="0"/>
        <v>0</v>
      </c>
      <c r="I8" s="31">
        <f t="shared" si="0"/>
        <v>0</v>
      </c>
      <c r="J8" s="31">
        <f t="shared" si="0"/>
        <v>0</v>
      </c>
      <c r="K8" s="31">
        <f t="shared" ref="K8:K32" si="1">C8+E8+G8+I8</f>
        <v>218220</v>
      </c>
      <c r="L8" s="31">
        <f t="shared" ref="L8:L32" si="2">D8+F8+H8+J8</f>
        <v>242345</v>
      </c>
      <c r="M8" s="31">
        <f t="shared" ref="M8:M32" si="3">C8+E8+G8+I8</f>
        <v>218220</v>
      </c>
      <c r="N8" s="31">
        <v>0</v>
      </c>
      <c r="O8" s="31">
        <f t="shared" ref="O8:O32" si="4">D8+F8+H8+J8</f>
        <v>242345</v>
      </c>
      <c r="P8" s="31">
        <v>0</v>
      </c>
    </row>
    <row r="9" spans="1:16" ht="15">
      <c r="A9" s="87">
        <v>3</v>
      </c>
      <c r="B9" s="7" t="s">
        <v>19</v>
      </c>
      <c r="C9" s="32">
        <f>83000+40000+40000+48000+600</f>
        <v>211600</v>
      </c>
      <c r="D9" s="32">
        <f>85187+45555+39735+63564</f>
        <v>234041</v>
      </c>
      <c r="E9" s="32"/>
      <c r="F9" s="32"/>
      <c r="G9" s="32"/>
      <c r="H9" s="32"/>
      <c r="I9" s="32"/>
      <c r="J9" s="32"/>
      <c r="K9" s="31">
        <f t="shared" si="1"/>
        <v>211600</v>
      </c>
      <c r="L9" s="31">
        <f t="shared" si="2"/>
        <v>234041</v>
      </c>
      <c r="M9" s="31">
        <f t="shared" si="3"/>
        <v>211600</v>
      </c>
      <c r="N9" s="31">
        <v>0</v>
      </c>
      <c r="O9" s="31">
        <f t="shared" si="4"/>
        <v>234041</v>
      </c>
      <c r="P9" s="31">
        <v>0</v>
      </c>
    </row>
    <row r="10" spans="1:16" ht="15">
      <c r="A10" s="87">
        <v>4</v>
      </c>
      <c r="B10" s="7" t="s">
        <v>20</v>
      </c>
      <c r="C10" s="32"/>
      <c r="D10" s="32"/>
      <c r="E10" s="32"/>
      <c r="F10" s="32"/>
      <c r="G10" s="32"/>
      <c r="H10" s="32"/>
      <c r="I10" s="32"/>
      <c r="J10" s="32"/>
      <c r="K10" s="31">
        <f t="shared" si="1"/>
        <v>0</v>
      </c>
      <c r="L10" s="31">
        <f t="shared" si="2"/>
        <v>0</v>
      </c>
      <c r="M10" s="31">
        <f t="shared" si="3"/>
        <v>0</v>
      </c>
      <c r="N10" s="31">
        <v>0</v>
      </c>
      <c r="O10" s="31">
        <f t="shared" si="4"/>
        <v>0</v>
      </c>
      <c r="P10" s="31">
        <v>0</v>
      </c>
    </row>
    <row r="11" spans="1:16" ht="15">
      <c r="A11" s="87">
        <v>5</v>
      </c>
      <c r="B11" s="7" t="s">
        <v>21</v>
      </c>
      <c r="C11" s="32">
        <f>600+20</f>
        <v>620</v>
      </c>
      <c r="D11" s="32">
        <f>48+70+880</f>
        <v>998</v>
      </c>
      <c r="E11" s="32"/>
      <c r="F11" s="32"/>
      <c r="G11" s="32"/>
      <c r="H11" s="32"/>
      <c r="I11" s="32"/>
      <c r="J11" s="32"/>
      <c r="K11" s="31">
        <f t="shared" si="1"/>
        <v>620</v>
      </c>
      <c r="L11" s="31">
        <f t="shared" si="2"/>
        <v>998</v>
      </c>
      <c r="M11" s="31">
        <f t="shared" si="3"/>
        <v>620</v>
      </c>
      <c r="N11" s="31">
        <v>0</v>
      </c>
      <c r="O11" s="31">
        <f t="shared" si="4"/>
        <v>998</v>
      </c>
      <c r="P11" s="31">
        <v>0</v>
      </c>
    </row>
    <row r="12" spans="1:16" ht="15">
      <c r="A12" s="87">
        <v>6</v>
      </c>
      <c r="B12" s="7" t="s">
        <v>75</v>
      </c>
      <c r="C12" s="32">
        <v>6000</v>
      </c>
      <c r="D12" s="32">
        <v>7306</v>
      </c>
      <c r="E12" s="32"/>
      <c r="F12" s="32"/>
      <c r="G12" s="32"/>
      <c r="H12" s="32"/>
      <c r="I12" s="32"/>
      <c r="J12" s="32"/>
      <c r="K12" s="31">
        <f t="shared" si="1"/>
        <v>6000</v>
      </c>
      <c r="L12" s="31">
        <f t="shared" si="2"/>
        <v>7306</v>
      </c>
      <c r="M12" s="31">
        <f t="shared" si="3"/>
        <v>6000</v>
      </c>
      <c r="N12" s="31">
        <v>0</v>
      </c>
      <c r="O12" s="31">
        <f t="shared" si="4"/>
        <v>7306</v>
      </c>
      <c r="P12" s="31">
        <v>0</v>
      </c>
    </row>
    <row r="13" spans="1:16" ht="30">
      <c r="A13" s="87">
        <v>7</v>
      </c>
      <c r="B13" s="8" t="s">
        <v>22</v>
      </c>
      <c r="C13" s="33">
        <v>0</v>
      </c>
      <c r="D13" s="33">
        <v>0</v>
      </c>
      <c r="E13" s="34">
        <v>63337</v>
      </c>
      <c r="F13" s="34">
        <v>64495</v>
      </c>
      <c r="G13" s="34">
        <v>62131</v>
      </c>
      <c r="H13" s="34">
        <v>34467</v>
      </c>
      <c r="I13" s="34">
        <v>50495</v>
      </c>
      <c r="J13" s="34">
        <v>63190</v>
      </c>
      <c r="K13" s="35">
        <f t="shared" si="1"/>
        <v>175963</v>
      </c>
      <c r="L13" s="35">
        <f t="shared" si="2"/>
        <v>162152</v>
      </c>
      <c r="M13" s="35">
        <f t="shared" si="3"/>
        <v>175963</v>
      </c>
      <c r="N13" s="35">
        <v>0</v>
      </c>
      <c r="O13" s="35">
        <f t="shared" si="4"/>
        <v>162152</v>
      </c>
      <c r="P13" s="35">
        <v>0</v>
      </c>
    </row>
    <row r="14" spans="1:16" ht="15">
      <c r="A14" s="87">
        <v>8</v>
      </c>
      <c r="B14" s="6" t="s">
        <v>23</v>
      </c>
      <c r="C14" s="40">
        <v>166027</v>
      </c>
      <c r="D14" s="40">
        <f>112743+34684+23230+2020+16765+65+90</f>
        <v>189597</v>
      </c>
      <c r="E14" s="31"/>
      <c r="F14" s="31"/>
      <c r="G14" s="31"/>
      <c r="H14" s="31">
        <v>271</v>
      </c>
      <c r="I14" s="31"/>
      <c r="J14" s="31"/>
      <c r="K14" s="31">
        <f t="shared" si="1"/>
        <v>166027</v>
      </c>
      <c r="L14" s="31">
        <f t="shared" si="2"/>
        <v>189868</v>
      </c>
      <c r="M14" s="31">
        <f t="shared" si="3"/>
        <v>166027</v>
      </c>
      <c r="N14" s="31">
        <v>0</v>
      </c>
      <c r="O14" s="31">
        <f t="shared" si="4"/>
        <v>189868</v>
      </c>
      <c r="P14" s="31">
        <v>0</v>
      </c>
    </row>
    <row r="15" spans="1:16" ht="30">
      <c r="A15" s="87">
        <v>9</v>
      </c>
      <c r="B15" s="6" t="s">
        <v>24</v>
      </c>
      <c r="C15" s="31">
        <v>14200</v>
      </c>
      <c r="D15" s="31">
        <f>6000+12+5714+2629+3294+2988</f>
        <v>20637</v>
      </c>
      <c r="E15" s="31"/>
      <c r="F15" s="31"/>
      <c r="G15" s="31"/>
      <c r="H15" s="31"/>
      <c r="I15" s="31"/>
      <c r="J15" s="31"/>
      <c r="K15" s="31">
        <f t="shared" si="1"/>
        <v>14200</v>
      </c>
      <c r="L15" s="31">
        <f t="shared" si="2"/>
        <v>20637</v>
      </c>
      <c r="M15" s="31">
        <f t="shared" si="3"/>
        <v>14200</v>
      </c>
      <c r="N15" s="31">
        <v>0</v>
      </c>
      <c r="O15" s="31">
        <f t="shared" si="4"/>
        <v>20637</v>
      </c>
      <c r="P15" s="31">
        <v>0</v>
      </c>
    </row>
    <row r="16" spans="1:16" ht="24.75" customHeight="1">
      <c r="A16" s="87">
        <v>10</v>
      </c>
      <c r="B16" s="6" t="s">
        <v>25</v>
      </c>
      <c r="C16" s="31">
        <v>2000</v>
      </c>
      <c r="D16" s="31">
        <v>0</v>
      </c>
      <c r="E16" s="31"/>
      <c r="F16" s="31"/>
      <c r="G16" s="31"/>
      <c r="H16" s="31"/>
      <c r="I16" s="31"/>
      <c r="J16" s="31"/>
      <c r="K16" s="31">
        <f t="shared" si="1"/>
        <v>2000</v>
      </c>
      <c r="L16" s="31">
        <f t="shared" si="2"/>
        <v>0</v>
      </c>
      <c r="M16" s="31">
        <f t="shared" si="3"/>
        <v>2000</v>
      </c>
      <c r="N16" s="31">
        <v>0</v>
      </c>
      <c r="O16" s="31">
        <f t="shared" si="4"/>
        <v>0</v>
      </c>
      <c r="P16" s="31">
        <v>0</v>
      </c>
    </row>
    <row r="17" spans="1:24" ht="30">
      <c r="A17" s="87">
        <v>11</v>
      </c>
      <c r="B17" s="6" t="s">
        <v>26</v>
      </c>
      <c r="C17" s="31"/>
      <c r="D17" s="31"/>
      <c r="E17" s="31"/>
      <c r="F17" s="31"/>
      <c r="G17" s="31"/>
      <c r="H17" s="31"/>
      <c r="I17" s="31"/>
      <c r="J17" s="31"/>
      <c r="K17" s="31">
        <f t="shared" si="1"/>
        <v>0</v>
      </c>
      <c r="L17" s="31">
        <f t="shared" si="2"/>
        <v>0</v>
      </c>
      <c r="M17" s="31">
        <f t="shared" si="3"/>
        <v>0</v>
      </c>
      <c r="N17" s="31">
        <v>0</v>
      </c>
      <c r="O17" s="31">
        <f t="shared" si="4"/>
        <v>0</v>
      </c>
      <c r="P17" s="31">
        <v>0</v>
      </c>
    </row>
    <row r="18" spans="1:24" ht="15">
      <c r="A18" s="87">
        <v>12</v>
      </c>
      <c r="B18" s="8" t="s">
        <v>27</v>
      </c>
      <c r="C18" s="35">
        <f>C7+C8+C14+C15+C16+C17+C13</f>
        <v>445930</v>
      </c>
      <c r="D18" s="35">
        <f>D7+D8+D14+D15+D16+D17+D13</f>
        <v>522780</v>
      </c>
      <c r="E18" s="35">
        <f t="shared" ref="E18:J18" si="5">E7+E8+E14+E15+E16+E17+E13</f>
        <v>63939</v>
      </c>
      <c r="F18" s="35">
        <f t="shared" si="5"/>
        <v>64946</v>
      </c>
      <c r="G18" s="35">
        <f>G7+G8+G14+G15+G16+G17+G13</f>
        <v>204870</v>
      </c>
      <c r="H18" s="35">
        <f>H7+H8+H14+H15+H16+H17+H13</f>
        <v>205816</v>
      </c>
      <c r="I18" s="35">
        <f t="shared" si="5"/>
        <v>69479</v>
      </c>
      <c r="J18" s="35">
        <f t="shared" si="5"/>
        <v>92417</v>
      </c>
      <c r="K18" s="35">
        <f t="shared" si="1"/>
        <v>784218</v>
      </c>
      <c r="L18" s="35">
        <f t="shared" si="2"/>
        <v>885959</v>
      </c>
      <c r="M18" s="35">
        <f t="shared" si="3"/>
        <v>784218</v>
      </c>
      <c r="N18" s="35">
        <v>0</v>
      </c>
      <c r="O18" s="35">
        <f t="shared" si="4"/>
        <v>885959</v>
      </c>
      <c r="P18" s="35">
        <v>0</v>
      </c>
    </row>
    <row r="19" spans="1:24" ht="30">
      <c r="A19" s="87">
        <v>13</v>
      </c>
      <c r="B19" s="6" t="s">
        <v>28</v>
      </c>
      <c r="C19" s="33">
        <v>0</v>
      </c>
      <c r="D19" s="33">
        <f>387+290268</f>
        <v>290655</v>
      </c>
      <c r="E19" s="33"/>
      <c r="F19" s="33"/>
      <c r="G19" s="33"/>
      <c r="H19" s="33"/>
      <c r="I19" s="33"/>
      <c r="J19" s="33"/>
      <c r="K19" s="31">
        <f t="shared" si="1"/>
        <v>0</v>
      </c>
      <c r="L19" s="31">
        <f t="shared" si="2"/>
        <v>290655</v>
      </c>
      <c r="M19" s="31">
        <f t="shared" si="3"/>
        <v>0</v>
      </c>
      <c r="N19" s="31">
        <v>0</v>
      </c>
      <c r="O19" s="31">
        <f t="shared" si="4"/>
        <v>290655</v>
      </c>
      <c r="P19" s="31">
        <v>0</v>
      </c>
    </row>
    <row r="20" spans="1:24" ht="34.5" customHeight="1">
      <c r="A20" s="87">
        <v>14</v>
      </c>
      <c r="B20" s="6" t="s">
        <v>29</v>
      </c>
      <c r="C20" s="33">
        <v>1000</v>
      </c>
      <c r="D20" s="33">
        <f>24+2742</f>
        <v>2766</v>
      </c>
      <c r="E20" s="33"/>
      <c r="F20" s="33"/>
      <c r="G20" s="33"/>
      <c r="H20" s="33"/>
      <c r="I20" s="33"/>
      <c r="J20" s="33"/>
      <c r="K20" s="31">
        <f t="shared" si="1"/>
        <v>1000</v>
      </c>
      <c r="L20" s="31">
        <f t="shared" si="2"/>
        <v>2766</v>
      </c>
      <c r="M20" s="31">
        <f t="shared" si="3"/>
        <v>1000</v>
      </c>
      <c r="N20" s="31">
        <v>0</v>
      </c>
      <c r="O20" s="31">
        <f t="shared" si="4"/>
        <v>2766</v>
      </c>
      <c r="P20" s="31">
        <v>0</v>
      </c>
    </row>
    <row r="21" spans="1:24" ht="45">
      <c r="A21" s="87">
        <v>15</v>
      </c>
      <c r="B21" s="6" t="s">
        <v>30</v>
      </c>
      <c r="C21" s="33">
        <v>7500</v>
      </c>
      <c r="D21" s="33">
        <f>20565</f>
        <v>20565</v>
      </c>
      <c r="E21" s="33"/>
      <c r="F21" s="33"/>
      <c r="G21" s="33"/>
      <c r="H21" s="33"/>
      <c r="I21" s="33"/>
      <c r="J21" s="33"/>
      <c r="K21" s="31">
        <f t="shared" si="1"/>
        <v>7500</v>
      </c>
      <c r="L21" s="31">
        <f t="shared" si="2"/>
        <v>20565</v>
      </c>
      <c r="M21" s="31">
        <f t="shared" si="3"/>
        <v>7500</v>
      </c>
      <c r="N21" s="31">
        <v>0</v>
      </c>
      <c r="O21" s="31">
        <f t="shared" si="4"/>
        <v>20565</v>
      </c>
      <c r="P21" s="31">
        <v>0</v>
      </c>
    </row>
    <row r="22" spans="1:24" ht="30">
      <c r="A22" s="87">
        <v>16</v>
      </c>
      <c r="B22" s="6" t="s">
        <v>31</v>
      </c>
      <c r="C22" s="31">
        <v>0</v>
      </c>
      <c r="D22" s="31">
        <v>0</v>
      </c>
      <c r="E22" s="31"/>
      <c r="F22" s="31"/>
      <c r="G22" s="31"/>
      <c r="H22" s="31"/>
      <c r="I22" s="31"/>
      <c r="J22" s="31"/>
      <c r="K22" s="31">
        <f t="shared" si="1"/>
        <v>0</v>
      </c>
      <c r="L22" s="31">
        <f t="shared" si="2"/>
        <v>0</v>
      </c>
      <c r="M22" s="31">
        <f t="shared" si="3"/>
        <v>0</v>
      </c>
      <c r="N22" s="31">
        <v>0</v>
      </c>
      <c r="O22" s="31">
        <f t="shared" si="4"/>
        <v>0</v>
      </c>
      <c r="P22" s="31">
        <v>0</v>
      </c>
    </row>
    <row r="23" spans="1:24" ht="30">
      <c r="A23" s="87">
        <v>17</v>
      </c>
      <c r="B23" s="6" t="s">
        <v>32</v>
      </c>
      <c r="C23" s="31">
        <v>0</v>
      </c>
      <c r="D23" s="31">
        <v>0</v>
      </c>
      <c r="E23" s="31"/>
      <c r="F23" s="31"/>
      <c r="G23" s="31"/>
      <c r="H23" s="31"/>
      <c r="I23" s="31"/>
      <c r="J23" s="31"/>
      <c r="K23" s="31">
        <f t="shared" si="1"/>
        <v>0</v>
      </c>
      <c r="L23" s="31">
        <f t="shared" si="2"/>
        <v>0</v>
      </c>
      <c r="M23" s="31">
        <f t="shared" si="3"/>
        <v>0</v>
      </c>
      <c r="N23" s="31">
        <v>0</v>
      </c>
      <c r="O23" s="31">
        <f t="shared" si="4"/>
        <v>0</v>
      </c>
      <c r="P23" s="31">
        <v>0</v>
      </c>
    </row>
    <row r="24" spans="1:24" ht="15">
      <c r="A24" s="87">
        <v>18</v>
      </c>
      <c r="B24" s="8" t="s">
        <v>33</v>
      </c>
      <c r="C24" s="35">
        <f>SUM(C19:C23)</f>
        <v>8500</v>
      </c>
      <c r="D24" s="35">
        <f t="shared" ref="D24:I24" si="6">SUM(D19:D23)</f>
        <v>313986</v>
      </c>
      <c r="E24" s="35">
        <f t="shared" si="6"/>
        <v>0</v>
      </c>
      <c r="F24" s="35">
        <f t="shared" si="6"/>
        <v>0</v>
      </c>
      <c r="G24" s="35">
        <f t="shared" si="6"/>
        <v>0</v>
      </c>
      <c r="H24" s="35">
        <f t="shared" si="6"/>
        <v>0</v>
      </c>
      <c r="I24" s="35">
        <f t="shared" si="6"/>
        <v>0</v>
      </c>
      <c r="J24" s="35">
        <f>SUM(J19:J23)</f>
        <v>0</v>
      </c>
      <c r="K24" s="35">
        <f t="shared" si="1"/>
        <v>8500</v>
      </c>
      <c r="L24" s="35">
        <f t="shared" si="2"/>
        <v>313986</v>
      </c>
      <c r="M24" s="35">
        <f t="shared" si="3"/>
        <v>8500</v>
      </c>
      <c r="N24" s="35">
        <v>0</v>
      </c>
      <c r="O24" s="35">
        <f t="shared" si="4"/>
        <v>313986</v>
      </c>
      <c r="P24" s="35">
        <v>0</v>
      </c>
    </row>
    <row r="25" spans="1:24" ht="15">
      <c r="A25" s="87">
        <v>19</v>
      </c>
      <c r="B25" s="6" t="s">
        <v>34</v>
      </c>
      <c r="C25" s="31">
        <f>C24+C18-E13-G13-I13</f>
        <v>278467</v>
      </c>
      <c r="D25" s="31">
        <f>D24+D18-F13-H13-J13</f>
        <v>674614</v>
      </c>
      <c r="E25" s="31">
        <f t="shared" ref="E25:J25" si="7">E24+E18</f>
        <v>63939</v>
      </c>
      <c r="F25" s="31">
        <f t="shared" si="7"/>
        <v>64946</v>
      </c>
      <c r="G25" s="31">
        <f t="shared" si="7"/>
        <v>204870</v>
      </c>
      <c r="H25" s="31">
        <f t="shared" si="7"/>
        <v>205816</v>
      </c>
      <c r="I25" s="31">
        <f t="shared" si="7"/>
        <v>69479</v>
      </c>
      <c r="J25" s="31">
        <f t="shared" si="7"/>
        <v>92417</v>
      </c>
      <c r="K25" s="31">
        <f t="shared" si="1"/>
        <v>616755</v>
      </c>
      <c r="L25" s="31">
        <f t="shared" si="2"/>
        <v>1037793</v>
      </c>
      <c r="M25" s="31">
        <f t="shared" si="3"/>
        <v>616755</v>
      </c>
      <c r="N25" s="31">
        <v>0</v>
      </c>
      <c r="O25" s="31">
        <f t="shared" si="4"/>
        <v>1037793</v>
      </c>
      <c r="P25" s="31">
        <v>0</v>
      </c>
    </row>
    <row r="26" spans="1:24" ht="45">
      <c r="A26" s="87">
        <v>20</v>
      </c>
      <c r="B26" s="9" t="s">
        <v>35</v>
      </c>
      <c r="C26" s="36">
        <v>162852</v>
      </c>
      <c r="D26" s="36">
        <v>162819</v>
      </c>
      <c r="E26" s="36">
        <v>859</v>
      </c>
      <c r="F26" s="36">
        <v>859</v>
      </c>
      <c r="G26" s="36">
        <v>1293</v>
      </c>
      <c r="H26" s="36">
        <v>1293</v>
      </c>
      <c r="I26" s="36">
        <v>1963</v>
      </c>
      <c r="J26" s="36">
        <v>1963</v>
      </c>
      <c r="K26" s="31">
        <f t="shared" si="1"/>
        <v>166967</v>
      </c>
      <c r="L26" s="31">
        <f t="shared" si="2"/>
        <v>166934</v>
      </c>
      <c r="M26" s="31">
        <f t="shared" si="3"/>
        <v>166967</v>
      </c>
      <c r="N26" s="31">
        <v>0</v>
      </c>
      <c r="O26" s="31">
        <f t="shared" si="4"/>
        <v>166934</v>
      </c>
      <c r="P26" s="31">
        <v>0</v>
      </c>
    </row>
    <row r="27" spans="1:24" ht="15">
      <c r="A27" s="87">
        <v>21</v>
      </c>
      <c r="B27" s="9" t="s">
        <v>36</v>
      </c>
      <c r="C27" s="36"/>
      <c r="D27" s="36">
        <v>8174</v>
      </c>
      <c r="E27" s="31"/>
      <c r="F27" s="31"/>
      <c r="G27" s="36"/>
      <c r="H27" s="36"/>
      <c r="I27" s="36"/>
      <c r="J27" s="36"/>
      <c r="K27" s="31">
        <f t="shared" si="1"/>
        <v>0</v>
      </c>
      <c r="L27" s="31">
        <f t="shared" si="2"/>
        <v>8174</v>
      </c>
      <c r="M27" s="31">
        <f t="shared" si="3"/>
        <v>0</v>
      </c>
      <c r="N27" s="31">
        <v>0</v>
      </c>
      <c r="O27" s="31">
        <f t="shared" si="4"/>
        <v>8174</v>
      </c>
      <c r="P27" s="31">
        <v>0</v>
      </c>
    </row>
    <row r="28" spans="1:24" ht="15">
      <c r="A28" s="87">
        <v>22</v>
      </c>
      <c r="B28" s="25" t="s">
        <v>37</v>
      </c>
      <c r="C28" s="37">
        <f t="shared" ref="C28:I28" si="8">SUM(C25:C27)</f>
        <v>441319</v>
      </c>
      <c r="D28" s="37">
        <f t="shared" si="8"/>
        <v>845607</v>
      </c>
      <c r="E28" s="37">
        <f t="shared" si="8"/>
        <v>64798</v>
      </c>
      <c r="F28" s="37">
        <f t="shared" si="8"/>
        <v>65805</v>
      </c>
      <c r="G28" s="37">
        <f t="shared" si="8"/>
        <v>206163</v>
      </c>
      <c r="H28" s="37">
        <f t="shared" si="8"/>
        <v>207109</v>
      </c>
      <c r="I28" s="37">
        <f t="shared" si="8"/>
        <v>71442</v>
      </c>
      <c r="J28" s="37">
        <f>SUM(J25:J27)</f>
        <v>94380</v>
      </c>
      <c r="K28" s="38">
        <f t="shared" si="1"/>
        <v>783722</v>
      </c>
      <c r="L28" s="38">
        <f>D28+F28+H28+J28</f>
        <v>1212901</v>
      </c>
      <c r="M28" s="40">
        <f t="shared" si="3"/>
        <v>783722</v>
      </c>
      <c r="N28" s="40">
        <v>0</v>
      </c>
      <c r="O28" s="41">
        <f t="shared" si="4"/>
        <v>1212901</v>
      </c>
      <c r="P28" s="41">
        <v>0</v>
      </c>
    </row>
    <row r="29" spans="1:24" ht="15">
      <c r="A29" s="87">
        <v>23</v>
      </c>
      <c r="B29" s="9"/>
      <c r="C29" s="36"/>
      <c r="D29" s="36"/>
      <c r="E29" s="36"/>
      <c r="F29" s="36"/>
      <c r="G29" s="36"/>
      <c r="H29" s="36"/>
      <c r="I29" s="36"/>
      <c r="J29" s="36"/>
      <c r="K29" s="31">
        <f t="shared" si="1"/>
        <v>0</v>
      </c>
      <c r="L29" s="31">
        <f t="shared" si="2"/>
        <v>0</v>
      </c>
      <c r="M29" s="31">
        <f t="shared" si="3"/>
        <v>0</v>
      </c>
      <c r="N29" s="31">
        <v>0</v>
      </c>
      <c r="O29" s="31">
        <f t="shared" si="4"/>
        <v>0</v>
      </c>
      <c r="P29" s="31">
        <v>0</v>
      </c>
    </row>
    <row r="30" spans="1:24" s="12" customFormat="1" ht="28.5">
      <c r="A30" s="87">
        <v>24</v>
      </c>
      <c r="B30" s="7" t="s">
        <v>38</v>
      </c>
      <c r="C30" s="32">
        <f t="shared" ref="C30:J30" si="9">C28-C62</f>
        <v>0</v>
      </c>
      <c r="D30" s="32">
        <f t="shared" si="9"/>
        <v>0</v>
      </c>
      <c r="E30" s="32">
        <f t="shared" si="9"/>
        <v>0</v>
      </c>
      <c r="F30" s="32">
        <f t="shared" si="9"/>
        <v>0</v>
      </c>
      <c r="G30" s="32">
        <f t="shared" si="9"/>
        <v>0</v>
      </c>
      <c r="H30" s="32">
        <f t="shared" si="9"/>
        <v>0</v>
      </c>
      <c r="I30" s="32">
        <f t="shared" si="9"/>
        <v>0</v>
      </c>
      <c r="J30" s="32">
        <f t="shared" si="9"/>
        <v>0</v>
      </c>
      <c r="K30" s="31">
        <f t="shared" si="1"/>
        <v>0</v>
      </c>
      <c r="L30" s="31">
        <f t="shared" si="2"/>
        <v>0</v>
      </c>
      <c r="M30" s="31">
        <f t="shared" si="3"/>
        <v>0</v>
      </c>
      <c r="N30" s="31">
        <v>0</v>
      </c>
      <c r="O30" s="31">
        <f t="shared" si="4"/>
        <v>0</v>
      </c>
      <c r="P30" s="31">
        <v>0</v>
      </c>
      <c r="Q30" s="11"/>
      <c r="R30" s="11"/>
      <c r="S30" s="11"/>
      <c r="T30" s="11"/>
      <c r="U30" s="11"/>
      <c r="V30" s="11"/>
      <c r="W30" s="11"/>
      <c r="X30" s="11"/>
    </row>
    <row r="31" spans="1:24" s="12" customFormat="1" ht="28.5">
      <c r="A31" s="87">
        <v>25</v>
      </c>
      <c r="B31" s="7" t="s">
        <v>39</v>
      </c>
      <c r="C31" s="32">
        <f t="shared" ref="C31:J31" si="10">C28-C62</f>
        <v>0</v>
      </c>
      <c r="D31" s="32">
        <f t="shared" si="10"/>
        <v>0</v>
      </c>
      <c r="E31" s="32">
        <f t="shared" si="10"/>
        <v>0</v>
      </c>
      <c r="F31" s="32">
        <f t="shared" si="10"/>
        <v>0</v>
      </c>
      <c r="G31" s="32">
        <f t="shared" si="10"/>
        <v>0</v>
      </c>
      <c r="H31" s="32">
        <f t="shared" si="10"/>
        <v>0</v>
      </c>
      <c r="I31" s="32">
        <f t="shared" si="10"/>
        <v>0</v>
      </c>
      <c r="J31" s="32">
        <f t="shared" si="10"/>
        <v>0</v>
      </c>
      <c r="K31" s="31">
        <f t="shared" si="1"/>
        <v>0</v>
      </c>
      <c r="L31" s="31">
        <f t="shared" si="2"/>
        <v>0</v>
      </c>
      <c r="M31" s="31">
        <f t="shared" si="3"/>
        <v>0</v>
      </c>
      <c r="N31" s="31">
        <v>0</v>
      </c>
      <c r="O31" s="31">
        <f t="shared" si="4"/>
        <v>0</v>
      </c>
      <c r="P31" s="31">
        <v>0</v>
      </c>
      <c r="Q31" s="11"/>
      <c r="R31" s="11"/>
      <c r="S31" s="11"/>
      <c r="T31" s="11"/>
      <c r="U31" s="11"/>
      <c r="V31" s="11"/>
      <c r="W31" s="11"/>
      <c r="X31" s="11"/>
    </row>
    <row r="32" spans="1:24" s="12" customFormat="1" ht="71.25">
      <c r="A32" s="87">
        <v>26</v>
      </c>
      <c r="B32" s="7" t="s">
        <v>40</v>
      </c>
      <c r="C32" s="32">
        <f t="shared" ref="C32:J32" si="11">C30+C22</f>
        <v>0</v>
      </c>
      <c r="D32" s="32">
        <f t="shared" si="11"/>
        <v>0</v>
      </c>
      <c r="E32" s="32">
        <f t="shared" si="11"/>
        <v>0</v>
      </c>
      <c r="F32" s="32">
        <f t="shared" si="11"/>
        <v>0</v>
      </c>
      <c r="G32" s="32">
        <f t="shared" si="11"/>
        <v>0</v>
      </c>
      <c r="H32" s="32">
        <f t="shared" si="11"/>
        <v>0</v>
      </c>
      <c r="I32" s="32">
        <f t="shared" si="11"/>
        <v>0</v>
      </c>
      <c r="J32" s="32">
        <f t="shared" si="11"/>
        <v>0</v>
      </c>
      <c r="K32" s="31">
        <f t="shared" si="1"/>
        <v>0</v>
      </c>
      <c r="L32" s="31">
        <f t="shared" si="2"/>
        <v>0</v>
      </c>
      <c r="M32" s="31">
        <f t="shared" si="3"/>
        <v>0</v>
      </c>
      <c r="N32" s="31">
        <v>0</v>
      </c>
      <c r="O32" s="31">
        <f t="shared" si="4"/>
        <v>0</v>
      </c>
      <c r="P32" s="31">
        <v>0</v>
      </c>
      <c r="Q32" s="11"/>
      <c r="R32" s="11"/>
      <c r="S32" s="11"/>
      <c r="T32" s="11"/>
      <c r="U32" s="11"/>
      <c r="V32" s="11"/>
      <c r="W32" s="11"/>
      <c r="X32" s="11"/>
    </row>
    <row r="33" spans="1:24" s="12" customFormat="1" ht="20.25">
      <c r="A33" s="87"/>
      <c r="B33" s="24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11"/>
      <c r="R33" s="11"/>
      <c r="S33" s="11"/>
      <c r="T33" s="11"/>
      <c r="U33" s="11"/>
      <c r="V33" s="11"/>
      <c r="W33" s="11"/>
      <c r="X33" s="11"/>
    </row>
    <row r="34" spans="1:24" s="12" customFormat="1" ht="20.25">
      <c r="A34" s="87"/>
      <c r="B34" s="24" t="s">
        <v>231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11"/>
      <c r="R34" s="11"/>
      <c r="S34" s="11"/>
      <c r="T34" s="11"/>
      <c r="U34" s="11"/>
      <c r="V34" s="11"/>
      <c r="W34" s="11"/>
      <c r="X34" s="11"/>
    </row>
    <row r="35" spans="1:24" s="12" customFormat="1" ht="20.25">
      <c r="A35" s="87"/>
      <c r="B35" s="24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11"/>
      <c r="R35" s="11"/>
      <c r="S35" s="11"/>
      <c r="T35" s="11"/>
      <c r="U35" s="11"/>
      <c r="V35" s="11"/>
      <c r="W35" s="11"/>
      <c r="X35" s="11"/>
    </row>
    <row r="36" spans="1:24" s="12" customFormat="1" ht="60">
      <c r="A36" s="87"/>
      <c r="B36" s="5" t="s">
        <v>1</v>
      </c>
      <c r="C36" s="29" t="s">
        <v>2</v>
      </c>
      <c r="D36" s="29" t="s">
        <v>66</v>
      </c>
      <c r="E36" s="29" t="s">
        <v>65</v>
      </c>
      <c r="F36" s="29" t="s">
        <v>67</v>
      </c>
      <c r="G36" s="29" t="s">
        <v>3</v>
      </c>
      <c r="H36" s="29" t="s">
        <v>68</v>
      </c>
      <c r="I36" s="29" t="s">
        <v>72</v>
      </c>
      <c r="J36" s="29" t="s">
        <v>69</v>
      </c>
      <c r="K36" s="30" t="s">
        <v>4</v>
      </c>
      <c r="L36" s="30" t="s">
        <v>5</v>
      </c>
      <c r="M36" s="30" t="s">
        <v>70</v>
      </c>
      <c r="N36" s="30" t="s">
        <v>71</v>
      </c>
      <c r="O36" s="30" t="s">
        <v>73</v>
      </c>
      <c r="P36" s="30" t="s">
        <v>74</v>
      </c>
      <c r="Q36" s="11"/>
      <c r="R36" s="11"/>
      <c r="S36" s="11"/>
      <c r="T36" s="11"/>
      <c r="U36" s="11"/>
      <c r="V36" s="11"/>
      <c r="W36" s="11"/>
      <c r="X36" s="11"/>
    </row>
    <row r="37" spans="1:24" s="12" customFormat="1" ht="15">
      <c r="A37" s="87"/>
      <c r="B37" s="5" t="s">
        <v>6</v>
      </c>
      <c r="C37" s="29" t="s">
        <v>7</v>
      </c>
      <c r="D37" s="30" t="s">
        <v>8</v>
      </c>
      <c r="E37" s="29" t="s">
        <v>9</v>
      </c>
      <c r="F37" s="29" t="s">
        <v>10</v>
      </c>
      <c r="G37" s="29" t="s">
        <v>11</v>
      </c>
      <c r="H37" s="29" t="s">
        <v>12</v>
      </c>
      <c r="I37" s="29" t="s">
        <v>13</v>
      </c>
      <c r="J37" s="29" t="s">
        <v>14</v>
      </c>
      <c r="K37" s="30" t="s">
        <v>15</v>
      </c>
      <c r="L37" s="30" t="s">
        <v>16</v>
      </c>
      <c r="M37" s="30" t="s">
        <v>17</v>
      </c>
      <c r="N37" s="30" t="s">
        <v>18</v>
      </c>
      <c r="O37" s="30" t="s">
        <v>76</v>
      </c>
      <c r="P37" s="30" t="s">
        <v>77</v>
      </c>
      <c r="Q37" s="11"/>
      <c r="R37" s="11"/>
      <c r="S37" s="11"/>
      <c r="T37" s="11"/>
      <c r="U37" s="11"/>
      <c r="V37" s="11"/>
      <c r="W37" s="11"/>
      <c r="X37" s="11"/>
    </row>
    <row r="38" spans="1:24" s="12" customFormat="1" ht="15">
      <c r="A38" s="87">
        <v>1</v>
      </c>
      <c r="B38" s="13" t="s">
        <v>41</v>
      </c>
      <c r="C38" s="31">
        <v>36341</v>
      </c>
      <c r="D38" s="31">
        <f>20849+1420+30+128+1246+1622+109+50+452+13368+5885+5923</f>
        <v>51082</v>
      </c>
      <c r="E38" s="31">
        <f>51549</f>
        <v>51549</v>
      </c>
      <c r="F38" s="31">
        <f>41308+5180+136+445+1366+1238+333+221+895+160</f>
        <v>51282</v>
      </c>
      <c r="G38" s="31">
        <v>55641</v>
      </c>
      <c r="H38" s="31">
        <f>37714+4527+3593+24+202+94+1313+890+138</f>
        <v>48495</v>
      </c>
      <c r="I38" s="31">
        <v>37223</v>
      </c>
      <c r="J38" s="31">
        <f>35665+980+2887+202+258+1004+2562+29</f>
        <v>43587</v>
      </c>
      <c r="K38" s="31">
        <f>C38+E38+G38+I38</f>
        <v>180754</v>
      </c>
      <c r="L38" s="31">
        <f>D38+F38+H38+J38</f>
        <v>194446</v>
      </c>
      <c r="M38" s="31">
        <f>C38+E38+G38+I38</f>
        <v>180754</v>
      </c>
      <c r="N38" s="31">
        <v>0</v>
      </c>
      <c r="O38" s="31">
        <f>D38+F38+H38+J38</f>
        <v>194446</v>
      </c>
      <c r="P38" s="31">
        <v>0</v>
      </c>
      <c r="Q38" s="11"/>
      <c r="R38" s="11"/>
      <c r="S38" s="11"/>
      <c r="T38" s="11"/>
      <c r="U38" s="11"/>
      <c r="V38" s="11"/>
      <c r="W38" s="11"/>
      <c r="X38" s="11"/>
    </row>
    <row r="39" spans="1:24" s="12" customFormat="1" ht="30">
      <c r="A39" s="87">
        <v>2</v>
      </c>
      <c r="B39" s="13" t="s">
        <v>42</v>
      </c>
      <c r="C39" s="31">
        <f>10699</f>
        <v>10699</v>
      </c>
      <c r="D39" s="31">
        <f>9261+1973+31+1425</f>
        <v>12690</v>
      </c>
      <c r="E39" s="31">
        <f>11829</f>
        <v>11829</v>
      </c>
      <c r="F39" s="31">
        <f>10803+241+69+252</f>
        <v>11365</v>
      </c>
      <c r="G39" s="31">
        <v>12931</v>
      </c>
      <c r="H39" s="31">
        <f>9923+813+34+671</f>
        <v>11441</v>
      </c>
      <c r="I39" s="31">
        <f>8586</f>
        <v>8586</v>
      </c>
      <c r="J39" s="31">
        <f>9074+623+49+514</f>
        <v>10260</v>
      </c>
      <c r="K39" s="31">
        <f>C39+E39+G39+I39</f>
        <v>44045</v>
      </c>
      <c r="L39" s="31">
        <f t="shared" ref="L39:L61" si="12">D39+F39+H39+J39</f>
        <v>45756</v>
      </c>
      <c r="M39" s="31">
        <f>C39+E39+G39+I39</f>
        <v>44045</v>
      </c>
      <c r="N39" s="31">
        <v>0</v>
      </c>
      <c r="O39" s="31">
        <f t="shared" ref="O39:O51" si="13">D39+F39+H39+J39</f>
        <v>45756</v>
      </c>
      <c r="P39" s="31">
        <v>0</v>
      </c>
      <c r="Q39" s="11"/>
      <c r="R39" s="11"/>
      <c r="S39" s="11"/>
      <c r="T39" s="11"/>
      <c r="U39" s="11"/>
      <c r="V39" s="11"/>
      <c r="W39" s="11"/>
      <c r="X39" s="11"/>
    </row>
    <row r="40" spans="1:24" s="12" customFormat="1" ht="15">
      <c r="A40" s="87">
        <v>3</v>
      </c>
      <c r="B40" s="13" t="s">
        <v>43</v>
      </c>
      <c r="C40" s="31">
        <v>84766</v>
      </c>
      <c r="D40" s="31">
        <f>374+235+881+414+1641+16+6709+444+235+742+2665+482+4760+951+1047+342+561+8747+1811+1663+698+10247+6957+883+2859+310+4197+11784+24262+1+5177+7</f>
        <v>102102</v>
      </c>
      <c r="E40" s="31">
        <f>1420</f>
        <v>1420</v>
      </c>
      <c r="F40" s="31">
        <f>203+236+131+196+165+4+197+344</f>
        <v>1476</v>
      </c>
      <c r="G40" s="31">
        <v>137591</v>
      </c>
      <c r="H40" s="31">
        <f>127+65+414+87+2144+200+13775+394+410+21+1556+14714+6508+72+11+29905+2967+45+123+3+4489+2562+7843+1206+755+5600+21314+22093+510</f>
        <v>139913</v>
      </c>
      <c r="I40" s="31">
        <f>25633</f>
        <v>25633</v>
      </c>
      <c r="J40" s="31">
        <f>16805+478+26+126+233+5+193+6133+55+66+1029+769+2944+77+36+14+334+115+713+300+6070+2854+2</f>
        <v>39377</v>
      </c>
      <c r="K40" s="31">
        <f>C40+E40+G40+I40</f>
        <v>249410</v>
      </c>
      <c r="L40" s="31">
        <f t="shared" si="12"/>
        <v>282868</v>
      </c>
      <c r="M40" s="31">
        <f>C40+E40+G40+I40</f>
        <v>249410</v>
      </c>
      <c r="N40" s="31"/>
      <c r="O40" s="31">
        <f t="shared" si="13"/>
        <v>282868</v>
      </c>
      <c r="P40" s="31">
        <v>0</v>
      </c>
      <c r="Q40" s="11"/>
      <c r="R40" s="11"/>
      <c r="S40" s="11"/>
      <c r="T40" s="11"/>
      <c r="U40" s="11"/>
      <c r="V40" s="11"/>
      <c r="W40" s="11"/>
      <c r="X40" s="11"/>
    </row>
    <row r="41" spans="1:24" s="12" customFormat="1" ht="30">
      <c r="A41" s="87">
        <v>4</v>
      </c>
      <c r="B41" s="14" t="s">
        <v>44</v>
      </c>
      <c r="C41" s="35">
        <f>E13+G13+I13</f>
        <v>175963</v>
      </c>
      <c r="D41" s="35">
        <f>F13+H13+J13</f>
        <v>162152</v>
      </c>
      <c r="E41" s="31"/>
      <c r="F41" s="31"/>
      <c r="G41" s="31"/>
      <c r="H41" s="31"/>
      <c r="I41" s="31"/>
      <c r="J41" s="31"/>
      <c r="K41" s="31">
        <f t="shared" ref="K41:K61" si="14">C41+E41+G41+I41</f>
        <v>175963</v>
      </c>
      <c r="L41" s="31">
        <f t="shared" si="12"/>
        <v>162152</v>
      </c>
      <c r="M41" s="31">
        <f>C41+E41+G41+I41</f>
        <v>175963</v>
      </c>
      <c r="N41" s="31">
        <v>0</v>
      </c>
      <c r="O41" s="31">
        <f t="shared" si="13"/>
        <v>162152</v>
      </c>
      <c r="P41" s="31">
        <v>0</v>
      </c>
      <c r="Q41" s="11"/>
      <c r="R41" s="11"/>
      <c r="S41" s="11"/>
      <c r="T41" s="11"/>
      <c r="U41" s="11"/>
      <c r="V41" s="11"/>
      <c r="W41" s="11"/>
      <c r="X41" s="11"/>
    </row>
    <row r="42" spans="1:24" s="12" customFormat="1" ht="15">
      <c r="A42" s="87">
        <v>5</v>
      </c>
      <c r="B42" s="13" t="s">
        <v>45</v>
      </c>
      <c r="C42" s="31">
        <f>SUM(C43:C47)</f>
        <v>75355</v>
      </c>
      <c r="D42" s="31">
        <f>SUM(D43:D47)</f>
        <v>89306</v>
      </c>
      <c r="E42" s="31">
        <f t="shared" ref="E42:J42" si="15">SUM(E43:E47)</f>
        <v>0</v>
      </c>
      <c r="F42" s="31">
        <f t="shared" si="15"/>
        <v>0</v>
      </c>
      <c r="G42" s="31">
        <f t="shared" si="15"/>
        <v>0</v>
      </c>
      <c r="H42" s="31">
        <f t="shared" si="15"/>
        <v>0</v>
      </c>
      <c r="I42" s="31">
        <f t="shared" si="15"/>
        <v>0</v>
      </c>
      <c r="J42" s="31">
        <f t="shared" si="15"/>
        <v>0</v>
      </c>
      <c r="K42" s="31">
        <f t="shared" ref="K42:P42" si="16">SUM(K43:K47)</f>
        <v>75355</v>
      </c>
      <c r="L42" s="31">
        <f>SUM(L43:L47)</f>
        <v>89306</v>
      </c>
      <c r="M42" s="31">
        <f t="shared" si="16"/>
        <v>3580</v>
      </c>
      <c r="N42" s="31">
        <f t="shared" si="16"/>
        <v>71775</v>
      </c>
      <c r="O42" s="31">
        <f>O43+O44+O45+O46+O47</f>
        <v>5297</v>
      </c>
      <c r="P42" s="31">
        <f t="shared" si="16"/>
        <v>84009</v>
      </c>
      <c r="Q42" s="11"/>
      <c r="R42" s="11"/>
      <c r="S42" s="11"/>
      <c r="T42" s="11"/>
      <c r="U42" s="11"/>
      <c r="V42" s="11"/>
      <c r="W42" s="11"/>
      <c r="X42" s="11"/>
    </row>
    <row r="43" spans="1:24" s="12" customFormat="1" ht="24.75" customHeight="1">
      <c r="A43" s="87">
        <v>6</v>
      </c>
      <c r="B43" s="15" t="s">
        <v>234</v>
      </c>
      <c r="C43" s="36">
        <v>3580</v>
      </c>
      <c r="D43" s="36">
        <f>290+200+4495+100</f>
        <v>5085</v>
      </c>
      <c r="E43" s="36"/>
      <c r="F43" s="36"/>
      <c r="G43" s="36"/>
      <c r="H43" s="36"/>
      <c r="I43" s="36"/>
      <c r="J43" s="36"/>
      <c r="K43" s="31">
        <f>C43+E43+G43+I43</f>
        <v>3580</v>
      </c>
      <c r="L43" s="31">
        <f t="shared" si="12"/>
        <v>5085</v>
      </c>
      <c r="M43" s="31">
        <f>C43+E43+G43+I43</f>
        <v>3580</v>
      </c>
      <c r="N43" s="31">
        <v>0</v>
      </c>
      <c r="O43" s="31">
        <f t="shared" si="13"/>
        <v>5085</v>
      </c>
      <c r="P43" s="31">
        <v>0</v>
      </c>
      <c r="Q43" s="11"/>
      <c r="R43" s="11"/>
      <c r="S43" s="11"/>
      <c r="T43" s="11"/>
      <c r="U43" s="11"/>
      <c r="V43" s="11"/>
      <c r="W43" s="11"/>
      <c r="X43" s="11"/>
    </row>
    <row r="44" spans="1:24" s="12" customFormat="1" ht="28.5">
      <c r="A44" s="87">
        <v>7</v>
      </c>
      <c r="B44" s="15" t="s">
        <v>47</v>
      </c>
      <c r="C44" s="36"/>
      <c r="D44" s="36"/>
      <c r="E44" s="36"/>
      <c r="F44" s="36"/>
      <c r="G44" s="36"/>
      <c r="H44" s="36"/>
      <c r="I44" s="36"/>
      <c r="J44" s="36"/>
      <c r="K44" s="31">
        <f t="shared" si="14"/>
        <v>0</v>
      </c>
      <c r="L44" s="31">
        <f t="shared" si="12"/>
        <v>0</v>
      </c>
      <c r="M44" s="31">
        <f>C44+E44+G44+I44</f>
        <v>0</v>
      </c>
      <c r="N44" s="31">
        <v>0</v>
      </c>
      <c r="O44" s="31">
        <f t="shared" si="13"/>
        <v>0</v>
      </c>
      <c r="P44" s="31">
        <v>0</v>
      </c>
      <c r="Q44" s="11"/>
      <c r="R44" s="11"/>
      <c r="S44" s="11"/>
      <c r="T44" s="11"/>
      <c r="U44" s="11"/>
      <c r="V44" s="11"/>
      <c r="W44" s="11"/>
      <c r="X44" s="11"/>
    </row>
    <row r="45" spans="1:24" s="12" customFormat="1" ht="15">
      <c r="A45" s="87"/>
      <c r="B45" s="15" t="s">
        <v>199</v>
      </c>
      <c r="C45" s="36">
        <v>0</v>
      </c>
      <c r="D45" s="36">
        <v>55</v>
      </c>
      <c r="E45" s="36"/>
      <c r="F45" s="36"/>
      <c r="G45" s="36"/>
      <c r="H45" s="36"/>
      <c r="I45" s="36"/>
      <c r="J45" s="36"/>
      <c r="K45" s="31">
        <f>C45+E45+G45+I45</f>
        <v>0</v>
      </c>
      <c r="L45" s="31">
        <f t="shared" si="12"/>
        <v>55</v>
      </c>
      <c r="M45" s="31"/>
      <c r="N45" s="31"/>
      <c r="O45" s="31">
        <f t="shared" si="13"/>
        <v>55</v>
      </c>
      <c r="P45" s="31"/>
      <c r="Q45" s="11"/>
      <c r="R45" s="11"/>
      <c r="S45" s="11"/>
      <c r="T45" s="11"/>
      <c r="U45" s="11"/>
      <c r="V45" s="11"/>
      <c r="W45" s="11"/>
      <c r="X45" s="11"/>
    </row>
    <row r="46" spans="1:24" s="12" customFormat="1" ht="15">
      <c r="A46" s="87"/>
      <c r="B46" s="15" t="s">
        <v>198</v>
      </c>
      <c r="C46" s="36">
        <v>0</v>
      </c>
      <c r="D46" s="36">
        <v>157</v>
      </c>
      <c r="E46" s="36"/>
      <c r="F46" s="36"/>
      <c r="G46" s="36"/>
      <c r="H46" s="36"/>
      <c r="I46" s="36"/>
      <c r="J46" s="36"/>
      <c r="K46" s="31">
        <f t="shared" si="14"/>
        <v>0</v>
      </c>
      <c r="L46" s="31">
        <f t="shared" si="12"/>
        <v>157</v>
      </c>
      <c r="M46" s="31"/>
      <c r="N46" s="31"/>
      <c r="O46" s="31">
        <f t="shared" si="13"/>
        <v>157</v>
      </c>
      <c r="P46" s="31"/>
      <c r="Q46" s="11"/>
      <c r="R46" s="11"/>
      <c r="S46" s="11"/>
      <c r="T46" s="11"/>
      <c r="U46" s="11"/>
      <c r="V46" s="11"/>
      <c r="W46" s="11"/>
      <c r="X46" s="11"/>
    </row>
    <row r="47" spans="1:24" s="12" customFormat="1" ht="28.5">
      <c r="A47" s="87">
        <v>8</v>
      </c>
      <c r="B47" s="15" t="s">
        <v>48</v>
      </c>
      <c r="C47" s="36">
        <v>71775</v>
      </c>
      <c r="D47" s="36">
        <f>9797+3300+55585+1050+14277</f>
        <v>84009</v>
      </c>
      <c r="E47" s="36"/>
      <c r="F47" s="36"/>
      <c r="G47" s="36"/>
      <c r="H47" s="36"/>
      <c r="I47" s="36"/>
      <c r="J47" s="36"/>
      <c r="K47" s="31">
        <f t="shared" si="14"/>
        <v>71775</v>
      </c>
      <c r="L47" s="31">
        <f t="shared" si="12"/>
        <v>84009</v>
      </c>
      <c r="M47" s="31">
        <v>0</v>
      </c>
      <c r="N47" s="31">
        <f>C47</f>
        <v>71775</v>
      </c>
      <c r="O47" s="31">
        <f>F47+H47+J47</f>
        <v>0</v>
      </c>
      <c r="P47" s="31">
        <f>D47</f>
        <v>84009</v>
      </c>
      <c r="Q47" s="11"/>
      <c r="R47" s="11"/>
      <c r="S47" s="11"/>
      <c r="T47" s="11"/>
      <c r="U47" s="11"/>
      <c r="V47" s="11"/>
      <c r="W47" s="11"/>
      <c r="X47" s="11"/>
    </row>
    <row r="48" spans="1:24" s="18" customFormat="1" ht="30">
      <c r="A48" s="187">
        <v>9</v>
      </c>
      <c r="B48" s="13" t="s">
        <v>157</v>
      </c>
      <c r="C48" s="30">
        <v>10300</v>
      </c>
      <c r="D48" s="30">
        <f>12+1402+2720</f>
        <v>4134</v>
      </c>
      <c r="E48" s="30"/>
      <c r="F48" s="30"/>
      <c r="G48" s="30"/>
      <c r="H48" s="30"/>
      <c r="I48" s="30"/>
      <c r="J48" s="30"/>
      <c r="K48" s="31">
        <f t="shared" si="14"/>
        <v>10300</v>
      </c>
      <c r="L48" s="31">
        <f t="shared" si="12"/>
        <v>4134</v>
      </c>
      <c r="M48" s="31">
        <f>C48+E48+G48+I48-N48</f>
        <v>10300</v>
      </c>
      <c r="N48" s="31">
        <v>0</v>
      </c>
      <c r="O48" s="31">
        <f t="shared" si="13"/>
        <v>4134</v>
      </c>
      <c r="P48" s="31">
        <v>0</v>
      </c>
      <c r="Q48" s="17"/>
      <c r="R48" s="17"/>
      <c r="S48" s="17"/>
      <c r="T48" s="17"/>
      <c r="U48" s="17"/>
      <c r="V48" s="17"/>
      <c r="W48" s="17"/>
      <c r="X48" s="17"/>
    </row>
    <row r="49" spans="1:24" ht="15">
      <c r="A49" s="87">
        <v>10</v>
      </c>
      <c r="B49" s="13" t="s">
        <v>49</v>
      </c>
      <c r="C49" s="31">
        <f>SUM(C50:C51)</f>
        <v>26224</v>
      </c>
      <c r="D49" s="31">
        <f t="shared" ref="D49:M49" si="17">SUM(D50:D51)</f>
        <v>361995</v>
      </c>
      <c r="E49" s="31">
        <f t="shared" si="17"/>
        <v>0</v>
      </c>
      <c r="F49" s="31">
        <f t="shared" si="17"/>
        <v>0</v>
      </c>
      <c r="G49" s="31">
        <f t="shared" si="17"/>
        <v>0</v>
      </c>
      <c r="H49" s="31">
        <f t="shared" si="17"/>
        <v>0</v>
      </c>
      <c r="I49" s="31">
        <f t="shared" si="17"/>
        <v>0</v>
      </c>
      <c r="J49" s="31">
        <f t="shared" si="17"/>
        <v>0</v>
      </c>
      <c r="K49" s="31">
        <f t="shared" si="17"/>
        <v>26224</v>
      </c>
      <c r="L49" s="31">
        <f t="shared" si="17"/>
        <v>361995</v>
      </c>
      <c r="M49" s="31">
        <f t="shared" si="17"/>
        <v>26224</v>
      </c>
      <c r="N49" s="31">
        <f>SUM(N50:N51)</f>
        <v>0</v>
      </c>
      <c r="O49" s="31">
        <f t="shared" si="13"/>
        <v>361995</v>
      </c>
      <c r="P49" s="31">
        <v>0</v>
      </c>
    </row>
    <row r="50" spans="1:24" ht="15">
      <c r="A50" s="87">
        <v>11</v>
      </c>
      <c r="B50" s="15" t="s">
        <v>50</v>
      </c>
      <c r="C50" s="36">
        <v>25224</v>
      </c>
      <c r="D50" s="36">
        <v>361995</v>
      </c>
      <c r="E50" s="36"/>
      <c r="F50" s="36"/>
      <c r="G50" s="36"/>
      <c r="H50" s="36"/>
      <c r="I50" s="36"/>
      <c r="J50" s="36"/>
      <c r="K50" s="31">
        <f t="shared" si="14"/>
        <v>25224</v>
      </c>
      <c r="L50" s="31">
        <f t="shared" si="12"/>
        <v>361995</v>
      </c>
      <c r="M50" s="31">
        <f>C50+E50+G50+I50</f>
        <v>25224</v>
      </c>
      <c r="N50" s="31">
        <v>0</v>
      </c>
      <c r="O50" s="31">
        <f t="shared" si="13"/>
        <v>361995</v>
      </c>
      <c r="P50" s="31">
        <v>0</v>
      </c>
    </row>
    <row r="51" spans="1:24" ht="15">
      <c r="A51" s="87">
        <v>12</v>
      </c>
      <c r="B51" s="15" t="s">
        <v>51</v>
      </c>
      <c r="C51" s="36">
        <v>1000</v>
      </c>
      <c r="D51" s="36">
        <v>0</v>
      </c>
      <c r="E51" s="36"/>
      <c r="F51" s="36"/>
      <c r="G51" s="36"/>
      <c r="H51" s="36"/>
      <c r="I51" s="36"/>
      <c r="J51" s="36"/>
      <c r="K51" s="31">
        <f t="shared" si="14"/>
        <v>1000</v>
      </c>
      <c r="L51" s="31">
        <f t="shared" si="12"/>
        <v>0</v>
      </c>
      <c r="M51" s="31">
        <f>C51+E51+G51+I51</f>
        <v>1000</v>
      </c>
      <c r="N51" s="31">
        <v>0</v>
      </c>
      <c r="O51" s="31">
        <f t="shared" si="13"/>
        <v>0</v>
      </c>
      <c r="P51" s="31">
        <v>0</v>
      </c>
    </row>
    <row r="52" spans="1:24" s="16" customFormat="1" ht="15">
      <c r="A52" s="87">
        <v>13</v>
      </c>
      <c r="B52" s="14" t="s">
        <v>52</v>
      </c>
      <c r="C52" s="35">
        <f t="shared" ref="C52:P52" si="18">C49+C42+C41+C40+C39+C38+C48</f>
        <v>419648</v>
      </c>
      <c r="D52" s="35">
        <f t="shared" si="18"/>
        <v>783461</v>
      </c>
      <c r="E52" s="35">
        <f t="shared" si="18"/>
        <v>64798</v>
      </c>
      <c r="F52" s="35">
        <f t="shared" si="18"/>
        <v>64123</v>
      </c>
      <c r="G52" s="35">
        <f t="shared" si="18"/>
        <v>206163</v>
      </c>
      <c r="H52" s="35">
        <f t="shared" si="18"/>
        <v>199849</v>
      </c>
      <c r="I52" s="35">
        <f t="shared" si="18"/>
        <v>71442</v>
      </c>
      <c r="J52" s="35">
        <f t="shared" si="18"/>
        <v>93224</v>
      </c>
      <c r="K52" s="35">
        <f t="shared" si="18"/>
        <v>762051</v>
      </c>
      <c r="L52" s="35">
        <f t="shared" si="18"/>
        <v>1140657</v>
      </c>
      <c r="M52" s="35">
        <f t="shared" si="18"/>
        <v>690276</v>
      </c>
      <c r="N52" s="35">
        <f t="shared" si="18"/>
        <v>71775</v>
      </c>
      <c r="O52" s="35">
        <f t="shared" si="18"/>
        <v>1056648</v>
      </c>
      <c r="P52" s="35">
        <f t="shared" si="18"/>
        <v>84009</v>
      </c>
      <c r="Q52" s="26"/>
      <c r="R52" s="26"/>
      <c r="S52" s="26"/>
      <c r="T52" s="26"/>
      <c r="U52" s="26"/>
      <c r="V52" s="26"/>
      <c r="W52" s="26"/>
      <c r="X52" s="26"/>
    </row>
    <row r="53" spans="1:24" ht="15">
      <c r="A53" s="87">
        <v>14</v>
      </c>
      <c r="B53" s="13" t="s">
        <v>158</v>
      </c>
      <c r="C53" s="31">
        <f>191434-1270</f>
        <v>190164</v>
      </c>
      <c r="D53" s="31">
        <f>1920+346+5635+73904+23625+702+44906+19623+4000+2598+1625+1102+250+157+196+27955+3</f>
        <v>208547</v>
      </c>
      <c r="E53" s="31"/>
      <c r="F53" s="31"/>
      <c r="G53" s="31"/>
      <c r="H53" s="31"/>
      <c r="I53" s="31"/>
      <c r="J53" s="31"/>
      <c r="K53" s="31">
        <f t="shared" si="14"/>
        <v>190164</v>
      </c>
      <c r="L53" s="31">
        <f t="shared" si="12"/>
        <v>208547</v>
      </c>
      <c r="M53" s="31">
        <f>K53</f>
        <v>190164</v>
      </c>
      <c r="N53" s="31"/>
      <c r="O53" s="31">
        <f t="shared" ref="O53:O58" si="19">D53+F53+H53+J53</f>
        <v>208547</v>
      </c>
      <c r="P53" s="31">
        <v>0</v>
      </c>
    </row>
    <row r="54" spans="1:24" ht="15">
      <c r="A54" s="87">
        <v>15</v>
      </c>
      <c r="B54" s="13" t="s">
        <v>54</v>
      </c>
      <c r="C54" s="31">
        <v>1270</v>
      </c>
      <c r="D54" s="31">
        <f>1139+1879+507</f>
        <v>3525</v>
      </c>
      <c r="E54" s="31"/>
      <c r="F54" s="31"/>
      <c r="G54" s="31"/>
      <c r="H54" s="31"/>
      <c r="I54" s="31"/>
      <c r="J54" s="31"/>
      <c r="K54" s="31">
        <f t="shared" si="14"/>
        <v>1270</v>
      </c>
      <c r="L54" s="31">
        <f t="shared" si="12"/>
        <v>3525</v>
      </c>
      <c r="M54" s="31">
        <f>C54</f>
        <v>1270</v>
      </c>
      <c r="N54" s="31">
        <v>0</v>
      </c>
      <c r="O54" s="31">
        <f t="shared" si="19"/>
        <v>3525</v>
      </c>
      <c r="P54" s="31">
        <v>0</v>
      </c>
    </row>
    <row r="55" spans="1:24" ht="15">
      <c r="A55" s="87">
        <v>20</v>
      </c>
      <c r="B55" s="13" t="s">
        <v>55</v>
      </c>
      <c r="C55" s="31">
        <f t="shared" ref="C55:N55" si="20">SUM(C56:C58)</f>
        <v>0</v>
      </c>
      <c r="D55" s="31">
        <f t="shared" si="20"/>
        <v>3400</v>
      </c>
      <c r="E55" s="31">
        <f t="shared" si="20"/>
        <v>0</v>
      </c>
      <c r="F55" s="31">
        <f t="shared" si="20"/>
        <v>0</v>
      </c>
      <c r="G55" s="31">
        <f t="shared" si="20"/>
        <v>0</v>
      </c>
      <c r="H55" s="31">
        <f t="shared" si="20"/>
        <v>0</v>
      </c>
      <c r="I55" s="31">
        <f t="shared" si="20"/>
        <v>0</v>
      </c>
      <c r="J55" s="31">
        <f t="shared" si="20"/>
        <v>0</v>
      </c>
      <c r="K55" s="31">
        <f t="shared" si="20"/>
        <v>0</v>
      </c>
      <c r="L55" s="31">
        <f t="shared" si="20"/>
        <v>3400</v>
      </c>
      <c r="M55" s="31">
        <f t="shared" si="20"/>
        <v>0</v>
      </c>
      <c r="N55" s="31">
        <f t="shared" si="20"/>
        <v>0</v>
      </c>
      <c r="O55" s="31">
        <f t="shared" si="19"/>
        <v>3400</v>
      </c>
      <c r="P55" s="31">
        <v>0</v>
      </c>
    </row>
    <row r="56" spans="1:24" ht="15">
      <c r="A56" s="87">
        <v>21</v>
      </c>
      <c r="B56" s="19" t="s">
        <v>56</v>
      </c>
      <c r="C56" s="36"/>
      <c r="D56" s="36">
        <v>3000</v>
      </c>
      <c r="E56" s="36"/>
      <c r="F56" s="36"/>
      <c r="G56" s="36"/>
      <c r="H56" s="36"/>
      <c r="I56" s="36"/>
      <c r="J56" s="36"/>
      <c r="K56" s="31">
        <f t="shared" si="14"/>
        <v>0</v>
      </c>
      <c r="L56" s="31">
        <f t="shared" si="12"/>
        <v>3000</v>
      </c>
      <c r="M56" s="31">
        <f>C56+E56+G56+I56</f>
        <v>0</v>
      </c>
      <c r="N56" s="31">
        <v>0</v>
      </c>
      <c r="O56" s="31">
        <f t="shared" si="19"/>
        <v>3000</v>
      </c>
      <c r="P56" s="31">
        <v>0</v>
      </c>
    </row>
    <row r="57" spans="1:24" ht="28.5">
      <c r="A57" s="87">
        <v>22</v>
      </c>
      <c r="B57" s="19" t="s">
        <v>235</v>
      </c>
      <c r="C57" s="36"/>
      <c r="D57" s="36"/>
      <c r="E57" s="36"/>
      <c r="F57" s="36"/>
      <c r="G57" s="36"/>
      <c r="H57" s="36"/>
      <c r="I57" s="36"/>
      <c r="J57" s="36"/>
      <c r="K57" s="31">
        <f t="shared" si="14"/>
        <v>0</v>
      </c>
      <c r="L57" s="31">
        <f t="shared" si="12"/>
        <v>0</v>
      </c>
      <c r="M57" s="31">
        <f>C57+E57+G57+I57</f>
        <v>0</v>
      </c>
      <c r="N57" s="31">
        <v>0</v>
      </c>
      <c r="O57" s="31">
        <f t="shared" si="19"/>
        <v>0</v>
      </c>
      <c r="P57" s="31">
        <v>0</v>
      </c>
    </row>
    <row r="58" spans="1:24" ht="28.5">
      <c r="A58" s="87">
        <v>24</v>
      </c>
      <c r="B58" s="19" t="s">
        <v>59</v>
      </c>
      <c r="C58" s="36"/>
      <c r="D58" s="36">
        <v>400</v>
      </c>
      <c r="E58" s="36"/>
      <c r="F58" s="36"/>
      <c r="G58" s="36"/>
      <c r="H58" s="36"/>
      <c r="I58" s="36"/>
      <c r="J58" s="36"/>
      <c r="K58" s="31">
        <f t="shared" si="14"/>
        <v>0</v>
      </c>
      <c r="L58" s="31">
        <f t="shared" si="12"/>
        <v>400</v>
      </c>
      <c r="M58" s="31">
        <f>C58+E58+G58+I58</f>
        <v>0</v>
      </c>
      <c r="N58" s="31">
        <v>0</v>
      </c>
      <c r="O58" s="31">
        <f t="shared" si="19"/>
        <v>400</v>
      </c>
      <c r="P58" s="31">
        <v>0</v>
      </c>
    </row>
    <row r="59" spans="1:24" s="16" customFormat="1" ht="15">
      <c r="A59" s="87">
        <v>25</v>
      </c>
      <c r="B59" s="14" t="s">
        <v>60</v>
      </c>
      <c r="C59" s="35">
        <f>C53+C54+C55</f>
        <v>191434</v>
      </c>
      <c r="D59" s="35">
        <f>D53+D54+D55</f>
        <v>215472</v>
      </c>
      <c r="E59" s="35">
        <f t="shared" ref="E59:P59" si="21">E53+E54+E55</f>
        <v>0</v>
      </c>
      <c r="F59" s="35">
        <f t="shared" si="21"/>
        <v>0</v>
      </c>
      <c r="G59" s="35">
        <f t="shared" si="21"/>
        <v>0</v>
      </c>
      <c r="H59" s="35">
        <f t="shared" si="21"/>
        <v>0</v>
      </c>
      <c r="I59" s="35">
        <f t="shared" si="21"/>
        <v>0</v>
      </c>
      <c r="J59" s="35">
        <f t="shared" si="21"/>
        <v>0</v>
      </c>
      <c r="K59" s="35">
        <f t="shared" si="21"/>
        <v>191434</v>
      </c>
      <c r="L59" s="35">
        <f t="shared" si="21"/>
        <v>215472</v>
      </c>
      <c r="M59" s="35">
        <f t="shared" si="21"/>
        <v>191434</v>
      </c>
      <c r="N59" s="35">
        <f t="shared" si="21"/>
        <v>0</v>
      </c>
      <c r="O59" s="35">
        <f t="shared" si="21"/>
        <v>215472</v>
      </c>
      <c r="P59" s="35">
        <f t="shared" si="21"/>
        <v>0</v>
      </c>
      <c r="Q59" s="26"/>
      <c r="R59" s="26"/>
      <c r="S59" s="26"/>
      <c r="T59" s="26"/>
      <c r="U59" s="26"/>
      <c r="V59" s="26"/>
      <c r="W59" s="26"/>
      <c r="X59" s="26"/>
    </row>
    <row r="60" spans="1:24" ht="15">
      <c r="A60" s="87">
        <v>30</v>
      </c>
      <c r="B60" s="6" t="s">
        <v>61</v>
      </c>
      <c r="C60" s="31">
        <f>C59+C52-C41</f>
        <v>435119</v>
      </c>
      <c r="D60" s="31">
        <f>D59+D52-D41</f>
        <v>836781</v>
      </c>
      <c r="E60" s="31">
        <f>E59+E52</f>
        <v>64798</v>
      </c>
      <c r="F60" s="31">
        <f t="shared" ref="F60:P60" si="22">F59+F52</f>
        <v>64123</v>
      </c>
      <c r="G60" s="31">
        <f t="shared" si="22"/>
        <v>206163</v>
      </c>
      <c r="H60" s="31">
        <f t="shared" si="22"/>
        <v>199849</v>
      </c>
      <c r="I60" s="31">
        <f t="shared" si="22"/>
        <v>71442</v>
      </c>
      <c r="J60" s="31">
        <f t="shared" si="22"/>
        <v>93224</v>
      </c>
      <c r="K60" s="31">
        <f>K59+K52-K41</f>
        <v>777522</v>
      </c>
      <c r="L60" s="31">
        <f>L59+L52-D41</f>
        <v>1193977</v>
      </c>
      <c r="M60" s="31">
        <f>M59+M52-M41</f>
        <v>705747</v>
      </c>
      <c r="N60" s="31">
        <f t="shared" si="22"/>
        <v>71775</v>
      </c>
      <c r="O60" s="31">
        <f>O59+O52-O41</f>
        <v>1109968</v>
      </c>
      <c r="P60" s="31">
        <f t="shared" si="22"/>
        <v>84009</v>
      </c>
    </row>
    <row r="61" spans="1:24" ht="15">
      <c r="A61" s="87">
        <v>31</v>
      </c>
      <c r="B61" s="9" t="s">
        <v>62</v>
      </c>
      <c r="C61" s="31">
        <v>6200</v>
      </c>
      <c r="D61" s="31">
        <f>7242+676+715+193</f>
        <v>8826</v>
      </c>
      <c r="E61" s="31">
        <v>0</v>
      </c>
      <c r="F61" s="31">
        <v>1682</v>
      </c>
      <c r="G61" s="31">
        <v>0</v>
      </c>
      <c r="H61" s="31">
        <v>7260</v>
      </c>
      <c r="I61" s="31"/>
      <c r="J61" s="31">
        <v>1156</v>
      </c>
      <c r="K61" s="31">
        <f t="shared" si="14"/>
        <v>6200</v>
      </c>
      <c r="L61" s="31">
        <f t="shared" si="12"/>
        <v>18924</v>
      </c>
      <c r="M61" s="31">
        <f>C61+E61+G61+I61</f>
        <v>6200</v>
      </c>
      <c r="N61" s="31">
        <v>0</v>
      </c>
      <c r="O61" s="31">
        <f>D61</f>
        <v>8826</v>
      </c>
      <c r="P61" s="31">
        <v>0</v>
      </c>
    </row>
    <row r="62" spans="1:24" ht="15">
      <c r="A62" s="87">
        <v>32</v>
      </c>
      <c r="B62" s="27" t="s">
        <v>63</v>
      </c>
      <c r="C62" s="37">
        <f>SUM(C60:C61)</f>
        <v>441319</v>
      </c>
      <c r="D62" s="37">
        <f t="shared" ref="D62:I62" si="23">SUM(D60:D61)</f>
        <v>845607</v>
      </c>
      <c r="E62" s="37">
        <f t="shared" si="23"/>
        <v>64798</v>
      </c>
      <c r="F62" s="37">
        <f t="shared" si="23"/>
        <v>65805</v>
      </c>
      <c r="G62" s="37">
        <f t="shared" si="23"/>
        <v>206163</v>
      </c>
      <c r="H62" s="37">
        <f t="shared" si="23"/>
        <v>207109</v>
      </c>
      <c r="I62" s="37">
        <f t="shared" si="23"/>
        <v>71442</v>
      </c>
      <c r="J62" s="37">
        <f>SUM(J60:J61)</f>
        <v>94380</v>
      </c>
      <c r="K62" s="38">
        <f t="shared" ref="K62:P62" si="24">K60+K61</f>
        <v>783722</v>
      </c>
      <c r="L62" s="38">
        <f t="shared" si="24"/>
        <v>1212901</v>
      </c>
      <c r="M62" s="40">
        <f t="shared" si="24"/>
        <v>711947</v>
      </c>
      <c r="N62" s="40">
        <f t="shared" si="24"/>
        <v>71775</v>
      </c>
      <c r="O62" s="41">
        <f t="shared" si="24"/>
        <v>1118794</v>
      </c>
      <c r="P62" s="41">
        <f t="shared" si="24"/>
        <v>84009</v>
      </c>
    </row>
    <row r="63" spans="1:24" ht="15">
      <c r="B63" s="20"/>
      <c r="I63" s="39"/>
      <c r="J63" s="39"/>
    </row>
    <row r="64" spans="1:24" ht="15">
      <c r="B64" s="20"/>
      <c r="I64" s="39"/>
      <c r="J64" s="39"/>
    </row>
    <row r="65" spans="1:24" ht="72.75" customHeight="1">
      <c r="B65" s="20" t="s">
        <v>64</v>
      </c>
    </row>
    <row r="66" spans="1:24" ht="15">
      <c r="B66" s="20"/>
    </row>
    <row r="67" spans="1:24" ht="15">
      <c r="B67" s="20"/>
    </row>
    <row r="68" spans="1:24" ht="15">
      <c r="B68" s="20"/>
    </row>
    <row r="69" spans="1:24" ht="15">
      <c r="B69" s="20"/>
    </row>
    <row r="70" spans="1:24" ht="15">
      <c r="B70" s="20"/>
    </row>
    <row r="71" spans="1:24" ht="15">
      <c r="B71" s="20"/>
    </row>
    <row r="72" spans="1:24" s="21" customFormat="1" ht="15">
      <c r="A72" s="87"/>
      <c r="B72" s="20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4"/>
      <c r="R72" s="4"/>
      <c r="S72" s="4"/>
      <c r="T72" s="4"/>
      <c r="U72" s="4"/>
      <c r="V72" s="4"/>
      <c r="W72" s="4"/>
      <c r="X72" s="4"/>
    </row>
    <row r="73" spans="1:24" s="21" customFormat="1" ht="15">
      <c r="A73" s="87"/>
      <c r="B73" s="20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4"/>
      <c r="R73" s="4"/>
      <c r="S73" s="4"/>
      <c r="T73" s="4"/>
      <c r="U73" s="4"/>
      <c r="V73" s="4"/>
      <c r="W73" s="4"/>
      <c r="X73" s="4"/>
    </row>
    <row r="74" spans="1:24" s="21" customFormat="1" ht="15">
      <c r="A74" s="87"/>
      <c r="B74" s="20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4"/>
      <c r="R74" s="4"/>
      <c r="S74" s="4"/>
      <c r="T74" s="4"/>
      <c r="U74" s="4"/>
      <c r="V74" s="4"/>
      <c r="W74" s="4"/>
      <c r="X74" s="4"/>
    </row>
    <row r="75" spans="1:24" s="21" customFormat="1" ht="15">
      <c r="A75" s="87"/>
      <c r="B75" s="20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4"/>
      <c r="R75" s="4"/>
      <c r="S75" s="4"/>
      <c r="T75" s="4"/>
      <c r="U75" s="4"/>
      <c r="V75" s="4"/>
      <c r="W75" s="4"/>
      <c r="X75" s="4"/>
    </row>
    <row r="76" spans="1:24" s="21" customFormat="1" ht="15">
      <c r="A76" s="87"/>
      <c r="B76" s="20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4"/>
      <c r="R76" s="4"/>
      <c r="S76" s="4"/>
      <c r="T76" s="4"/>
      <c r="U76" s="4"/>
      <c r="V76" s="4"/>
      <c r="W76" s="4"/>
      <c r="X76" s="4"/>
    </row>
    <row r="77" spans="1:24" s="21" customFormat="1" ht="15">
      <c r="A77" s="87"/>
      <c r="B77" s="20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4"/>
      <c r="R77" s="4"/>
      <c r="S77" s="4"/>
      <c r="T77" s="4"/>
      <c r="U77" s="4"/>
      <c r="V77" s="4"/>
      <c r="W77" s="4"/>
      <c r="X77" s="4"/>
    </row>
    <row r="78" spans="1:24" s="21" customFormat="1" ht="15">
      <c r="A78" s="87"/>
      <c r="B78" s="20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4"/>
      <c r="R78" s="4"/>
      <c r="S78" s="4"/>
      <c r="T78" s="4"/>
      <c r="U78" s="4"/>
      <c r="V78" s="4"/>
      <c r="W78" s="4"/>
      <c r="X78" s="4"/>
    </row>
    <row r="79" spans="1:24" s="21" customFormat="1" ht="15">
      <c r="A79" s="87"/>
      <c r="B79" s="20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4"/>
      <c r="R79" s="4"/>
      <c r="S79" s="4"/>
      <c r="T79" s="4"/>
      <c r="U79" s="4"/>
      <c r="V79" s="4"/>
      <c r="W79" s="4"/>
      <c r="X79" s="4"/>
    </row>
    <row r="80" spans="1:24" s="21" customFormat="1" ht="15">
      <c r="A80" s="87"/>
      <c r="B80" s="20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4"/>
      <c r="R80" s="4"/>
      <c r="S80" s="4"/>
      <c r="T80" s="4"/>
      <c r="U80" s="4"/>
      <c r="V80" s="4"/>
      <c r="W80" s="4"/>
      <c r="X80" s="4"/>
    </row>
    <row r="81" spans="1:24" s="21" customFormat="1" ht="15">
      <c r="A81" s="87"/>
      <c r="B81" s="20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4"/>
      <c r="R81" s="4"/>
      <c r="S81" s="4"/>
      <c r="T81" s="4"/>
      <c r="U81" s="4"/>
      <c r="V81" s="4"/>
      <c r="W81" s="4"/>
      <c r="X81" s="4"/>
    </row>
    <row r="82" spans="1:24" s="21" customFormat="1" ht="15">
      <c r="A82" s="87"/>
      <c r="B82" s="20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4"/>
      <c r="R82" s="4"/>
      <c r="S82" s="4"/>
      <c r="T82" s="4"/>
      <c r="U82" s="4"/>
      <c r="V82" s="4"/>
      <c r="W82" s="4"/>
      <c r="X82" s="4"/>
    </row>
    <row r="83" spans="1:24" s="21" customFormat="1" ht="15">
      <c r="A83" s="87"/>
      <c r="B83" s="20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4"/>
      <c r="R83" s="4"/>
      <c r="S83" s="4"/>
      <c r="T83" s="4"/>
      <c r="U83" s="4"/>
      <c r="V83" s="4"/>
      <c r="W83" s="4"/>
      <c r="X83" s="4"/>
    </row>
    <row r="84" spans="1:24" s="21" customFormat="1" ht="15">
      <c r="A84" s="87"/>
      <c r="B84" s="20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4"/>
      <c r="R84" s="4"/>
      <c r="S84" s="4"/>
      <c r="T84" s="4"/>
      <c r="U84" s="4"/>
      <c r="V84" s="4"/>
      <c r="W84" s="4"/>
      <c r="X84" s="4"/>
    </row>
    <row r="85" spans="1:24" s="21" customFormat="1" ht="15">
      <c r="A85" s="87"/>
      <c r="B85" s="20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4"/>
      <c r="R85" s="4"/>
      <c r="S85" s="4"/>
      <c r="T85" s="4"/>
      <c r="U85" s="4"/>
      <c r="V85" s="4"/>
      <c r="W85" s="4"/>
      <c r="X85" s="4"/>
    </row>
    <row r="86" spans="1:24" s="21" customFormat="1" ht="15">
      <c r="A86" s="87"/>
      <c r="B86" s="20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4"/>
      <c r="R86" s="4"/>
      <c r="S86" s="4"/>
      <c r="T86" s="4"/>
      <c r="U86" s="4"/>
      <c r="V86" s="4"/>
      <c r="W86" s="4"/>
      <c r="X86" s="4"/>
    </row>
    <row r="87" spans="1:24" s="21" customFormat="1" ht="15">
      <c r="A87" s="87"/>
      <c r="B87" s="20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4"/>
      <c r="R87" s="4"/>
      <c r="S87" s="4"/>
      <c r="T87" s="4"/>
      <c r="U87" s="4"/>
      <c r="V87" s="4"/>
      <c r="W87" s="4"/>
      <c r="X87" s="4"/>
    </row>
    <row r="88" spans="1:24" s="21" customFormat="1" ht="15">
      <c r="A88" s="87"/>
      <c r="B88" s="20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4"/>
      <c r="R88" s="4"/>
      <c r="S88" s="4"/>
      <c r="T88" s="4"/>
      <c r="U88" s="4"/>
      <c r="V88" s="4"/>
      <c r="W88" s="4"/>
      <c r="X88" s="4"/>
    </row>
    <row r="89" spans="1:24" s="21" customFormat="1" ht="15">
      <c r="A89" s="87"/>
      <c r="B89" s="20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4"/>
      <c r="R89" s="4"/>
      <c r="S89" s="4"/>
      <c r="T89" s="4"/>
      <c r="U89" s="4"/>
      <c r="V89" s="4"/>
      <c r="W89" s="4"/>
      <c r="X89" s="4"/>
    </row>
    <row r="90" spans="1:24" s="21" customFormat="1" ht="15">
      <c r="A90" s="87"/>
      <c r="B90" s="20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4"/>
      <c r="R90" s="4"/>
      <c r="S90" s="4"/>
      <c r="T90" s="4"/>
      <c r="U90" s="4"/>
      <c r="V90" s="4"/>
      <c r="W90" s="4"/>
      <c r="X90" s="4"/>
    </row>
    <row r="91" spans="1:24" s="21" customFormat="1" ht="15">
      <c r="A91" s="87"/>
      <c r="B91" s="20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4"/>
      <c r="R91" s="4"/>
      <c r="S91" s="4"/>
      <c r="T91" s="4"/>
      <c r="U91" s="4"/>
      <c r="V91" s="4"/>
      <c r="W91" s="4"/>
      <c r="X91" s="4"/>
    </row>
    <row r="92" spans="1:24" s="21" customFormat="1" ht="15">
      <c r="A92" s="87"/>
      <c r="B92" s="20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4"/>
      <c r="R92" s="4"/>
      <c r="S92" s="4"/>
      <c r="T92" s="4"/>
      <c r="U92" s="4"/>
      <c r="V92" s="4"/>
      <c r="W92" s="4"/>
      <c r="X92" s="4"/>
    </row>
    <row r="93" spans="1:24" s="21" customFormat="1" ht="15">
      <c r="A93" s="87"/>
      <c r="B93" s="20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4"/>
      <c r="R93" s="4"/>
      <c r="S93" s="4"/>
      <c r="T93" s="4"/>
      <c r="U93" s="4"/>
      <c r="V93" s="4"/>
      <c r="W93" s="4"/>
      <c r="X93" s="4"/>
    </row>
    <row r="94" spans="1:24" s="21" customFormat="1" ht="15">
      <c r="A94" s="87"/>
      <c r="B94" s="20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4"/>
      <c r="R94" s="4"/>
      <c r="S94" s="4"/>
      <c r="T94" s="4"/>
      <c r="U94" s="4"/>
      <c r="V94" s="4"/>
      <c r="W94" s="4"/>
      <c r="X94" s="4"/>
    </row>
    <row r="95" spans="1:24" s="21" customFormat="1" ht="15">
      <c r="A95" s="87"/>
      <c r="B95" s="20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4"/>
      <c r="R95" s="4"/>
      <c r="S95" s="4"/>
      <c r="T95" s="4"/>
      <c r="U95" s="4"/>
      <c r="V95" s="4"/>
      <c r="W95" s="4"/>
      <c r="X95" s="4"/>
    </row>
    <row r="96" spans="1:24" s="21" customFormat="1" ht="15">
      <c r="A96" s="87"/>
      <c r="B96" s="20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4"/>
      <c r="R96" s="4"/>
      <c r="S96" s="4"/>
      <c r="T96" s="4"/>
      <c r="U96" s="4"/>
      <c r="V96" s="4"/>
      <c r="W96" s="4"/>
      <c r="X96" s="4"/>
    </row>
    <row r="97" spans="1:24" s="21" customFormat="1" ht="15">
      <c r="A97" s="87"/>
      <c r="B97" s="20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4"/>
      <c r="R97" s="4"/>
      <c r="S97" s="4"/>
      <c r="T97" s="4"/>
      <c r="U97" s="4"/>
      <c r="V97" s="4"/>
      <c r="W97" s="4"/>
      <c r="X97" s="4"/>
    </row>
    <row r="98" spans="1:24" s="21" customFormat="1" ht="15">
      <c r="A98" s="87"/>
      <c r="B98" s="20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4"/>
      <c r="R98" s="4"/>
      <c r="S98" s="4"/>
      <c r="T98" s="4"/>
      <c r="U98" s="4"/>
      <c r="V98" s="4"/>
      <c r="W98" s="4"/>
      <c r="X98" s="4"/>
    </row>
    <row r="99" spans="1:24" s="21" customFormat="1" ht="15">
      <c r="A99" s="87"/>
      <c r="B99" s="20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4"/>
      <c r="R99" s="4"/>
      <c r="S99" s="4"/>
      <c r="T99" s="4"/>
      <c r="U99" s="4"/>
      <c r="V99" s="4"/>
      <c r="W99" s="4"/>
      <c r="X99" s="4"/>
    </row>
    <row r="100" spans="1:24" s="21" customFormat="1" ht="15">
      <c r="A100" s="87"/>
      <c r="B100" s="20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4"/>
      <c r="R100" s="4"/>
      <c r="S100" s="4"/>
      <c r="T100" s="4"/>
      <c r="U100" s="4"/>
      <c r="V100" s="4"/>
      <c r="W100" s="4"/>
      <c r="X100" s="4"/>
    </row>
    <row r="101" spans="1:24" s="21" customFormat="1" ht="15">
      <c r="A101" s="87"/>
      <c r="B101" s="20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4"/>
      <c r="R101" s="4"/>
      <c r="S101" s="4"/>
      <c r="T101" s="4"/>
      <c r="U101" s="4"/>
      <c r="V101" s="4"/>
      <c r="W101" s="4"/>
      <c r="X101" s="4"/>
    </row>
    <row r="102" spans="1:24" s="21" customFormat="1" ht="15">
      <c r="A102" s="87"/>
      <c r="B102" s="20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4"/>
      <c r="R102" s="4"/>
      <c r="S102" s="4"/>
      <c r="T102" s="4"/>
      <c r="U102" s="4"/>
      <c r="V102" s="4"/>
      <c r="W102" s="4"/>
      <c r="X102" s="4"/>
    </row>
    <row r="103" spans="1:24" s="21" customFormat="1" ht="15">
      <c r="A103" s="87"/>
      <c r="B103" s="20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4"/>
      <c r="R103" s="4"/>
      <c r="S103" s="4"/>
      <c r="T103" s="4"/>
      <c r="U103" s="4"/>
      <c r="V103" s="4"/>
      <c r="W103" s="4"/>
      <c r="X103" s="4"/>
    </row>
    <row r="104" spans="1:24" s="21" customFormat="1" ht="15">
      <c r="A104" s="87"/>
      <c r="B104" s="20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4"/>
      <c r="R104" s="4"/>
      <c r="S104" s="4"/>
      <c r="T104" s="4"/>
      <c r="U104" s="4"/>
      <c r="V104" s="4"/>
      <c r="W104" s="4"/>
      <c r="X104" s="4"/>
    </row>
    <row r="105" spans="1:24" s="21" customFormat="1" ht="15">
      <c r="A105" s="87"/>
      <c r="B105" s="20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4"/>
      <c r="R105" s="4"/>
      <c r="S105" s="4"/>
      <c r="T105" s="4"/>
      <c r="U105" s="4"/>
      <c r="V105" s="4"/>
      <c r="W105" s="4"/>
      <c r="X105" s="4"/>
    </row>
    <row r="106" spans="1:24" s="21" customFormat="1" ht="15">
      <c r="A106" s="87"/>
      <c r="B106" s="20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4"/>
      <c r="R106" s="4"/>
      <c r="S106" s="4"/>
      <c r="T106" s="4"/>
      <c r="U106" s="4"/>
      <c r="V106" s="4"/>
      <c r="W106" s="4"/>
      <c r="X106" s="4"/>
    </row>
    <row r="107" spans="1:24" s="21" customFormat="1" ht="15">
      <c r="A107" s="87"/>
      <c r="B107" s="20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4"/>
      <c r="R107" s="4"/>
      <c r="S107" s="4"/>
      <c r="T107" s="4"/>
      <c r="U107" s="4"/>
      <c r="V107" s="4"/>
      <c r="W107" s="4"/>
      <c r="X107" s="4"/>
    </row>
    <row r="108" spans="1:24" s="21" customFormat="1" ht="15">
      <c r="A108" s="87"/>
      <c r="B108" s="20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4"/>
      <c r="R108" s="4"/>
      <c r="S108" s="4"/>
      <c r="T108" s="4"/>
      <c r="U108" s="4"/>
      <c r="V108" s="4"/>
      <c r="W108" s="4"/>
      <c r="X108" s="4"/>
    </row>
    <row r="109" spans="1:24" s="21" customFormat="1" ht="15">
      <c r="A109" s="87"/>
      <c r="B109" s="20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4"/>
      <c r="R109" s="4"/>
      <c r="S109" s="4"/>
      <c r="T109" s="4"/>
      <c r="U109" s="4"/>
      <c r="V109" s="4"/>
      <c r="W109" s="4"/>
      <c r="X109" s="4"/>
    </row>
    <row r="110" spans="1:24" s="21" customFormat="1" ht="15">
      <c r="A110" s="87"/>
      <c r="B110" s="20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4"/>
      <c r="R110" s="4"/>
      <c r="S110" s="4"/>
      <c r="T110" s="4"/>
      <c r="U110" s="4"/>
      <c r="V110" s="4"/>
      <c r="W110" s="4"/>
      <c r="X110" s="4"/>
    </row>
    <row r="111" spans="1:24" s="21" customFormat="1" ht="15">
      <c r="A111" s="87"/>
      <c r="B111" s="20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4"/>
      <c r="R111" s="4"/>
      <c r="S111" s="4"/>
      <c r="T111" s="4"/>
      <c r="U111" s="4"/>
      <c r="V111" s="4"/>
      <c r="W111" s="4"/>
      <c r="X111" s="4"/>
    </row>
    <row r="112" spans="1:24" s="21" customFormat="1" ht="15">
      <c r="A112" s="87"/>
      <c r="B112" s="20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4"/>
      <c r="R112" s="4"/>
      <c r="S112" s="4"/>
      <c r="T112" s="4"/>
      <c r="U112" s="4"/>
      <c r="V112" s="4"/>
      <c r="W112" s="4"/>
      <c r="X112" s="4"/>
    </row>
    <row r="113" spans="1:24" s="21" customFormat="1" ht="15">
      <c r="A113" s="87"/>
      <c r="B113" s="20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4"/>
      <c r="R113" s="4"/>
      <c r="S113" s="4"/>
      <c r="T113" s="4"/>
      <c r="U113" s="4"/>
      <c r="V113" s="4"/>
      <c r="W113" s="4"/>
      <c r="X113" s="4"/>
    </row>
    <row r="114" spans="1:24" s="21" customFormat="1" ht="15">
      <c r="A114" s="87"/>
      <c r="B114" s="20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4"/>
      <c r="R114" s="4"/>
      <c r="S114" s="4"/>
      <c r="T114" s="4"/>
      <c r="U114" s="4"/>
      <c r="V114" s="4"/>
      <c r="W114" s="4"/>
      <c r="X114" s="4"/>
    </row>
    <row r="115" spans="1:24" s="21" customFormat="1" ht="15">
      <c r="A115" s="87"/>
      <c r="B115" s="20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4"/>
      <c r="R115" s="4"/>
      <c r="S115" s="4"/>
      <c r="T115" s="4"/>
      <c r="U115" s="4"/>
      <c r="V115" s="4"/>
      <c r="W115" s="4"/>
      <c r="X115" s="4"/>
    </row>
    <row r="116" spans="1:24" s="21" customFormat="1" ht="15">
      <c r="A116" s="87"/>
      <c r="B116" s="20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4"/>
      <c r="R116" s="4"/>
      <c r="S116" s="4"/>
      <c r="T116" s="4"/>
      <c r="U116" s="4"/>
      <c r="V116" s="4"/>
      <c r="W116" s="4"/>
      <c r="X116" s="4"/>
    </row>
    <row r="117" spans="1:24" s="21" customFormat="1" ht="15">
      <c r="A117" s="87"/>
      <c r="B117" s="20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4"/>
      <c r="R117" s="4"/>
      <c r="S117" s="4"/>
      <c r="T117" s="4"/>
      <c r="U117" s="4"/>
      <c r="V117" s="4"/>
      <c r="W117" s="4"/>
      <c r="X117" s="4"/>
    </row>
    <row r="118" spans="1:24" s="21" customFormat="1" ht="15">
      <c r="A118" s="87"/>
      <c r="B118" s="20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4"/>
      <c r="R118" s="4"/>
      <c r="S118" s="4"/>
      <c r="T118" s="4"/>
      <c r="U118" s="4"/>
      <c r="V118" s="4"/>
      <c r="W118" s="4"/>
      <c r="X118" s="4"/>
    </row>
    <row r="119" spans="1:24" s="21" customFormat="1" ht="15">
      <c r="A119" s="87"/>
      <c r="B119" s="20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4"/>
      <c r="R119" s="4"/>
      <c r="S119" s="4"/>
      <c r="T119" s="4"/>
      <c r="U119" s="4"/>
      <c r="V119" s="4"/>
      <c r="W119" s="4"/>
      <c r="X119" s="4"/>
    </row>
    <row r="120" spans="1:24" s="21" customFormat="1" ht="15">
      <c r="A120" s="87"/>
      <c r="B120" s="20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4"/>
      <c r="R120" s="4"/>
      <c r="S120" s="4"/>
      <c r="T120" s="4"/>
      <c r="U120" s="4"/>
      <c r="V120" s="4"/>
      <c r="W120" s="4"/>
      <c r="X120" s="4"/>
    </row>
  </sheetData>
  <mergeCells count="1">
    <mergeCell ref="C1:P1"/>
  </mergeCells>
  <phoneticPr fontId="5" type="noConversion"/>
  <printOptions horizontalCentered="1" verticalCentered="1"/>
  <pageMargins left="0.78740157480314965" right="0.59055118110236227" top="0.94488188976377963" bottom="0.78740157480314965" header="0.51181102362204722" footer="0.51181102362204722"/>
  <pageSetup paperSize="9" scale="40" fitToHeight="2" orientation="landscape" verticalDpi="300" r:id="rId1"/>
  <headerFooter alignWithMargins="0"/>
  <rowBreaks count="1" manualBreakCount="1">
    <brk id="32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S14"/>
  <sheetViews>
    <sheetView zoomScale="75" workbookViewId="0">
      <selection activeCell="B2" sqref="B2"/>
    </sheetView>
  </sheetViews>
  <sheetFormatPr defaultRowHeight="12.75"/>
  <cols>
    <col min="1" max="1" width="9.140625" style="1"/>
    <col min="2" max="2" width="51.140625" style="1" customWidth="1"/>
    <col min="3" max="4" width="18.140625" style="1" customWidth="1"/>
    <col min="5" max="5" width="19" style="1" customWidth="1"/>
    <col min="6" max="6" width="17.42578125" style="1" customWidth="1"/>
    <col min="7" max="7" width="19" style="1" customWidth="1"/>
    <col min="8" max="8" width="17.42578125" style="1" customWidth="1"/>
    <col min="9" max="16384" width="9.140625" style="1"/>
  </cols>
  <sheetData>
    <row r="1" spans="1:19">
      <c r="B1" s="223" t="s">
        <v>297</v>
      </c>
      <c r="C1" s="223"/>
      <c r="D1" s="223"/>
      <c r="E1" s="223"/>
      <c r="F1" s="223"/>
      <c r="G1" s="223"/>
      <c r="H1" s="223"/>
      <c r="I1" s="223"/>
      <c r="J1" s="223"/>
    </row>
    <row r="2" spans="1:19" ht="20.25">
      <c r="B2" s="43" t="s">
        <v>84</v>
      </c>
      <c r="E2" s="222"/>
      <c r="F2" s="222"/>
      <c r="G2" s="222"/>
      <c r="H2" s="222"/>
    </row>
    <row r="3" spans="1:19">
      <c r="D3" s="1" t="s">
        <v>0</v>
      </c>
    </row>
    <row r="4" spans="1:19" ht="51">
      <c r="B4" s="44" t="s">
        <v>1</v>
      </c>
      <c r="C4" s="45" t="s">
        <v>2</v>
      </c>
      <c r="D4" s="45" t="s">
        <v>78</v>
      </c>
      <c r="E4" s="45" t="s">
        <v>70</v>
      </c>
      <c r="F4" s="45" t="s">
        <v>71</v>
      </c>
      <c r="G4" s="45" t="s">
        <v>73</v>
      </c>
      <c r="H4" s="45" t="s">
        <v>74</v>
      </c>
    </row>
    <row r="5" spans="1:19" ht="14.25">
      <c r="B5" s="46" t="s">
        <v>6</v>
      </c>
      <c r="C5" s="47" t="s">
        <v>7</v>
      </c>
      <c r="D5" s="47" t="s">
        <v>8</v>
      </c>
      <c r="E5" s="47" t="s">
        <v>9</v>
      </c>
      <c r="F5" s="47" t="s">
        <v>80</v>
      </c>
      <c r="G5" s="47" t="s">
        <v>11</v>
      </c>
      <c r="H5" s="47" t="s">
        <v>12</v>
      </c>
    </row>
    <row r="6" spans="1:19" ht="16.5">
      <c r="A6" s="1">
        <v>1</v>
      </c>
      <c r="B6" s="48" t="s">
        <v>173</v>
      </c>
      <c r="C6" s="49">
        <v>83000</v>
      </c>
      <c r="D6" s="49">
        <v>85187</v>
      </c>
      <c r="E6" s="49">
        <f>C6</f>
        <v>83000</v>
      </c>
      <c r="F6" s="49"/>
      <c r="G6" s="49">
        <f>D6</f>
        <v>85187</v>
      </c>
      <c r="H6" s="49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6.5">
      <c r="A7" s="1">
        <v>2</v>
      </c>
      <c r="B7" s="48" t="s">
        <v>174</v>
      </c>
      <c r="C7" s="49">
        <v>40000</v>
      </c>
      <c r="D7" s="49">
        <v>45555</v>
      </c>
      <c r="E7" s="49">
        <f t="shared" ref="E7:E13" si="0">C7</f>
        <v>40000</v>
      </c>
      <c r="F7" s="49"/>
      <c r="G7" s="49">
        <f t="shared" ref="G7:G13" si="1">D7</f>
        <v>45555</v>
      </c>
      <c r="H7" s="4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6.5">
      <c r="A8" s="1">
        <v>3</v>
      </c>
      <c r="B8" s="48" t="s">
        <v>175</v>
      </c>
      <c r="C8" s="49">
        <v>40000</v>
      </c>
      <c r="D8" s="49">
        <v>39735</v>
      </c>
      <c r="E8" s="49">
        <f t="shared" si="0"/>
        <v>40000</v>
      </c>
      <c r="F8" s="49"/>
      <c r="G8" s="49">
        <f t="shared" si="1"/>
        <v>39735</v>
      </c>
      <c r="H8" s="49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6.5">
      <c r="A9" s="1">
        <v>4</v>
      </c>
      <c r="B9" s="48" t="s">
        <v>236</v>
      </c>
      <c r="C9" s="49">
        <v>6000</v>
      </c>
      <c r="D9" s="49">
        <v>7306</v>
      </c>
      <c r="E9" s="49">
        <f t="shared" si="0"/>
        <v>6000</v>
      </c>
      <c r="F9" s="49"/>
      <c r="G9" s="49">
        <f t="shared" si="1"/>
        <v>7306</v>
      </c>
      <c r="H9" s="49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6.5">
      <c r="A10" s="1">
        <v>5</v>
      </c>
      <c r="B10" s="48" t="s">
        <v>149</v>
      </c>
      <c r="C10" s="49">
        <v>600</v>
      </c>
      <c r="D10" s="49">
        <v>0</v>
      </c>
      <c r="E10" s="49">
        <f t="shared" si="0"/>
        <v>600</v>
      </c>
      <c r="F10" s="49"/>
      <c r="G10" s="49">
        <f t="shared" si="1"/>
        <v>0</v>
      </c>
      <c r="H10" s="49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6.5">
      <c r="A11" s="1">
        <v>6</v>
      </c>
      <c r="B11" s="48" t="s">
        <v>176</v>
      </c>
      <c r="C11" s="49">
        <v>0</v>
      </c>
      <c r="D11" s="49">
        <v>0</v>
      </c>
      <c r="E11" s="49">
        <f t="shared" si="0"/>
        <v>0</v>
      </c>
      <c r="F11" s="49"/>
      <c r="G11" s="49">
        <f t="shared" si="1"/>
        <v>0</v>
      </c>
      <c r="H11" s="4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6.5">
      <c r="A12" s="1">
        <v>7</v>
      </c>
      <c r="B12" s="48" t="s">
        <v>177</v>
      </c>
      <c r="C12" s="49">
        <v>48000</v>
      </c>
      <c r="D12" s="49">
        <v>63564</v>
      </c>
      <c r="E12" s="49">
        <f t="shared" si="0"/>
        <v>48000</v>
      </c>
      <c r="F12" s="49"/>
      <c r="G12" s="49">
        <f t="shared" si="1"/>
        <v>63564</v>
      </c>
      <c r="H12" s="49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7.2" customHeight="1">
      <c r="A13" s="1">
        <v>8</v>
      </c>
      <c r="B13" s="48" t="s">
        <v>178</v>
      </c>
      <c r="C13" s="49">
        <f>20+600</f>
        <v>620</v>
      </c>
      <c r="D13" s="49">
        <f>48+70+880</f>
        <v>998</v>
      </c>
      <c r="E13" s="49">
        <f t="shared" si="0"/>
        <v>620</v>
      </c>
      <c r="F13" s="49"/>
      <c r="G13" s="49">
        <f t="shared" si="1"/>
        <v>998</v>
      </c>
      <c r="H13" s="49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">
      <c r="A14" s="1">
        <v>9</v>
      </c>
      <c r="B14" s="50" t="s">
        <v>79</v>
      </c>
      <c r="C14" s="51">
        <f t="shared" ref="C14:H14" si="2">SUM(C6:C13)</f>
        <v>218220</v>
      </c>
      <c r="D14" s="51">
        <f>SUM(D6:D13)</f>
        <v>242345</v>
      </c>
      <c r="E14" s="51">
        <f t="shared" si="2"/>
        <v>218220</v>
      </c>
      <c r="F14" s="51">
        <f t="shared" si="2"/>
        <v>0</v>
      </c>
      <c r="G14" s="51">
        <f t="shared" si="2"/>
        <v>242345</v>
      </c>
      <c r="H14" s="51">
        <f t="shared" si="2"/>
        <v>0</v>
      </c>
    </row>
  </sheetData>
  <mergeCells count="2">
    <mergeCell ref="E2:H2"/>
    <mergeCell ref="B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21"/>
  <sheetViews>
    <sheetView zoomScale="75" zoomScaleNormal="75" workbookViewId="0">
      <selection sqref="A1:H1"/>
    </sheetView>
  </sheetViews>
  <sheetFormatPr defaultRowHeight="12.75"/>
  <cols>
    <col min="1" max="1" width="9.140625" style="1" customWidth="1"/>
    <col min="2" max="2" width="71.42578125" style="1" customWidth="1"/>
    <col min="3" max="3" width="18.85546875" style="1" customWidth="1"/>
    <col min="4" max="4" width="19.28515625" style="1" customWidth="1"/>
    <col min="5" max="5" width="21.85546875" style="1" customWidth="1"/>
    <col min="6" max="6" width="21" style="1" customWidth="1"/>
    <col min="7" max="7" width="19.7109375" style="1" customWidth="1"/>
    <col min="8" max="8" width="21" style="1" customWidth="1"/>
    <col min="9" max="16384" width="9.140625" style="1"/>
  </cols>
  <sheetData>
    <row r="1" spans="1:26">
      <c r="A1" s="224" t="s">
        <v>298</v>
      </c>
      <c r="B1" s="224"/>
      <c r="C1" s="224"/>
      <c r="D1" s="224"/>
      <c r="E1" s="224"/>
      <c r="F1" s="224"/>
      <c r="G1" s="224"/>
      <c r="H1" s="224"/>
    </row>
    <row r="2" spans="1:26" ht="20.25">
      <c r="B2" s="43" t="s">
        <v>172</v>
      </c>
      <c r="E2" s="225"/>
      <c r="F2" s="225"/>
      <c r="G2" s="225"/>
      <c r="H2" s="225"/>
    </row>
    <row r="3" spans="1:26">
      <c r="G3" s="1" t="s">
        <v>0</v>
      </c>
    </row>
    <row r="4" spans="1:26" ht="60">
      <c r="B4" s="53" t="s">
        <v>1</v>
      </c>
      <c r="C4" s="47" t="s">
        <v>2</v>
      </c>
      <c r="D4" s="47" t="s">
        <v>66</v>
      </c>
      <c r="E4" s="54" t="s">
        <v>70</v>
      </c>
      <c r="F4" s="54" t="s">
        <v>71</v>
      </c>
      <c r="G4" s="54" t="s">
        <v>73</v>
      </c>
      <c r="H4" s="54" t="s">
        <v>74</v>
      </c>
      <c r="J4" s="3"/>
    </row>
    <row r="5" spans="1:26" ht="14.25">
      <c r="B5" s="47" t="s">
        <v>6</v>
      </c>
      <c r="C5" s="47" t="s">
        <v>7</v>
      </c>
      <c r="D5" s="47" t="s">
        <v>8</v>
      </c>
      <c r="E5" s="47" t="s">
        <v>9</v>
      </c>
      <c r="F5" s="47" t="s">
        <v>80</v>
      </c>
      <c r="G5" s="47" t="s">
        <v>11</v>
      </c>
      <c r="H5" s="47" t="s">
        <v>12</v>
      </c>
    </row>
    <row r="6" spans="1:26" ht="25.5">
      <c r="A6" s="1">
        <v>1</v>
      </c>
      <c r="B6" s="67" t="s">
        <v>237</v>
      </c>
      <c r="C6" s="55">
        <v>3100</v>
      </c>
      <c r="D6" s="55">
        <v>12</v>
      </c>
      <c r="E6" s="56">
        <f>C6</f>
        <v>3100</v>
      </c>
      <c r="F6" s="56"/>
      <c r="G6" s="56">
        <f t="shared" ref="G6:G11" si="0">D6</f>
        <v>12</v>
      </c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spans="1:26" ht="16.5">
      <c r="A7" s="1">
        <v>2</v>
      </c>
      <c r="B7" s="66" t="s">
        <v>169</v>
      </c>
      <c r="C7" s="55">
        <v>5600</v>
      </c>
      <c r="D7" s="55">
        <v>5714</v>
      </c>
      <c r="E7" s="56">
        <f>C7</f>
        <v>5600</v>
      </c>
      <c r="F7" s="56"/>
      <c r="G7" s="56">
        <f t="shared" si="0"/>
        <v>5714</v>
      </c>
      <c r="H7" s="56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ht="16.5">
      <c r="A8" s="1">
        <v>3</v>
      </c>
      <c r="B8" s="66" t="s">
        <v>170</v>
      </c>
      <c r="C8" s="56">
        <v>2500</v>
      </c>
      <c r="D8" s="56">
        <v>2629</v>
      </c>
      <c r="E8" s="56">
        <f>C8</f>
        <v>2500</v>
      </c>
      <c r="F8" s="56"/>
      <c r="G8" s="56">
        <f t="shared" si="0"/>
        <v>2629</v>
      </c>
      <c r="H8" s="5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>
      <c r="A9" s="1">
        <v>4</v>
      </c>
      <c r="B9" s="66" t="s">
        <v>171</v>
      </c>
      <c r="C9" s="55">
        <v>3000</v>
      </c>
      <c r="D9" s="55">
        <v>3293</v>
      </c>
      <c r="E9" s="56">
        <f>C9</f>
        <v>3000</v>
      </c>
      <c r="F9" s="56"/>
      <c r="G9" s="56">
        <f t="shared" si="0"/>
        <v>3293</v>
      </c>
      <c r="H9" s="56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ht="16.5">
      <c r="A10" s="1">
        <v>5</v>
      </c>
      <c r="B10" s="201" t="s">
        <v>259</v>
      </c>
      <c r="C10" s="55">
        <v>0</v>
      </c>
      <c r="D10" s="55">
        <v>2987</v>
      </c>
      <c r="E10" s="56">
        <f>C10</f>
        <v>0</v>
      </c>
      <c r="F10" s="56"/>
      <c r="G10" s="56">
        <f t="shared" si="0"/>
        <v>2987</v>
      </c>
      <c r="H10" s="56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ht="16.5">
      <c r="A11" s="1">
        <v>6</v>
      </c>
      <c r="B11" s="50" t="s">
        <v>81</v>
      </c>
      <c r="C11" s="58">
        <f>SUM(C6:C10)</f>
        <v>14200</v>
      </c>
      <c r="D11" s="58">
        <f>SUM(D6:D10)</f>
        <v>14635</v>
      </c>
      <c r="E11" s="58">
        <f>SUM(E6:E10)</f>
        <v>14200</v>
      </c>
      <c r="F11" s="58">
        <f>SUM(F6:F9)</f>
        <v>0</v>
      </c>
      <c r="G11" s="58">
        <f t="shared" si="0"/>
        <v>14635</v>
      </c>
      <c r="H11" s="58">
        <f>SUM(H6:H9)</f>
        <v>0</v>
      </c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60"/>
      <c r="W11" s="60"/>
      <c r="X11" s="61"/>
      <c r="Y11" s="61"/>
      <c r="Z11" s="61"/>
    </row>
    <row r="12" spans="1:26" ht="16.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5" spans="1:26" ht="60">
      <c r="B15" s="53" t="s">
        <v>1</v>
      </c>
      <c r="C15" s="47" t="s">
        <v>2</v>
      </c>
      <c r="D15" s="47" t="s">
        <v>66</v>
      </c>
      <c r="E15" s="54" t="s">
        <v>70</v>
      </c>
      <c r="F15" s="54" t="s">
        <v>71</v>
      </c>
      <c r="G15" s="54" t="s">
        <v>73</v>
      </c>
      <c r="H15" s="54" t="s">
        <v>74</v>
      </c>
    </row>
    <row r="16" spans="1:26" ht="14.25">
      <c r="B16" s="47" t="s">
        <v>6</v>
      </c>
      <c r="C16" s="47" t="s">
        <v>7</v>
      </c>
      <c r="D16" s="47" t="s">
        <v>8</v>
      </c>
      <c r="E16" s="47" t="s">
        <v>9</v>
      </c>
      <c r="F16" s="47" t="s">
        <v>80</v>
      </c>
      <c r="G16" s="47" t="s">
        <v>11</v>
      </c>
      <c r="H16" s="47" t="s">
        <v>12</v>
      </c>
    </row>
    <row r="17" spans="1:26" ht="28.5">
      <c r="A17" s="1">
        <v>1</v>
      </c>
      <c r="B17" s="7" t="s">
        <v>260</v>
      </c>
      <c r="C17" s="62">
        <v>0</v>
      </c>
      <c r="D17" s="62">
        <v>387</v>
      </c>
      <c r="E17" s="56">
        <f>C17</f>
        <v>0</v>
      </c>
      <c r="F17" s="56"/>
      <c r="G17" s="56">
        <f>D17</f>
        <v>387</v>
      </c>
      <c r="H17" s="56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ht="28.5">
      <c r="B18" s="7" t="s">
        <v>261</v>
      </c>
      <c r="C18" s="62">
        <v>0</v>
      </c>
      <c r="D18" s="62">
        <f>254490+35778</f>
        <v>290268</v>
      </c>
      <c r="E18" s="56"/>
      <c r="F18" s="56"/>
      <c r="G18" s="56">
        <f>D18</f>
        <v>290268</v>
      </c>
      <c r="H18" s="56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16.5">
      <c r="A19" s="1">
        <v>2</v>
      </c>
      <c r="B19" s="50" t="s">
        <v>82</v>
      </c>
      <c r="C19" s="58">
        <f>SUM(C17:C18)</f>
        <v>0</v>
      </c>
      <c r="D19" s="58">
        <f t="shared" ref="D19:H19" si="1">SUM(D17:D18)</f>
        <v>290655</v>
      </c>
      <c r="E19" s="58">
        <f t="shared" si="1"/>
        <v>0</v>
      </c>
      <c r="F19" s="58">
        <f t="shared" si="1"/>
        <v>0</v>
      </c>
      <c r="G19" s="58">
        <f t="shared" si="1"/>
        <v>290655</v>
      </c>
      <c r="H19" s="58">
        <f t="shared" si="1"/>
        <v>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60"/>
      <c r="W19" s="60"/>
      <c r="X19" s="61"/>
      <c r="Y19" s="61"/>
      <c r="Z19" s="61"/>
    </row>
    <row r="21" spans="1:26" ht="18">
      <c r="B21" s="64" t="s">
        <v>83</v>
      </c>
      <c r="C21" s="65">
        <f t="shared" ref="C21:H21" si="2">C19+C11</f>
        <v>14200</v>
      </c>
      <c r="D21" s="65">
        <f t="shared" si="2"/>
        <v>305290</v>
      </c>
      <c r="E21" s="65">
        <f t="shared" si="2"/>
        <v>14200</v>
      </c>
      <c r="F21" s="65">
        <f t="shared" si="2"/>
        <v>0</v>
      </c>
      <c r="G21" s="65">
        <f t="shared" si="2"/>
        <v>305290</v>
      </c>
      <c r="H21" s="65">
        <f t="shared" si="2"/>
        <v>0</v>
      </c>
    </row>
  </sheetData>
  <mergeCells count="2">
    <mergeCell ref="A1:H1"/>
    <mergeCell ref="E2:H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26"/>
  <sheetViews>
    <sheetView zoomScale="75" zoomScaleNormal="75" workbookViewId="0">
      <selection activeCell="B1" sqref="B1:F1"/>
    </sheetView>
  </sheetViews>
  <sheetFormatPr defaultRowHeight="12.75"/>
  <cols>
    <col min="1" max="1" width="9.140625" style="1" customWidth="1"/>
    <col min="2" max="2" width="71.42578125" style="1" customWidth="1"/>
    <col min="3" max="3" width="18.85546875" style="1" customWidth="1"/>
    <col min="4" max="4" width="23.42578125" style="69" customWidth="1"/>
    <col min="5" max="5" width="21.85546875" style="1" customWidth="1"/>
    <col min="6" max="6" width="19.7109375" style="1" customWidth="1"/>
    <col min="7" max="16384" width="9.140625" style="1"/>
  </cols>
  <sheetData>
    <row r="1" spans="1:24">
      <c r="B1" s="224" t="s">
        <v>299</v>
      </c>
      <c r="C1" s="224"/>
      <c r="D1" s="224"/>
      <c r="E1" s="224"/>
      <c r="F1" s="224"/>
    </row>
    <row r="2" spans="1:24">
      <c r="B2" s="222"/>
      <c r="C2" s="222"/>
      <c r="D2" s="222"/>
      <c r="E2" s="222"/>
      <c r="F2" s="222"/>
      <c r="G2" s="68"/>
    </row>
    <row r="3" spans="1:24" ht="20.25">
      <c r="B3" s="43" t="s">
        <v>85</v>
      </c>
    </row>
    <row r="4" spans="1:24">
      <c r="F4" s="1" t="s">
        <v>87</v>
      </c>
    </row>
    <row r="5" spans="1:24" ht="60">
      <c r="B5" s="53" t="s">
        <v>1</v>
      </c>
      <c r="C5" s="47" t="s">
        <v>2</v>
      </c>
      <c r="D5" s="70" t="s">
        <v>66</v>
      </c>
      <c r="E5" s="54" t="s">
        <v>70</v>
      </c>
      <c r="F5" s="54" t="s">
        <v>73</v>
      </c>
      <c r="H5" s="3"/>
    </row>
    <row r="6" spans="1:24" ht="14.25">
      <c r="B6" s="47" t="s">
        <v>6</v>
      </c>
      <c r="C6" s="47" t="s">
        <v>7</v>
      </c>
      <c r="D6" s="70" t="s">
        <v>8</v>
      </c>
      <c r="E6" s="47" t="s">
        <v>9</v>
      </c>
      <c r="F6" s="47" t="s">
        <v>10</v>
      </c>
    </row>
    <row r="7" spans="1:24" ht="16.5">
      <c r="A7" s="1">
        <v>1</v>
      </c>
      <c r="B7" s="7" t="s">
        <v>86</v>
      </c>
      <c r="C7" s="55">
        <v>33754600</v>
      </c>
      <c r="D7" s="55">
        <v>33754600</v>
      </c>
      <c r="E7" s="56">
        <f>C7</f>
        <v>33754600</v>
      </c>
      <c r="F7" s="56">
        <f>D7</f>
        <v>33754600</v>
      </c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</row>
    <row r="8" spans="1:24" ht="16.5">
      <c r="A8" s="1">
        <v>2</v>
      </c>
      <c r="B8" s="7" t="s">
        <v>88</v>
      </c>
      <c r="C8" s="55">
        <v>28880277</v>
      </c>
      <c r="D8" s="55">
        <v>28880277</v>
      </c>
      <c r="E8" s="56">
        <f t="shared" ref="E8:E25" si="0">C8</f>
        <v>28880277</v>
      </c>
      <c r="F8" s="56">
        <f t="shared" ref="F8:F16" si="1">D8</f>
        <v>28880277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4" ht="16.5">
      <c r="A9" s="1">
        <v>3</v>
      </c>
      <c r="B9" s="7" t="s">
        <v>89</v>
      </c>
      <c r="C9" s="56">
        <v>5016512</v>
      </c>
      <c r="D9" s="56">
        <v>5016512</v>
      </c>
      <c r="E9" s="56">
        <f t="shared" si="0"/>
        <v>5016512</v>
      </c>
      <c r="F9" s="56">
        <f t="shared" si="1"/>
        <v>5016512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6.5">
      <c r="A10" s="1">
        <v>4</v>
      </c>
      <c r="B10" s="7" t="s">
        <v>96</v>
      </c>
      <c r="C10" s="55">
        <v>43846000</v>
      </c>
      <c r="D10" s="55">
        <v>43846000</v>
      </c>
      <c r="E10" s="56">
        <f>C10</f>
        <v>43846000</v>
      </c>
      <c r="F10" s="56">
        <f>D10</f>
        <v>43846000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>
      <c r="A11" s="1">
        <v>5</v>
      </c>
      <c r="B11" s="7" t="s">
        <v>155</v>
      </c>
      <c r="C11" s="55">
        <v>71400</v>
      </c>
      <c r="D11" s="55">
        <v>71400</v>
      </c>
      <c r="E11" s="56">
        <f>C11</f>
        <v>71400</v>
      </c>
      <c r="F11" s="56">
        <f>D11</f>
        <v>71400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6.5">
      <c r="A12" s="1">
        <v>6</v>
      </c>
      <c r="B12" s="7" t="s">
        <v>92</v>
      </c>
      <c r="C12" s="55">
        <v>0</v>
      </c>
      <c r="D12" s="55">
        <v>0</v>
      </c>
      <c r="E12" s="56">
        <f t="shared" si="0"/>
        <v>0</v>
      </c>
      <c r="F12" s="56">
        <f t="shared" si="1"/>
        <v>0</v>
      </c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</row>
    <row r="13" spans="1:24" ht="33.6" customHeight="1">
      <c r="A13" s="1">
        <v>7</v>
      </c>
      <c r="B13" s="9" t="s">
        <v>151</v>
      </c>
      <c r="C13" s="58">
        <f>SUM(C7:C12)</f>
        <v>111568789</v>
      </c>
      <c r="D13" s="58">
        <f>SUM(D7:D12)</f>
        <v>111568789</v>
      </c>
      <c r="E13" s="58">
        <f t="shared" si="0"/>
        <v>111568789</v>
      </c>
      <c r="F13" s="58">
        <f t="shared" si="1"/>
        <v>111568789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28.5">
      <c r="A14" s="1">
        <v>8</v>
      </c>
      <c r="B14" s="7" t="s">
        <v>90</v>
      </c>
      <c r="C14" s="55">
        <f>15495653+2400000+7449833+1200000+191000</f>
        <v>26736486</v>
      </c>
      <c r="D14" s="55">
        <f>15495653+2400000+8194817+2400000+210100</f>
        <v>28700570</v>
      </c>
      <c r="E14" s="56">
        <f t="shared" si="0"/>
        <v>26736486</v>
      </c>
      <c r="F14" s="56">
        <f t="shared" si="1"/>
        <v>28700570</v>
      </c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</row>
    <row r="15" spans="1:24" ht="16.5">
      <c r="A15" s="1">
        <v>9</v>
      </c>
      <c r="B15" s="7" t="s">
        <v>91</v>
      </c>
      <c r="C15" s="55">
        <f>2886733+1361667+837800</f>
        <v>5086200</v>
      </c>
      <c r="D15" s="55">
        <f>2886733+1525067+837800</f>
        <v>5249600</v>
      </c>
      <c r="E15" s="56">
        <f t="shared" si="0"/>
        <v>5086200</v>
      </c>
      <c r="F15" s="56">
        <f t="shared" si="1"/>
        <v>5249600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</row>
    <row r="16" spans="1:24" ht="30">
      <c r="A16" s="1">
        <v>10</v>
      </c>
      <c r="B16" s="9" t="s">
        <v>152</v>
      </c>
      <c r="C16" s="58">
        <f>SUM(C14:C15)</f>
        <v>31822686</v>
      </c>
      <c r="D16" s="58">
        <f>SUM(D14:D15)</f>
        <v>33950170</v>
      </c>
      <c r="E16" s="58">
        <f t="shared" si="0"/>
        <v>31822686</v>
      </c>
      <c r="F16" s="58">
        <f t="shared" si="1"/>
        <v>33950170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>
      <c r="A17" s="1">
        <v>11</v>
      </c>
      <c r="B17" s="7" t="s">
        <v>153</v>
      </c>
      <c r="C17" s="56">
        <v>2103680</v>
      </c>
      <c r="D17" s="56">
        <v>2214400</v>
      </c>
      <c r="E17" s="56">
        <f t="shared" si="0"/>
        <v>2103680</v>
      </c>
      <c r="F17" s="56">
        <f t="shared" ref="F17:F25" si="2">D17</f>
        <v>2214400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>
      <c r="B18" s="7" t="s">
        <v>262</v>
      </c>
      <c r="C18" s="56">
        <v>0</v>
      </c>
      <c r="D18" s="56">
        <v>494100</v>
      </c>
      <c r="E18" s="56">
        <f t="shared" si="0"/>
        <v>0</v>
      </c>
      <c r="F18" s="56">
        <f t="shared" si="2"/>
        <v>494100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>
      <c r="B19" s="7" t="s">
        <v>263</v>
      </c>
      <c r="C19" s="56">
        <v>0</v>
      </c>
      <c r="D19" s="56">
        <v>475000</v>
      </c>
      <c r="E19" s="56">
        <f t="shared" ref="E19" si="3">C19</f>
        <v>0</v>
      </c>
      <c r="F19" s="56">
        <f t="shared" ref="F19" si="4">D19</f>
        <v>475000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>
      <c r="A20" s="1">
        <v>12</v>
      </c>
      <c r="B20" s="7" t="s">
        <v>150</v>
      </c>
      <c r="C20" s="55">
        <v>12822000</v>
      </c>
      <c r="D20" s="55">
        <v>12822000</v>
      </c>
      <c r="E20" s="56">
        <f t="shared" si="0"/>
        <v>12822000</v>
      </c>
      <c r="F20" s="56">
        <f t="shared" si="2"/>
        <v>12822000</v>
      </c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</row>
    <row r="21" spans="1:24" ht="16.5">
      <c r="A21" s="1">
        <v>13</v>
      </c>
      <c r="B21" s="7" t="s">
        <v>154</v>
      </c>
      <c r="C21" s="55">
        <f>2741760+2947556</f>
        <v>5689316</v>
      </c>
      <c r="D21" s="55">
        <f>2480640+3548287</f>
        <v>6028927</v>
      </c>
      <c r="E21" s="56">
        <f t="shared" si="0"/>
        <v>5689316</v>
      </c>
      <c r="F21" s="56">
        <f t="shared" si="2"/>
        <v>6028927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</row>
    <row r="22" spans="1:24" ht="16.5">
      <c r="A22" s="1">
        <v>14</v>
      </c>
      <c r="B22" s="7" t="s">
        <v>264</v>
      </c>
      <c r="C22" s="55">
        <v>0</v>
      </c>
      <c r="D22" s="55">
        <v>301752</v>
      </c>
      <c r="E22" s="56">
        <f t="shared" si="0"/>
        <v>0</v>
      </c>
      <c r="F22" s="56">
        <f t="shared" si="2"/>
        <v>301752</v>
      </c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</row>
    <row r="23" spans="1:24" ht="30">
      <c r="A23" s="1">
        <v>15</v>
      </c>
      <c r="B23" s="9" t="s">
        <v>93</v>
      </c>
      <c r="C23" s="58">
        <f>SUM(C17:C22)</f>
        <v>20614996</v>
      </c>
      <c r="D23" s="58">
        <f t="shared" ref="D23:F23" si="5">SUM(D17:D22)</f>
        <v>22336179</v>
      </c>
      <c r="E23" s="58">
        <f t="shared" si="5"/>
        <v>20614996</v>
      </c>
      <c r="F23" s="58">
        <f t="shared" si="5"/>
        <v>22336179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6.5">
      <c r="A24" s="1">
        <v>16</v>
      </c>
      <c r="B24" s="7" t="s">
        <v>94</v>
      </c>
      <c r="C24" s="56">
        <v>2020080</v>
      </c>
      <c r="D24" s="56">
        <v>2020080</v>
      </c>
      <c r="E24" s="56">
        <f t="shared" si="0"/>
        <v>2020080</v>
      </c>
      <c r="F24" s="56">
        <f t="shared" si="2"/>
        <v>2020080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0">
      <c r="A25" s="1">
        <v>17</v>
      </c>
      <c r="B25" s="9" t="s">
        <v>95</v>
      </c>
      <c r="C25" s="58">
        <f>C24</f>
        <v>2020080</v>
      </c>
      <c r="D25" s="58">
        <f>D24</f>
        <v>2020080</v>
      </c>
      <c r="E25" s="58">
        <f t="shared" si="0"/>
        <v>2020080</v>
      </c>
      <c r="F25" s="58">
        <f t="shared" si="2"/>
        <v>2020080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6.5">
      <c r="A26" s="1">
        <v>18</v>
      </c>
      <c r="B26" s="50" t="s">
        <v>156</v>
      </c>
      <c r="C26" s="58">
        <f>C25+C23+C16+C13</f>
        <v>166026551</v>
      </c>
      <c r="D26" s="58">
        <f>D25+D23+D16+D13</f>
        <v>169875218</v>
      </c>
      <c r="E26" s="58">
        <f>E25+E23+E16+E13</f>
        <v>166026551</v>
      </c>
      <c r="F26" s="58">
        <f>F25+F23+F16+F13</f>
        <v>169875218</v>
      </c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60"/>
      <c r="U26" s="60"/>
      <c r="V26" s="61"/>
      <c r="W26" s="61"/>
      <c r="X26" s="61"/>
    </row>
  </sheetData>
  <mergeCells count="2">
    <mergeCell ref="B1:F1"/>
    <mergeCell ref="B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B3" sqref="B3:F3"/>
    </sheetView>
  </sheetViews>
  <sheetFormatPr defaultRowHeight="12.75"/>
  <cols>
    <col min="1" max="1" width="9.140625" style="1" customWidth="1"/>
    <col min="2" max="2" width="35.85546875" style="1" customWidth="1"/>
    <col min="3" max="3" width="17.28515625" style="1" customWidth="1"/>
    <col min="4" max="4" width="18" style="69" customWidth="1"/>
    <col min="5" max="5" width="19.85546875" style="1" customWidth="1"/>
    <col min="6" max="6" width="20" style="1" customWidth="1"/>
    <col min="7" max="7" width="37.5703125" style="76" customWidth="1"/>
    <col min="8" max="8" width="12.85546875" style="1" customWidth="1"/>
    <col min="9" max="9" width="13.5703125" style="1" customWidth="1"/>
    <col min="10" max="10" width="20.7109375" style="1" customWidth="1"/>
    <col min="11" max="11" width="18" style="1" customWidth="1"/>
    <col min="12" max="16384" width="9.140625" style="1"/>
  </cols>
  <sheetData>
    <row r="1" spans="1:8">
      <c r="B1" s="3"/>
      <c r="C1" s="3"/>
      <c r="D1" s="72"/>
      <c r="E1" s="3"/>
      <c r="F1" s="3"/>
      <c r="G1" s="22"/>
      <c r="H1" s="3"/>
    </row>
    <row r="2" spans="1:8">
      <c r="B2" s="226" t="s">
        <v>300</v>
      </c>
      <c r="C2" s="226"/>
      <c r="D2" s="226"/>
      <c r="E2" s="226"/>
      <c r="F2" s="226"/>
      <c r="G2" s="22"/>
      <c r="H2" s="3"/>
    </row>
    <row r="3" spans="1:8">
      <c r="B3" s="222"/>
      <c r="C3" s="222"/>
      <c r="D3" s="222"/>
      <c r="E3" s="222"/>
      <c r="F3" s="222"/>
      <c r="G3" s="68"/>
      <c r="H3" s="68"/>
    </row>
    <row r="4" spans="1:8" ht="20.25">
      <c r="B4" s="43" t="s">
        <v>97</v>
      </c>
      <c r="C4" s="3"/>
      <c r="E4" s="3"/>
      <c r="F4" s="3"/>
      <c r="G4" s="22"/>
      <c r="H4" s="3"/>
    </row>
    <row r="5" spans="1:8">
      <c r="B5" s="3"/>
      <c r="C5" s="3"/>
      <c r="E5" s="3"/>
      <c r="F5" s="3" t="s">
        <v>87</v>
      </c>
      <c r="G5" s="22"/>
      <c r="H5" s="3"/>
    </row>
    <row r="6" spans="1:8" ht="25.5">
      <c r="B6" s="73" t="s">
        <v>1</v>
      </c>
      <c r="C6" s="74" t="s">
        <v>100</v>
      </c>
      <c r="D6" s="75" t="s">
        <v>101</v>
      </c>
      <c r="E6" s="74" t="s">
        <v>102</v>
      </c>
      <c r="F6" s="74" t="s">
        <v>103</v>
      </c>
    </row>
    <row r="7" spans="1:8">
      <c r="B7" s="77" t="s">
        <v>6</v>
      </c>
      <c r="C7" s="77" t="s">
        <v>7</v>
      </c>
      <c r="D7" s="78" t="s">
        <v>8</v>
      </c>
      <c r="E7" s="77" t="s">
        <v>9</v>
      </c>
      <c r="F7" s="77" t="s">
        <v>10</v>
      </c>
    </row>
    <row r="8" spans="1:8" ht="22.5">
      <c r="A8" s="1">
        <v>1</v>
      </c>
      <c r="B8" s="79" t="s">
        <v>266</v>
      </c>
      <c r="C8" s="80">
        <v>5999940</v>
      </c>
      <c r="D8" s="81">
        <v>5999940</v>
      </c>
      <c r="E8" s="80">
        <f>D8-C8</f>
        <v>0</v>
      </c>
      <c r="F8" s="82"/>
    </row>
    <row r="9" spans="1:8" ht="22.5">
      <c r="A9" s="1">
        <v>2</v>
      </c>
      <c r="B9" s="79" t="s">
        <v>265</v>
      </c>
      <c r="C9" s="80">
        <v>254490000</v>
      </c>
      <c r="D9" s="81">
        <v>274490000</v>
      </c>
      <c r="E9" s="80">
        <f>D9-C9</f>
        <v>20000000</v>
      </c>
      <c r="F9" s="82"/>
    </row>
    <row r="10" spans="1:8">
      <c r="A10" s="1">
        <v>3</v>
      </c>
      <c r="B10" s="79" t="s">
        <v>99</v>
      </c>
      <c r="C10" s="83">
        <f>SUM(C8)</f>
        <v>5999940</v>
      </c>
      <c r="D10" s="84">
        <f>SUM(D8)</f>
        <v>5999940</v>
      </c>
      <c r="E10" s="83">
        <f>D10-C10</f>
        <v>0</v>
      </c>
      <c r="F10" s="83"/>
    </row>
    <row r="12" spans="1:8">
      <c r="C12" s="76"/>
      <c r="E12" s="85"/>
    </row>
  </sheetData>
  <mergeCells count="2">
    <mergeCell ref="B2:F2"/>
    <mergeCell ref="B3:F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88"/>
  <sheetViews>
    <sheetView zoomScale="60" zoomScaleNormal="60" workbookViewId="0">
      <selection activeCell="B2" sqref="B2"/>
    </sheetView>
  </sheetViews>
  <sheetFormatPr defaultRowHeight="12.75"/>
  <cols>
    <col min="1" max="1" width="9.140625" style="1" customWidth="1"/>
    <col min="2" max="2" width="45.42578125" style="76" customWidth="1"/>
    <col min="3" max="3" width="22.140625" style="87" customWidth="1"/>
    <col min="4" max="4" width="21.85546875" style="87" customWidth="1"/>
    <col min="5" max="5" width="17" style="87" customWidth="1"/>
    <col min="6" max="8" width="18.7109375" style="87" customWidth="1"/>
    <col min="9" max="9" width="22" style="87" customWidth="1"/>
    <col min="10" max="10" width="24.5703125" style="87" customWidth="1"/>
    <col min="11" max="11" width="22.42578125" style="87" customWidth="1"/>
    <col min="12" max="12" width="18.140625" style="87" customWidth="1"/>
    <col min="13" max="13" width="21.42578125" style="87" customWidth="1"/>
    <col min="14" max="14" width="18.140625" style="87" customWidth="1"/>
    <col min="15" max="16384" width="9.140625" style="1"/>
  </cols>
  <sheetData>
    <row r="1" spans="1:16">
      <c r="B1" s="226" t="s">
        <v>301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6" ht="20.25">
      <c r="B2" s="116" t="s">
        <v>104</v>
      </c>
      <c r="J2" s="224"/>
      <c r="K2" s="224"/>
      <c r="L2" s="224"/>
      <c r="M2" s="224"/>
      <c r="N2" s="224"/>
    </row>
    <row r="4" spans="1:16">
      <c r="B4" s="18" t="s">
        <v>105</v>
      </c>
      <c r="M4" s="87" t="s">
        <v>87</v>
      </c>
    </row>
    <row r="5" spans="1:16" ht="60">
      <c r="B5" s="88" t="s">
        <v>1</v>
      </c>
      <c r="C5" s="47" t="s">
        <v>2</v>
      </c>
      <c r="D5" s="47" t="s">
        <v>78</v>
      </c>
      <c r="E5" s="47" t="s">
        <v>3</v>
      </c>
      <c r="F5" s="47" t="s">
        <v>111</v>
      </c>
      <c r="G5" s="47" t="s">
        <v>72</v>
      </c>
      <c r="H5" s="47" t="s">
        <v>112</v>
      </c>
      <c r="I5" s="54" t="s">
        <v>4</v>
      </c>
      <c r="J5" s="54" t="s">
        <v>5</v>
      </c>
      <c r="K5" s="54" t="s">
        <v>70</v>
      </c>
      <c r="L5" s="54" t="s">
        <v>71</v>
      </c>
      <c r="M5" s="54" t="s">
        <v>73</v>
      </c>
      <c r="N5" s="54" t="s">
        <v>74</v>
      </c>
      <c r="P5" s="3"/>
    </row>
    <row r="6" spans="1:16" ht="15">
      <c r="B6" s="89" t="s">
        <v>6</v>
      </c>
      <c r="C6" s="89" t="s">
        <v>7</v>
      </c>
      <c r="D6" s="89" t="s">
        <v>8</v>
      </c>
      <c r="E6" s="89" t="s">
        <v>9</v>
      </c>
      <c r="F6" s="89" t="s">
        <v>10</v>
      </c>
      <c r="G6" s="89" t="s">
        <v>11</v>
      </c>
      <c r="H6" s="89" t="s">
        <v>12</v>
      </c>
      <c r="I6" s="89" t="s">
        <v>13</v>
      </c>
      <c r="J6" s="89" t="s">
        <v>14</v>
      </c>
      <c r="K6" s="89" t="s">
        <v>15</v>
      </c>
      <c r="L6" s="89" t="s">
        <v>16</v>
      </c>
      <c r="M6" s="89" t="s">
        <v>17</v>
      </c>
      <c r="N6" s="89" t="s">
        <v>251</v>
      </c>
    </row>
    <row r="7" spans="1:16" ht="54">
      <c r="A7" s="1">
        <v>1</v>
      </c>
      <c r="B7" s="202" t="s">
        <v>267</v>
      </c>
      <c r="C7" s="203">
        <v>44000000</v>
      </c>
      <c r="D7" s="203">
        <v>73904449</v>
      </c>
      <c r="E7" s="107"/>
      <c r="F7" s="107"/>
      <c r="G7" s="107"/>
      <c r="H7" s="107"/>
      <c r="I7" s="107">
        <f>C7+E7+G7</f>
        <v>44000000</v>
      </c>
      <c r="J7" s="107">
        <f>D7+F7+H7</f>
        <v>73904449</v>
      </c>
      <c r="K7" s="107">
        <f>C7</f>
        <v>44000000</v>
      </c>
      <c r="L7" s="107"/>
      <c r="M7" s="107">
        <f>J7</f>
        <v>73904449</v>
      </c>
      <c r="N7" s="107"/>
    </row>
    <row r="8" spans="1:16" ht="72">
      <c r="A8" s="1">
        <v>2</v>
      </c>
      <c r="B8" s="202" t="s">
        <v>268</v>
      </c>
      <c r="C8" s="203">
        <v>18000000</v>
      </c>
      <c r="D8" s="203">
        <v>23625365</v>
      </c>
      <c r="E8" s="107"/>
      <c r="F8" s="107"/>
      <c r="G8" s="107"/>
      <c r="H8" s="107"/>
      <c r="I8" s="107">
        <f t="shared" ref="I8:J34" si="0">C8+E8+G8</f>
        <v>18000000</v>
      </c>
      <c r="J8" s="107">
        <f t="shared" si="0"/>
        <v>23625365</v>
      </c>
      <c r="K8" s="107">
        <f t="shared" ref="K8:K34" si="1">C8</f>
        <v>18000000</v>
      </c>
      <c r="L8" s="107"/>
      <c r="M8" s="107">
        <f t="shared" ref="M8:M34" si="2">J8</f>
        <v>23625365</v>
      </c>
      <c r="N8" s="107"/>
    </row>
    <row r="9" spans="1:16" ht="18">
      <c r="A9" s="1">
        <v>3</v>
      </c>
      <c r="B9" s="86" t="s">
        <v>238</v>
      </c>
      <c r="C9" s="106">
        <v>15700000</v>
      </c>
      <c r="D9" s="106">
        <v>0</v>
      </c>
      <c r="E9" s="107"/>
      <c r="F9" s="107"/>
      <c r="G9" s="107"/>
      <c r="H9" s="107"/>
      <c r="I9" s="107">
        <f t="shared" si="0"/>
        <v>15700000</v>
      </c>
      <c r="J9" s="107">
        <f t="shared" si="0"/>
        <v>0</v>
      </c>
      <c r="K9" s="107">
        <f t="shared" si="1"/>
        <v>15700000</v>
      </c>
      <c r="L9" s="107"/>
      <c r="M9" s="107">
        <f t="shared" si="2"/>
        <v>0</v>
      </c>
      <c r="N9" s="107"/>
    </row>
    <row r="10" spans="1:16" ht="36.75" customHeight="1">
      <c r="A10" s="1">
        <v>4</v>
      </c>
      <c r="B10" s="86" t="s">
        <v>239</v>
      </c>
      <c r="C10" s="106">
        <v>11800000</v>
      </c>
      <c r="D10" s="106">
        <v>0</v>
      </c>
      <c r="E10" s="107"/>
      <c r="F10" s="107"/>
      <c r="G10" s="107"/>
      <c r="H10" s="107"/>
      <c r="I10" s="107">
        <f t="shared" si="0"/>
        <v>11800000</v>
      </c>
      <c r="J10" s="107">
        <f t="shared" si="0"/>
        <v>0</v>
      </c>
      <c r="K10" s="107">
        <f t="shared" si="1"/>
        <v>11800000</v>
      </c>
      <c r="L10" s="107"/>
      <c r="M10" s="107">
        <f t="shared" si="2"/>
        <v>0</v>
      </c>
      <c r="N10" s="107"/>
    </row>
    <row r="11" spans="1:16" ht="36.75" customHeight="1">
      <c r="A11" s="1">
        <v>5</v>
      </c>
      <c r="B11" s="86" t="s">
        <v>197</v>
      </c>
      <c r="C11" s="106">
        <v>4000000</v>
      </c>
      <c r="D11" s="106">
        <v>0</v>
      </c>
      <c r="E11" s="107"/>
      <c r="F11" s="107"/>
      <c r="G11" s="107"/>
      <c r="H11" s="107"/>
      <c r="I11" s="107">
        <f t="shared" si="0"/>
        <v>4000000</v>
      </c>
      <c r="J11" s="107">
        <f t="shared" si="0"/>
        <v>0</v>
      </c>
      <c r="K11" s="107">
        <f t="shared" si="1"/>
        <v>4000000</v>
      </c>
      <c r="L11" s="107"/>
      <c r="M11" s="107">
        <f t="shared" si="2"/>
        <v>0</v>
      </c>
      <c r="N11" s="107"/>
    </row>
    <row r="12" spans="1:16" ht="36.75" customHeight="1">
      <c r="A12" s="1">
        <v>6</v>
      </c>
      <c r="B12" s="86" t="s">
        <v>240</v>
      </c>
      <c r="C12" s="106">
        <v>15000000</v>
      </c>
      <c r="D12" s="106">
        <v>0</v>
      </c>
      <c r="E12" s="107"/>
      <c r="F12" s="107"/>
      <c r="G12" s="107"/>
      <c r="H12" s="107"/>
      <c r="I12" s="107">
        <f t="shared" si="0"/>
        <v>15000000</v>
      </c>
      <c r="J12" s="107">
        <f t="shared" si="0"/>
        <v>0</v>
      </c>
      <c r="K12" s="107">
        <f t="shared" si="1"/>
        <v>15000000</v>
      </c>
      <c r="L12" s="107"/>
      <c r="M12" s="107">
        <f t="shared" si="2"/>
        <v>0</v>
      </c>
      <c r="N12" s="107"/>
    </row>
    <row r="13" spans="1:16" ht="36.75" customHeight="1">
      <c r="A13" s="1">
        <v>7</v>
      </c>
      <c r="B13" s="202" t="s">
        <v>241</v>
      </c>
      <c r="C13" s="203">
        <v>4000000</v>
      </c>
      <c r="D13" s="203">
        <v>5634992</v>
      </c>
      <c r="E13" s="107"/>
      <c r="F13" s="107"/>
      <c r="G13" s="107"/>
      <c r="H13" s="107"/>
      <c r="I13" s="107">
        <f t="shared" si="0"/>
        <v>4000000</v>
      </c>
      <c r="J13" s="107">
        <f t="shared" si="0"/>
        <v>5634992</v>
      </c>
      <c r="K13" s="107">
        <f t="shared" si="1"/>
        <v>4000000</v>
      </c>
      <c r="L13" s="107"/>
      <c r="M13" s="107">
        <f t="shared" si="2"/>
        <v>5634992</v>
      </c>
      <c r="N13" s="107"/>
    </row>
    <row r="14" spans="1:16" ht="36.75" customHeight="1">
      <c r="A14" s="1">
        <v>8</v>
      </c>
      <c r="B14" s="86" t="s">
        <v>242</v>
      </c>
      <c r="C14" s="106">
        <v>21000000</v>
      </c>
      <c r="D14" s="106">
        <v>0</v>
      </c>
      <c r="E14" s="107"/>
      <c r="F14" s="107"/>
      <c r="G14" s="107"/>
      <c r="H14" s="107"/>
      <c r="I14" s="107">
        <f t="shared" si="0"/>
        <v>21000000</v>
      </c>
      <c r="J14" s="107">
        <f t="shared" si="0"/>
        <v>0</v>
      </c>
      <c r="K14" s="107">
        <f t="shared" si="1"/>
        <v>21000000</v>
      </c>
      <c r="L14" s="107"/>
      <c r="M14" s="107">
        <f t="shared" si="2"/>
        <v>0</v>
      </c>
      <c r="N14" s="107"/>
    </row>
    <row r="15" spans="1:16" ht="36.75" customHeight="1">
      <c r="A15" s="1">
        <v>9</v>
      </c>
      <c r="B15" s="86" t="s">
        <v>243</v>
      </c>
      <c r="C15" s="106">
        <v>5000000</v>
      </c>
      <c r="D15" s="106">
        <v>0</v>
      </c>
      <c r="E15" s="107"/>
      <c r="F15" s="107"/>
      <c r="G15" s="107"/>
      <c r="H15" s="107"/>
      <c r="I15" s="107">
        <f t="shared" si="0"/>
        <v>5000000</v>
      </c>
      <c r="J15" s="107">
        <f t="shared" si="0"/>
        <v>0</v>
      </c>
      <c r="K15" s="107">
        <f t="shared" si="1"/>
        <v>5000000</v>
      </c>
      <c r="L15" s="107"/>
      <c r="M15" s="107">
        <f t="shared" si="2"/>
        <v>0</v>
      </c>
      <c r="N15" s="107"/>
    </row>
    <row r="16" spans="1:16" ht="36.75" customHeight="1">
      <c r="A16" s="1">
        <v>10</v>
      </c>
      <c r="B16" s="202" t="s">
        <v>244</v>
      </c>
      <c r="C16" s="203">
        <v>2000000</v>
      </c>
      <c r="D16" s="203">
        <v>702000</v>
      </c>
      <c r="E16" s="107"/>
      <c r="F16" s="107"/>
      <c r="G16" s="107"/>
      <c r="H16" s="107"/>
      <c r="I16" s="107">
        <f t="shared" si="0"/>
        <v>2000000</v>
      </c>
      <c r="J16" s="107">
        <f t="shared" si="0"/>
        <v>702000</v>
      </c>
      <c r="K16" s="107">
        <f t="shared" si="1"/>
        <v>2000000</v>
      </c>
      <c r="L16" s="107"/>
      <c r="M16" s="107">
        <f t="shared" si="2"/>
        <v>702000</v>
      </c>
      <c r="N16" s="107"/>
    </row>
    <row r="17" spans="1:14" ht="36.75" customHeight="1">
      <c r="A17" s="1">
        <v>11</v>
      </c>
      <c r="B17" s="86" t="s">
        <v>245</v>
      </c>
      <c r="C17" s="106">
        <v>5000000</v>
      </c>
      <c r="D17" s="106">
        <v>0</v>
      </c>
      <c r="E17" s="107"/>
      <c r="F17" s="107"/>
      <c r="G17" s="107"/>
      <c r="H17" s="107"/>
      <c r="I17" s="107">
        <f t="shared" si="0"/>
        <v>5000000</v>
      </c>
      <c r="J17" s="107">
        <f t="shared" si="0"/>
        <v>0</v>
      </c>
      <c r="K17" s="107">
        <f t="shared" si="1"/>
        <v>5000000</v>
      </c>
      <c r="L17" s="107"/>
      <c r="M17" s="107">
        <f t="shared" si="2"/>
        <v>0</v>
      </c>
      <c r="N17" s="107"/>
    </row>
    <row r="18" spans="1:14" ht="36.75" customHeight="1">
      <c r="A18" s="1">
        <v>12</v>
      </c>
      <c r="B18" s="86" t="s">
        <v>246</v>
      </c>
      <c r="C18" s="106">
        <v>1000000</v>
      </c>
      <c r="D18" s="106">
        <v>0</v>
      </c>
      <c r="E18" s="107"/>
      <c r="F18" s="107"/>
      <c r="G18" s="107"/>
      <c r="H18" s="107"/>
      <c r="I18" s="107">
        <f t="shared" si="0"/>
        <v>1000000</v>
      </c>
      <c r="J18" s="107">
        <f t="shared" si="0"/>
        <v>0</v>
      </c>
      <c r="K18" s="107">
        <f t="shared" si="1"/>
        <v>1000000</v>
      </c>
      <c r="L18" s="107"/>
      <c r="M18" s="107">
        <f t="shared" si="2"/>
        <v>0</v>
      </c>
      <c r="N18" s="107"/>
    </row>
    <row r="19" spans="1:14" ht="36.75" customHeight="1">
      <c r="A19" s="1">
        <v>13</v>
      </c>
      <c r="B19" s="86" t="s">
        <v>247</v>
      </c>
      <c r="C19" s="106">
        <v>2000000</v>
      </c>
      <c r="D19" s="106">
        <v>0</v>
      </c>
      <c r="E19" s="107"/>
      <c r="F19" s="107"/>
      <c r="G19" s="107"/>
      <c r="H19" s="107"/>
      <c r="I19" s="107">
        <f t="shared" si="0"/>
        <v>2000000</v>
      </c>
      <c r="J19" s="107">
        <f t="shared" si="0"/>
        <v>0</v>
      </c>
      <c r="K19" s="107">
        <f t="shared" si="1"/>
        <v>2000000</v>
      </c>
      <c r="L19" s="107"/>
      <c r="M19" s="107">
        <f t="shared" si="2"/>
        <v>0</v>
      </c>
      <c r="N19" s="107"/>
    </row>
    <row r="20" spans="1:14" ht="18">
      <c r="A20" s="1">
        <v>14</v>
      </c>
      <c r="B20" s="86" t="s">
        <v>249</v>
      </c>
      <c r="C20" s="106">
        <v>5000000</v>
      </c>
      <c r="D20" s="106">
        <v>0</v>
      </c>
      <c r="E20" s="107"/>
      <c r="F20" s="107"/>
      <c r="G20" s="107"/>
      <c r="H20" s="107"/>
      <c r="I20" s="107">
        <f t="shared" si="0"/>
        <v>5000000</v>
      </c>
      <c r="J20" s="107">
        <f t="shared" si="0"/>
        <v>0</v>
      </c>
      <c r="K20" s="107">
        <f t="shared" si="1"/>
        <v>5000000</v>
      </c>
      <c r="L20" s="107"/>
      <c r="M20" s="107">
        <f t="shared" si="2"/>
        <v>0</v>
      </c>
      <c r="N20" s="107"/>
    </row>
    <row r="21" spans="1:14" ht="18">
      <c r="A21" s="1">
        <v>15</v>
      </c>
      <c r="B21" s="86" t="s">
        <v>269</v>
      </c>
      <c r="C21" s="106">
        <v>700000</v>
      </c>
      <c r="D21" s="106">
        <v>0</v>
      </c>
      <c r="E21" s="107"/>
      <c r="F21" s="107"/>
      <c r="G21" s="107"/>
      <c r="H21" s="107"/>
      <c r="I21" s="107">
        <f t="shared" si="0"/>
        <v>700000</v>
      </c>
      <c r="J21" s="107">
        <f t="shared" si="0"/>
        <v>0</v>
      </c>
      <c r="K21" s="107">
        <f t="shared" si="1"/>
        <v>700000</v>
      </c>
      <c r="L21" s="107"/>
      <c r="M21" s="107">
        <f t="shared" si="2"/>
        <v>0</v>
      </c>
      <c r="N21" s="107"/>
    </row>
    <row r="22" spans="1:14" ht="18">
      <c r="A22" s="1">
        <v>16</v>
      </c>
      <c r="B22" s="202" t="s">
        <v>270</v>
      </c>
      <c r="C22" s="203">
        <v>0</v>
      </c>
      <c r="D22" s="203">
        <v>1920000</v>
      </c>
      <c r="E22" s="107"/>
      <c r="F22" s="107"/>
      <c r="G22" s="107"/>
      <c r="H22" s="107"/>
      <c r="I22" s="107">
        <f t="shared" si="0"/>
        <v>0</v>
      </c>
      <c r="J22" s="107">
        <f t="shared" si="0"/>
        <v>1920000</v>
      </c>
      <c r="K22" s="107">
        <f t="shared" si="1"/>
        <v>0</v>
      </c>
      <c r="L22" s="107"/>
      <c r="M22" s="107">
        <f t="shared" si="2"/>
        <v>1920000</v>
      </c>
      <c r="N22" s="107"/>
    </row>
    <row r="23" spans="1:14" ht="36">
      <c r="A23" s="1">
        <v>17</v>
      </c>
      <c r="B23" s="202" t="s">
        <v>271</v>
      </c>
      <c r="C23" s="203">
        <v>0</v>
      </c>
      <c r="D23" s="203">
        <v>345570</v>
      </c>
      <c r="E23" s="107"/>
      <c r="F23" s="107"/>
      <c r="G23" s="107"/>
      <c r="H23" s="107"/>
      <c r="I23" s="107">
        <f t="shared" si="0"/>
        <v>0</v>
      </c>
      <c r="J23" s="107">
        <f t="shared" si="0"/>
        <v>345570</v>
      </c>
      <c r="K23" s="107">
        <f t="shared" si="1"/>
        <v>0</v>
      </c>
      <c r="L23" s="107"/>
      <c r="M23" s="107">
        <f t="shared" si="2"/>
        <v>345570</v>
      </c>
      <c r="N23" s="107"/>
    </row>
    <row r="24" spans="1:14" ht="36">
      <c r="A24" s="1">
        <v>18</v>
      </c>
      <c r="B24" s="202" t="s">
        <v>272</v>
      </c>
      <c r="C24" s="203">
        <v>0</v>
      </c>
      <c r="D24" s="203">
        <v>44906015</v>
      </c>
      <c r="E24" s="107"/>
      <c r="F24" s="107"/>
      <c r="G24" s="107"/>
      <c r="H24" s="107"/>
      <c r="I24" s="107">
        <f t="shared" si="0"/>
        <v>0</v>
      </c>
      <c r="J24" s="107">
        <f t="shared" si="0"/>
        <v>44906015</v>
      </c>
      <c r="K24" s="107">
        <f t="shared" si="1"/>
        <v>0</v>
      </c>
      <c r="L24" s="107"/>
      <c r="M24" s="107">
        <f t="shared" si="2"/>
        <v>44906015</v>
      </c>
      <c r="N24" s="107"/>
    </row>
    <row r="25" spans="1:14" ht="36">
      <c r="A25" s="1">
        <v>19</v>
      </c>
      <c r="B25" s="202" t="s">
        <v>273</v>
      </c>
      <c r="C25" s="203">
        <v>0</v>
      </c>
      <c r="D25" s="203">
        <v>19623600</v>
      </c>
      <c r="E25" s="107"/>
      <c r="F25" s="107"/>
      <c r="G25" s="107"/>
      <c r="H25" s="107"/>
      <c r="I25" s="107">
        <f t="shared" si="0"/>
        <v>0</v>
      </c>
      <c r="J25" s="107">
        <f t="shared" si="0"/>
        <v>19623600</v>
      </c>
      <c r="K25" s="107">
        <f t="shared" si="1"/>
        <v>0</v>
      </c>
      <c r="L25" s="107"/>
      <c r="M25" s="107">
        <f t="shared" si="2"/>
        <v>19623600</v>
      </c>
      <c r="N25" s="107"/>
    </row>
    <row r="26" spans="1:14" ht="36">
      <c r="A26" s="1">
        <v>20</v>
      </c>
      <c r="B26" s="202" t="s">
        <v>274</v>
      </c>
      <c r="C26" s="203">
        <v>0</v>
      </c>
      <c r="D26" s="203">
        <v>4000000</v>
      </c>
      <c r="E26" s="107"/>
      <c r="F26" s="107"/>
      <c r="G26" s="107"/>
      <c r="H26" s="107"/>
      <c r="I26" s="107">
        <f t="shared" si="0"/>
        <v>0</v>
      </c>
      <c r="J26" s="107">
        <f t="shared" si="0"/>
        <v>4000000</v>
      </c>
      <c r="K26" s="107">
        <f t="shared" si="1"/>
        <v>0</v>
      </c>
      <c r="L26" s="107"/>
      <c r="M26" s="107">
        <f t="shared" si="2"/>
        <v>4000000</v>
      </c>
      <c r="N26" s="107"/>
    </row>
    <row r="27" spans="1:14" ht="36">
      <c r="A27" s="1">
        <v>21</v>
      </c>
      <c r="B27" s="202" t="s">
        <v>275</v>
      </c>
      <c r="C27" s="203">
        <v>0</v>
      </c>
      <c r="D27" s="203">
        <v>2598383</v>
      </c>
      <c r="E27" s="107"/>
      <c r="F27" s="107"/>
      <c r="G27" s="107"/>
      <c r="H27" s="107"/>
      <c r="I27" s="107">
        <f t="shared" si="0"/>
        <v>0</v>
      </c>
      <c r="J27" s="107">
        <f t="shared" si="0"/>
        <v>2598383</v>
      </c>
      <c r="K27" s="107">
        <f t="shared" si="1"/>
        <v>0</v>
      </c>
      <c r="L27" s="107"/>
      <c r="M27" s="107">
        <f t="shared" si="2"/>
        <v>2598383</v>
      </c>
      <c r="N27" s="107"/>
    </row>
    <row r="28" spans="1:14" ht="36">
      <c r="A28" s="1">
        <v>22</v>
      </c>
      <c r="B28" s="202" t="s">
        <v>276</v>
      </c>
      <c r="C28" s="203">
        <v>0</v>
      </c>
      <c r="D28" s="203">
        <v>1624706</v>
      </c>
      <c r="E28" s="107"/>
      <c r="F28" s="107"/>
      <c r="G28" s="107"/>
      <c r="H28" s="107"/>
      <c r="I28" s="107">
        <f t="shared" si="0"/>
        <v>0</v>
      </c>
      <c r="J28" s="107">
        <f t="shared" si="0"/>
        <v>1624706</v>
      </c>
      <c r="K28" s="107">
        <f t="shared" si="1"/>
        <v>0</v>
      </c>
      <c r="L28" s="107"/>
      <c r="M28" s="107">
        <f t="shared" si="2"/>
        <v>1624706</v>
      </c>
      <c r="N28" s="107"/>
    </row>
    <row r="29" spans="1:14" ht="54">
      <c r="A29" s="1">
        <v>23</v>
      </c>
      <c r="B29" s="202" t="s">
        <v>277</v>
      </c>
      <c r="C29" s="203">
        <v>0</v>
      </c>
      <c r="D29" s="203">
        <v>1102634</v>
      </c>
      <c r="E29" s="107"/>
      <c r="F29" s="107"/>
      <c r="G29" s="107"/>
      <c r="H29" s="107"/>
      <c r="I29" s="107">
        <f t="shared" si="0"/>
        <v>0</v>
      </c>
      <c r="J29" s="107">
        <f t="shared" si="0"/>
        <v>1102634</v>
      </c>
      <c r="K29" s="107">
        <f t="shared" si="1"/>
        <v>0</v>
      </c>
      <c r="L29" s="107"/>
      <c r="M29" s="107">
        <f t="shared" si="2"/>
        <v>1102634</v>
      </c>
      <c r="N29" s="107"/>
    </row>
    <row r="30" spans="1:14" ht="18">
      <c r="A30" s="1">
        <v>24</v>
      </c>
      <c r="B30" s="202" t="s">
        <v>278</v>
      </c>
      <c r="C30" s="203">
        <v>0</v>
      </c>
      <c r="D30" s="203">
        <v>250000</v>
      </c>
      <c r="E30" s="107"/>
      <c r="F30" s="107"/>
      <c r="G30" s="107"/>
      <c r="H30" s="107"/>
      <c r="I30" s="107">
        <f t="shared" si="0"/>
        <v>0</v>
      </c>
      <c r="J30" s="107">
        <f t="shared" si="0"/>
        <v>250000</v>
      </c>
      <c r="K30" s="107">
        <f t="shared" si="1"/>
        <v>0</v>
      </c>
      <c r="L30" s="107"/>
      <c r="M30" s="107">
        <f t="shared" si="2"/>
        <v>250000</v>
      </c>
      <c r="N30" s="107"/>
    </row>
    <row r="31" spans="1:14" ht="18">
      <c r="A31" s="1">
        <v>25</v>
      </c>
      <c r="B31" s="202" t="s">
        <v>279</v>
      </c>
      <c r="C31" s="203">
        <v>0</v>
      </c>
      <c r="D31" s="203">
        <v>157472</v>
      </c>
      <c r="E31" s="107"/>
      <c r="F31" s="107"/>
      <c r="G31" s="107"/>
      <c r="H31" s="107"/>
      <c r="I31" s="107">
        <f t="shared" si="0"/>
        <v>0</v>
      </c>
      <c r="J31" s="107">
        <f t="shared" si="0"/>
        <v>157472</v>
      </c>
      <c r="K31" s="107">
        <f t="shared" si="1"/>
        <v>0</v>
      </c>
      <c r="L31" s="107"/>
      <c r="M31" s="107">
        <f t="shared" si="2"/>
        <v>157472</v>
      </c>
      <c r="N31" s="107"/>
    </row>
    <row r="32" spans="1:14" ht="18">
      <c r="A32" s="1">
        <v>26</v>
      </c>
      <c r="B32" s="202" t="s">
        <v>280</v>
      </c>
      <c r="C32" s="203">
        <v>0</v>
      </c>
      <c r="D32" s="203">
        <v>196772</v>
      </c>
      <c r="E32" s="107"/>
      <c r="F32" s="107"/>
      <c r="G32" s="107"/>
      <c r="H32" s="107"/>
      <c r="I32" s="107">
        <f t="shared" si="0"/>
        <v>0</v>
      </c>
      <c r="J32" s="107">
        <f t="shared" si="0"/>
        <v>196772</v>
      </c>
      <c r="K32" s="107">
        <f t="shared" si="1"/>
        <v>0</v>
      </c>
      <c r="L32" s="107"/>
      <c r="M32" s="107">
        <f t="shared" si="2"/>
        <v>196772</v>
      </c>
      <c r="N32" s="107"/>
    </row>
    <row r="33" spans="1:14" ht="18">
      <c r="A33" s="1">
        <v>27</v>
      </c>
      <c r="B33" s="202" t="s">
        <v>281</v>
      </c>
      <c r="C33" s="203">
        <v>0</v>
      </c>
      <c r="D33" s="203">
        <v>3000000</v>
      </c>
      <c r="E33" s="107"/>
      <c r="F33" s="107"/>
      <c r="G33" s="107"/>
      <c r="H33" s="107"/>
      <c r="I33" s="107">
        <f t="shared" si="0"/>
        <v>0</v>
      </c>
      <c r="J33" s="107">
        <f t="shared" si="0"/>
        <v>3000000</v>
      </c>
      <c r="K33" s="107">
        <f t="shared" si="1"/>
        <v>0</v>
      </c>
      <c r="L33" s="107"/>
      <c r="M33" s="107">
        <f t="shared" si="2"/>
        <v>3000000</v>
      </c>
      <c r="N33" s="107"/>
    </row>
    <row r="34" spans="1:14" ht="18">
      <c r="A34" s="1">
        <v>28</v>
      </c>
      <c r="B34" s="202" t="s">
        <v>250</v>
      </c>
      <c r="C34" s="203">
        <v>35964000</v>
      </c>
      <c r="D34" s="203">
        <f>27955249</f>
        <v>27955249</v>
      </c>
      <c r="E34" s="107"/>
      <c r="F34" s="107"/>
      <c r="G34" s="107"/>
      <c r="H34" s="107"/>
      <c r="I34" s="107">
        <f t="shared" si="0"/>
        <v>35964000</v>
      </c>
      <c r="J34" s="107">
        <f t="shared" si="0"/>
        <v>27955249</v>
      </c>
      <c r="K34" s="107">
        <f t="shared" si="1"/>
        <v>35964000</v>
      </c>
      <c r="L34" s="107"/>
      <c r="M34" s="107">
        <f t="shared" si="2"/>
        <v>27955249</v>
      </c>
      <c r="N34" s="107"/>
    </row>
    <row r="35" spans="1:14" ht="18.75">
      <c r="A35" s="1">
        <v>29</v>
      </c>
      <c r="B35" s="204" t="s">
        <v>99</v>
      </c>
      <c r="C35" s="108">
        <f t="shared" ref="C35:N35" si="3">SUM(C7:C34)</f>
        <v>190164000</v>
      </c>
      <c r="D35" s="108">
        <f t="shared" si="3"/>
        <v>211547207</v>
      </c>
      <c r="E35" s="108">
        <f t="shared" si="3"/>
        <v>0</v>
      </c>
      <c r="F35" s="108">
        <f t="shared" si="3"/>
        <v>0</v>
      </c>
      <c r="G35" s="108">
        <f t="shared" si="3"/>
        <v>0</v>
      </c>
      <c r="H35" s="108">
        <f t="shared" si="3"/>
        <v>0</v>
      </c>
      <c r="I35" s="108">
        <f t="shared" si="3"/>
        <v>190164000</v>
      </c>
      <c r="J35" s="108">
        <f t="shared" si="3"/>
        <v>211547207</v>
      </c>
      <c r="K35" s="108">
        <f t="shared" si="3"/>
        <v>190164000</v>
      </c>
      <c r="L35" s="108">
        <f t="shared" si="3"/>
        <v>0</v>
      </c>
      <c r="M35" s="108">
        <f t="shared" si="3"/>
        <v>211547207</v>
      </c>
      <c r="N35" s="108">
        <f t="shared" si="3"/>
        <v>0</v>
      </c>
    </row>
    <row r="36" spans="1:14" ht="18.75">
      <c r="B36" s="205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</row>
    <row r="37" spans="1:14" ht="23.25">
      <c r="B37" s="206"/>
      <c r="D37" s="94"/>
      <c r="F37" s="95"/>
    </row>
    <row r="38" spans="1:14" ht="18">
      <c r="B38" s="207" t="s">
        <v>106</v>
      </c>
    </row>
    <row r="39" spans="1:14" ht="60">
      <c r="B39" s="88" t="s">
        <v>1</v>
      </c>
      <c r="C39" s="47" t="s">
        <v>2</v>
      </c>
      <c r="D39" s="47" t="s">
        <v>78</v>
      </c>
      <c r="E39" s="47" t="s">
        <v>3</v>
      </c>
      <c r="F39" s="47" t="s">
        <v>111</v>
      </c>
      <c r="G39" s="47" t="s">
        <v>72</v>
      </c>
      <c r="H39" s="47" t="s">
        <v>112</v>
      </c>
      <c r="I39" s="54" t="s">
        <v>4</v>
      </c>
      <c r="J39" s="54" t="s">
        <v>5</v>
      </c>
      <c r="K39" s="54" t="s">
        <v>70</v>
      </c>
      <c r="L39" s="54" t="s">
        <v>71</v>
      </c>
      <c r="M39" s="54" t="s">
        <v>73</v>
      </c>
      <c r="N39" s="54" t="s">
        <v>74</v>
      </c>
    </row>
    <row r="40" spans="1:14" ht="15">
      <c r="B40" s="89" t="s">
        <v>6</v>
      </c>
      <c r="C40" s="89" t="s">
        <v>7</v>
      </c>
      <c r="D40" s="89" t="s">
        <v>8</v>
      </c>
      <c r="E40" s="89" t="s">
        <v>9</v>
      </c>
      <c r="F40" s="89" t="s">
        <v>10</v>
      </c>
      <c r="G40" s="89" t="s">
        <v>11</v>
      </c>
      <c r="H40" s="89" t="s">
        <v>12</v>
      </c>
      <c r="I40" s="89" t="s">
        <v>13</v>
      </c>
      <c r="J40" s="89" t="s">
        <v>14</v>
      </c>
      <c r="K40" s="89" t="s">
        <v>15</v>
      </c>
      <c r="L40" s="89" t="s">
        <v>16</v>
      </c>
      <c r="M40" s="89" t="s">
        <v>17</v>
      </c>
      <c r="N40" s="89" t="s">
        <v>251</v>
      </c>
    </row>
    <row r="41" spans="1:14" ht="18">
      <c r="A41" s="1">
        <v>1</v>
      </c>
      <c r="B41" s="215" t="s">
        <v>248</v>
      </c>
      <c r="C41" s="208">
        <v>1000000</v>
      </c>
      <c r="D41" s="208">
        <v>1139000</v>
      </c>
      <c r="E41" s="90"/>
      <c r="F41" s="90"/>
      <c r="G41" s="90"/>
      <c r="H41" s="90"/>
      <c r="I41" s="90">
        <f t="shared" ref="I41:J43" si="4">C41+E41+G41</f>
        <v>1000000</v>
      </c>
      <c r="J41" s="90">
        <f t="shared" si="4"/>
        <v>1139000</v>
      </c>
      <c r="K41" s="90">
        <f>C41</f>
        <v>1000000</v>
      </c>
      <c r="L41" s="90"/>
      <c r="M41" s="90">
        <f>D41</f>
        <v>1139000</v>
      </c>
      <c r="N41" s="90"/>
    </row>
    <row r="42" spans="1:14" ht="22.5" customHeight="1">
      <c r="A42" s="1">
        <v>2</v>
      </c>
      <c r="B42" s="216" t="s">
        <v>282</v>
      </c>
      <c r="C42" s="208">
        <v>0</v>
      </c>
      <c r="D42" s="208">
        <v>1879370</v>
      </c>
      <c r="E42" s="90"/>
      <c r="F42" s="90"/>
      <c r="G42" s="90"/>
      <c r="H42" s="90"/>
      <c r="I42" s="90">
        <f t="shared" si="4"/>
        <v>0</v>
      </c>
      <c r="J42" s="90">
        <f t="shared" si="4"/>
        <v>1879370</v>
      </c>
      <c r="K42" s="90">
        <f>C42</f>
        <v>0</v>
      </c>
      <c r="L42" s="90"/>
      <c r="M42" s="90">
        <f>D42</f>
        <v>1879370</v>
      </c>
      <c r="N42" s="90"/>
    </row>
    <row r="43" spans="1:14" ht="24" customHeight="1">
      <c r="A43" s="1">
        <v>3</v>
      </c>
      <c r="B43" s="209" t="s">
        <v>250</v>
      </c>
      <c r="C43" s="208">
        <v>270000</v>
      </c>
      <c r="D43" s="208">
        <v>507430</v>
      </c>
      <c r="E43" s="90"/>
      <c r="F43" s="90"/>
      <c r="G43" s="90"/>
      <c r="H43" s="90"/>
      <c r="I43" s="90">
        <f t="shared" si="4"/>
        <v>270000</v>
      </c>
      <c r="J43" s="90">
        <f t="shared" si="4"/>
        <v>507430</v>
      </c>
      <c r="K43" s="90">
        <f>C43</f>
        <v>270000</v>
      </c>
      <c r="L43" s="90"/>
      <c r="M43" s="90">
        <f>D43</f>
        <v>507430</v>
      </c>
      <c r="N43" s="90"/>
    </row>
    <row r="44" spans="1:14" ht="18.75">
      <c r="A44" s="1">
        <v>4</v>
      </c>
      <c r="B44" s="204" t="s">
        <v>99</v>
      </c>
      <c r="C44" s="91">
        <f>SUM(C41:C43)</f>
        <v>1270000</v>
      </c>
      <c r="D44" s="91">
        <f>SUM(D41:D43)</f>
        <v>3525800</v>
      </c>
      <c r="E44" s="91">
        <f>SUM(E43:E43)</f>
        <v>0</v>
      </c>
      <c r="F44" s="91">
        <f>SUM(F43:F43)</f>
        <v>0</v>
      </c>
      <c r="G44" s="91">
        <f>SUM(G43:G43)</f>
        <v>0</v>
      </c>
      <c r="H44" s="91">
        <f>SUM(H43:H43)</f>
        <v>0</v>
      </c>
      <c r="I44" s="91">
        <f>SUM(I41:I43)</f>
        <v>1270000</v>
      </c>
      <c r="J44" s="91">
        <f>SUM(J41:J43)</f>
        <v>3525800</v>
      </c>
      <c r="K44" s="91">
        <f>SUM(K41:K43)</f>
        <v>1270000</v>
      </c>
      <c r="L44" s="91">
        <f>SUM(L43:L43)</f>
        <v>0</v>
      </c>
      <c r="M44" s="91">
        <f>SUM(M41:M43)</f>
        <v>3525800</v>
      </c>
      <c r="N44" s="91">
        <f>SUM(N43:N43)</f>
        <v>0</v>
      </c>
    </row>
    <row r="45" spans="1:14" ht="18">
      <c r="B45" s="206"/>
      <c r="C45" s="93"/>
      <c r="D45" s="94"/>
      <c r="E45" s="93"/>
      <c r="F45" s="93"/>
      <c r="G45" s="93"/>
      <c r="H45" s="93"/>
      <c r="I45" s="93"/>
      <c r="J45" s="93"/>
      <c r="K45" s="93"/>
      <c r="L45" s="93"/>
      <c r="M45" s="93"/>
      <c r="N45" s="93"/>
    </row>
    <row r="46" spans="1:14" ht="18">
      <c r="B46" s="210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</row>
    <row r="47" spans="1:14" ht="18">
      <c r="B47" s="206" t="s">
        <v>196</v>
      </c>
    </row>
    <row r="48" spans="1:14" ht="60">
      <c r="B48" s="88" t="s">
        <v>1</v>
      </c>
      <c r="C48" s="47" t="s">
        <v>2</v>
      </c>
      <c r="D48" s="47" t="s">
        <v>78</v>
      </c>
      <c r="E48" s="47" t="s">
        <v>3</v>
      </c>
      <c r="F48" s="47" t="s">
        <v>111</v>
      </c>
      <c r="G48" s="47" t="s">
        <v>72</v>
      </c>
      <c r="H48" s="47" t="s">
        <v>112</v>
      </c>
      <c r="I48" s="54" t="s">
        <v>4</v>
      </c>
      <c r="J48" s="54" t="s">
        <v>5</v>
      </c>
      <c r="K48" s="54" t="s">
        <v>70</v>
      </c>
      <c r="L48" s="54" t="s">
        <v>71</v>
      </c>
      <c r="M48" s="54" t="s">
        <v>73</v>
      </c>
      <c r="N48" s="54" t="s">
        <v>74</v>
      </c>
    </row>
    <row r="49" spans="1:14" ht="15">
      <c r="B49" s="89" t="s">
        <v>6</v>
      </c>
      <c r="C49" s="89" t="s">
        <v>7</v>
      </c>
      <c r="D49" s="89" t="s">
        <v>8</v>
      </c>
      <c r="E49" s="89" t="s">
        <v>9</v>
      </c>
      <c r="F49" s="89" t="s">
        <v>10</v>
      </c>
      <c r="G49" s="89" t="s">
        <v>11</v>
      </c>
      <c r="H49" s="89" t="s">
        <v>12</v>
      </c>
      <c r="I49" s="89" t="s">
        <v>13</v>
      </c>
      <c r="J49" s="89" t="s">
        <v>14</v>
      </c>
      <c r="K49" s="89" t="s">
        <v>15</v>
      </c>
      <c r="L49" s="89" t="s">
        <v>16</v>
      </c>
      <c r="M49" s="89" t="s">
        <v>17</v>
      </c>
      <c r="N49" s="89" t="s">
        <v>251</v>
      </c>
    </row>
    <row r="50" spans="1:14" ht="18">
      <c r="A50" s="1">
        <v>1</v>
      </c>
      <c r="B50" s="97"/>
      <c r="C50" s="98"/>
      <c r="D50" s="99"/>
      <c r="E50" s="98"/>
      <c r="F50" s="98"/>
      <c r="G50" s="98"/>
      <c r="H50" s="98"/>
      <c r="I50" s="91"/>
      <c r="J50" s="100"/>
      <c r="K50" s="91"/>
      <c r="L50" s="98"/>
      <c r="M50" s="100"/>
      <c r="N50" s="98"/>
    </row>
    <row r="51" spans="1:14" ht="18">
      <c r="A51" s="1">
        <v>2</v>
      </c>
      <c r="B51" s="211"/>
      <c r="C51" s="98"/>
      <c r="D51" s="101"/>
      <c r="E51" s="98"/>
      <c r="F51" s="98"/>
      <c r="G51" s="98"/>
      <c r="H51" s="98"/>
      <c r="I51" s="91"/>
      <c r="J51" s="98"/>
      <c r="K51" s="91"/>
      <c r="L51" s="98"/>
      <c r="M51" s="100"/>
      <c r="N51" s="98"/>
    </row>
    <row r="52" spans="1:14" ht="18.75">
      <c r="A52" s="1">
        <v>3</v>
      </c>
      <c r="B52" s="204" t="s">
        <v>99</v>
      </c>
      <c r="C52" s="91">
        <f>SUM(C50:C51)</f>
        <v>0</v>
      </c>
      <c r="D52" s="91">
        <f>SUM(D50:D51)</f>
        <v>0</v>
      </c>
      <c r="E52" s="91">
        <f t="shared" ref="E52:N52" si="5">SUM(E49:E51)</f>
        <v>0</v>
      </c>
      <c r="F52" s="91">
        <f t="shared" si="5"/>
        <v>0</v>
      </c>
      <c r="G52" s="91">
        <f t="shared" si="5"/>
        <v>0</v>
      </c>
      <c r="H52" s="91">
        <f t="shared" si="5"/>
        <v>0</v>
      </c>
      <c r="I52" s="91">
        <f t="shared" si="5"/>
        <v>0</v>
      </c>
      <c r="J52" s="91">
        <f t="shared" si="5"/>
        <v>0</v>
      </c>
      <c r="K52" s="91">
        <f t="shared" si="5"/>
        <v>0</v>
      </c>
      <c r="L52" s="91">
        <f t="shared" si="5"/>
        <v>0</v>
      </c>
      <c r="M52" s="91">
        <f t="shared" si="5"/>
        <v>0</v>
      </c>
      <c r="N52" s="91">
        <f t="shared" si="5"/>
        <v>0</v>
      </c>
    </row>
    <row r="53" spans="1:14" ht="18">
      <c r="B53" s="21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</row>
    <row r="54" spans="1:14" ht="36">
      <c r="B54" s="213" t="s">
        <v>107</v>
      </c>
      <c r="C54" s="214">
        <f>C44+C52+C35</f>
        <v>191434000</v>
      </c>
      <c r="D54" s="214">
        <f>D44+D52+D35</f>
        <v>215073007</v>
      </c>
      <c r="E54" s="214">
        <f>E35+E44</f>
        <v>0</v>
      </c>
      <c r="F54" s="214">
        <f>F35+F44</f>
        <v>0</v>
      </c>
      <c r="G54" s="214">
        <f>G35+G44</f>
        <v>0</v>
      </c>
      <c r="H54" s="214">
        <f>H35+H44</f>
        <v>0</v>
      </c>
      <c r="I54" s="214">
        <f>I35+I44+I52</f>
        <v>191434000</v>
      </c>
      <c r="J54" s="214">
        <f>J35+J44</f>
        <v>215073007</v>
      </c>
      <c r="K54" s="214">
        <f>K35+K44+K52</f>
        <v>191434000</v>
      </c>
      <c r="L54" s="214">
        <f>L35+L44</f>
        <v>0</v>
      </c>
      <c r="M54" s="214">
        <f>M35+M44</f>
        <v>215073007</v>
      </c>
      <c r="N54" s="214">
        <f>N35+N44</f>
        <v>0</v>
      </c>
    </row>
    <row r="55" spans="1:14" ht="18">
      <c r="B55" s="210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</row>
    <row r="56" spans="1:14">
      <c r="B56" s="227" t="s">
        <v>252</v>
      </c>
      <c r="C56" s="227"/>
      <c r="D56" s="227"/>
      <c r="E56" s="227"/>
      <c r="F56" s="227"/>
      <c r="G56" s="227"/>
      <c r="H56" s="227"/>
      <c r="I56" s="227"/>
    </row>
    <row r="58" spans="1:14" ht="72">
      <c r="B58" s="53" t="s">
        <v>1</v>
      </c>
      <c r="C58" s="103" t="s">
        <v>108</v>
      </c>
      <c r="D58" s="103" t="s">
        <v>109</v>
      </c>
      <c r="E58" s="103" t="s">
        <v>110</v>
      </c>
      <c r="F58" s="103" t="s">
        <v>110</v>
      </c>
      <c r="G58" s="103" t="s">
        <v>110</v>
      </c>
      <c r="H58" s="103" t="s">
        <v>110</v>
      </c>
      <c r="I58" s="103" t="s">
        <v>110</v>
      </c>
      <c r="J58" s="103" t="s">
        <v>110</v>
      </c>
      <c r="K58" s="1"/>
      <c r="L58" s="1"/>
      <c r="M58" s="1"/>
      <c r="N58" s="1"/>
    </row>
    <row r="59" spans="1:14">
      <c r="B59" s="182"/>
      <c r="C59" s="104"/>
      <c r="D59" s="104"/>
      <c r="E59" s="104"/>
      <c r="F59" s="104"/>
      <c r="G59" s="104"/>
      <c r="H59" s="104"/>
      <c r="I59" s="104"/>
      <c r="J59" s="104"/>
      <c r="K59" s="1"/>
      <c r="L59" s="1"/>
      <c r="M59" s="1"/>
      <c r="N59" s="1"/>
    </row>
    <row r="60" spans="1:14" ht="15">
      <c r="B60" s="105" t="s">
        <v>98</v>
      </c>
      <c r="C60" s="104"/>
      <c r="D60" s="104"/>
      <c r="E60" s="104"/>
      <c r="F60" s="104"/>
      <c r="G60" s="104"/>
      <c r="H60" s="104"/>
      <c r="I60" s="104"/>
      <c r="J60" s="104"/>
      <c r="K60" s="1"/>
      <c r="L60" s="1"/>
      <c r="M60" s="1"/>
      <c r="N60" s="1"/>
    </row>
    <row r="63" spans="1:14" ht="15">
      <c r="B63" s="125"/>
    </row>
    <row r="73" spans="2:14" ht="18">
      <c r="B73" s="21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</row>
    <row r="74" spans="2:14" ht="18">
      <c r="B74" s="21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</row>
    <row r="75" spans="2:14" ht="18">
      <c r="B75" s="21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</row>
    <row r="76" spans="2:14" ht="18">
      <c r="B76" s="21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</row>
    <row r="77" spans="2:14" ht="18">
      <c r="B77" s="21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</row>
    <row r="78" spans="2:14" ht="18">
      <c r="B78" s="21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</row>
    <row r="79" spans="2:14" ht="18">
      <c r="B79" s="21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</row>
    <row r="80" spans="2:14" ht="18">
      <c r="B80" s="206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</row>
    <row r="81" spans="2:14" ht="18">
      <c r="B81" s="206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</row>
    <row r="82" spans="2:14" ht="18">
      <c r="B82" s="206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</row>
    <row r="83" spans="2:14" ht="18">
      <c r="B83" s="206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</row>
    <row r="84" spans="2:14" ht="18">
      <c r="B84" s="206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</row>
    <row r="85" spans="2:14" ht="18">
      <c r="B85" s="206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</row>
    <row r="86" spans="2:14" ht="18">
      <c r="B86" s="206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</row>
    <row r="87" spans="2:14" ht="18">
      <c r="B87" s="206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</row>
    <row r="88" spans="2:14" ht="18">
      <c r="B88" s="206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</row>
  </sheetData>
  <mergeCells count="3">
    <mergeCell ref="B1:N1"/>
    <mergeCell ref="J2:N2"/>
    <mergeCell ref="B56:I56"/>
  </mergeCells>
  <phoneticPr fontId="5" type="noConversion"/>
  <pageMargins left="0.47244094488188981" right="0.43307086614173229" top="0.45" bottom="0.42" header="0.31496062992125984" footer="0.31496062992125984"/>
  <pageSetup paperSize="9"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34"/>
  <sheetViews>
    <sheetView zoomScale="75" zoomScaleNormal="75" workbookViewId="0">
      <selection activeCell="B2" sqref="B2"/>
    </sheetView>
  </sheetViews>
  <sheetFormatPr defaultRowHeight="12.75"/>
  <cols>
    <col min="1" max="1" width="9.140625" style="1" customWidth="1"/>
    <col min="2" max="2" width="73.140625" style="1" customWidth="1"/>
    <col min="3" max="4" width="17.85546875" style="1" customWidth="1"/>
    <col min="5" max="8" width="21.28515625" style="1" customWidth="1"/>
    <col min="9" max="16384" width="9.140625" style="1"/>
  </cols>
  <sheetData>
    <row r="1" spans="1:24">
      <c r="B1" s="224" t="s">
        <v>302</v>
      </c>
      <c r="C1" s="224"/>
      <c r="D1" s="224"/>
      <c r="E1" s="224"/>
      <c r="F1" s="224"/>
      <c r="G1" s="224"/>
      <c r="H1" s="224"/>
    </row>
    <row r="2" spans="1:24">
      <c r="B2" s="42"/>
      <c r="C2" s="42"/>
      <c r="D2" s="224"/>
      <c r="E2" s="224"/>
      <c r="F2" s="224"/>
      <c r="G2" s="224"/>
      <c r="H2" s="224"/>
    </row>
    <row r="3" spans="1:24" ht="20.25">
      <c r="B3" s="43" t="s">
        <v>115</v>
      </c>
    </row>
    <row r="4" spans="1:24" ht="20.25">
      <c r="B4" s="43"/>
      <c r="G4" s="1" t="s">
        <v>0</v>
      </c>
    </row>
    <row r="5" spans="1:24" ht="60">
      <c r="B5" s="53" t="s">
        <v>1</v>
      </c>
      <c r="C5" s="47" t="s">
        <v>2</v>
      </c>
      <c r="D5" s="47" t="s">
        <v>66</v>
      </c>
      <c r="E5" s="54" t="s">
        <v>70</v>
      </c>
      <c r="F5" s="54" t="s">
        <v>71</v>
      </c>
      <c r="G5" s="54" t="s">
        <v>73</v>
      </c>
      <c r="H5" s="54" t="s">
        <v>74</v>
      </c>
      <c r="J5" s="3"/>
    </row>
    <row r="6" spans="1:24" ht="14.25">
      <c r="B6" s="47" t="s">
        <v>6</v>
      </c>
      <c r="C6" s="47" t="s">
        <v>7</v>
      </c>
      <c r="D6" s="47" t="s">
        <v>8</v>
      </c>
      <c r="E6" s="47" t="s">
        <v>9</v>
      </c>
      <c r="F6" s="47" t="s">
        <v>80</v>
      </c>
      <c r="G6" s="47" t="s">
        <v>11</v>
      </c>
      <c r="H6" s="47" t="s">
        <v>12</v>
      </c>
    </row>
    <row r="7" spans="1:24" ht="16.5">
      <c r="A7" s="1">
        <v>1</v>
      </c>
      <c r="B7" s="7" t="s">
        <v>159</v>
      </c>
      <c r="C7" s="56">
        <v>8220</v>
      </c>
      <c r="D7" s="56">
        <v>9796</v>
      </c>
      <c r="E7" s="58"/>
      <c r="F7" s="56">
        <f>C7</f>
        <v>8220</v>
      </c>
      <c r="G7" s="56"/>
      <c r="H7" s="56">
        <f>D7</f>
        <v>9796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>
      <c r="A8" s="1">
        <v>2</v>
      </c>
      <c r="B8" s="7" t="s">
        <v>160</v>
      </c>
      <c r="C8" s="56">
        <v>3300</v>
      </c>
      <c r="D8" s="56">
        <v>3300</v>
      </c>
      <c r="E8" s="58"/>
      <c r="F8" s="56">
        <f>C8</f>
        <v>3300</v>
      </c>
      <c r="G8" s="56"/>
      <c r="H8" s="56">
        <f>D8</f>
        <v>3300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>
      <c r="A9" s="1">
        <v>3</v>
      </c>
      <c r="B9" s="7" t="s">
        <v>161</v>
      </c>
      <c r="C9" s="56">
        <v>58555</v>
      </c>
      <c r="D9" s="56">
        <v>55585</v>
      </c>
      <c r="E9" s="58"/>
      <c r="F9" s="56">
        <f>C9</f>
        <v>58555</v>
      </c>
      <c r="G9" s="56"/>
      <c r="H9" s="56">
        <f>D9</f>
        <v>55585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6.5">
      <c r="A10" s="1">
        <v>4</v>
      </c>
      <c r="B10" s="7" t="s">
        <v>162</v>
      </c>
      <c r="C10" s="56">
        <v>1500</v>
      </c>
      <c r="D10" s="56">
        <v>1050</v>
      </c>
      <c r="E10" s="58"/>
      <c r="F10" s="56">
        <f>C10</f>
        <v>1500</v>
      </c>
      <c r="G10" s="56"/>
      <c r="H10" s="56">
        <f>D10</f>
        <v>1050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28.5">
      <c r="A11" s="1">
        <v>5</v>
      </c>
      <c r="B11" s="7" t="s">
        <v>283</v>
      </c>
      <c r="C11" s="56">
        <v>200</v>
      </c>
      <c r="D11" s="56">
        <v>14278</v>
      </c>
      <c r="E11" s="58"/>
      <c r="F11" s="56">
        <f>C11</f>
        <v>200</v>
      </c>
      <c r="G11" s="56"/>
      <c r="H11" s="56">
        <f>D11</f>
        <v>14278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32.25" customHeight="1">
      <c r="A12" s="1">
        <v>6</v>
      </c>
      <c r="B12" s="50" t="s">
        <v>113</v>
      </c>
      <c r="C12" s="58">
        <f t="shared" ref="C12:H12" si="0">SUM(C7:C11)</f>
        <v>71775</v>
      </c>
      <c r="D12" s="58">
        <f t="shared" si="0"/>
        <v>84009</v>
      </c>
      <c r="E12" s="58">
        <f t="shared" si="0"/>
        <v>0</v>
      </c>
      <c r="F12" s="58">
        <f t="shared" si="0"/>
        <v>71775</v>
      </c>
      <c r="G12" s="58">
        <f t="shared" si="0"/>
        <v>0</v>
      </c>
      <c r="H12" s="58">
        <f t="shared" si="0"/>
        <v>84009</v>
      </c>
      <c r="I12" s="59"/>
      <c r="J12" s="59"/>
      <c r="K12" s="59"/>
      <c r="L12" s="59"/>
      <c r="M12" s="59"/>
      <c r="N12" s="59"/>
      <c r="O12" s="59"/>
      <c r="P12" s="59"/>
      <c r="Q12" s="109"/>
      <c r="R12" s="60"/>
      <c r="S12" s="60"/>
      <c r="T12" s="60"/>
      <c r="U12" s="60"/>
      <c r="V12" s="60"/>
      <c r="W12" s="60"/>
      <c r="X12" s="60"/>
    </row>
    <row r="13" spans="1:24" ht="32.25" customHeight="1">
      <c r="B13" s="110"/>
      <c r="C13" s="71"/>
      <c r="D13" s="71"/>
      <c r="E13" s="71"/>
      <c r="F13" s="71"/>
      <c r="G13" s="71"/>
      <c r="H13" s="71"/>
      <c r="I13" s="59"/>
      <c r="J13" s="59"/>
      <c r="K13" s="59"/>
      <c r="L13" s="59"/>
      <c r="M13" s="59"/>
      <c r="N13" s="59"/>
      <c r="O13" s="59"/>
      <c r="P13" s="59"/>
      <c r="Q13" s="109"/>
      <c r="R13" s="60"/>
      <c r="S13" s="60"/>
      <c r="T13" s="60"/>
      <c r="U13" s="60"/>
      <c r="V13" s="60"/>
      <c r="W13" s="60"/>
      <c r="X13" s="60"/>
    </row>
    <row r="14" spans="1:24" ht="60">
      <c r="B14" s="53" t="s">
        <v>1</v>
      </c>
      <c r="C14" s="47" t="s">
        <v>2</v>
      </c>
      <c r="D14" s="47" t="s">
        <v>66</v>
      </c>
      <c r="E14" s="54" t="s">
        <v>70</v>
      </c>
      <c r="F14" s="54" t="s">
        <v>71</v>
      </c>
      <c r="G14" s="54" t="s">
        <v>73</v>
      </c>
      <c r="H14" s="54" t="s">
        <v>74</v>
      </c>
    </row>
    <row r="15" spans="1:24" ht="14.25">
      <c r="B15" s="53" t="s">
        <v>6</v>
      </c>
      <c r="C15" s="47" t="s">
        <v>7</v>
      </c>
      <c r="D15" s="47" t="s">
        <v>8</v>
      </c>
      <c r="E15" s="47" t="s">
        <v>9</v>
      </c>
      <c r="F15" s="47" t="s">
        <v>80</v>
      </c>
      <c r="G15" s="47" t="s">
        <v>11</v>
      </c>
      <c r="H15" s="47" t="s">
        <v>12</v>
      </c>
    </row>
    <row r="16" spans="1:24" ht="16.5">
      <c r="A16" s="1">
        <v>1</v>
      </c>
      <c r="B16" s="7" t="s">
        <v>164</v>
      </c>
      <c r="C16" s="56"/>
      <c r="D16" s="56"/>
      <c r="E16" s="58"/>
      <c r="F16" s="56">
        <f>C16</f>
        <v>0</v>
      </c>
      <c r="G16" s="56"/>
      <c r="H16" s="56">
        <f>D16</f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>
      <c r="A17" s="1">
        <v>2</v>
      </c>
      <c r="B17" s="7" t="s">
        <v>165</v>
      </c>
      <c r="C17" s="56"/>
      <c r="D17" s="56"/>
      <c r="E17" s="58"/>
      <c r="F17" s="56">
        <f>C17</f>
        <v>0</v>
      </c>
      <c r="G17" s="56"/>
      <c r="H17" s="56">
        <f>D17</f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5">
      <c r="A18" s="1">
        <v>3</v>
      </c>
      <c r="B18" s="7" t="s">
        <v>166</v>
      </c>
      <c r="C18" s="56"/>
      <c r="D18" s="56"/>
      <c r="E18" s="58"/>
      <c r="F18" s="56">
        <f>C18</f>
        <v>0</v>
      </c>
      <c r="G18" s="56"/>
      <c r="H18" s="56">
        <f>D18</f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>
      <c r="A19" s="1">
        <v>4</v>
      </c>
      <c r="B19" s="7" t="s">
        <v>167</v>
      </c>
      <c r="C19" s="56"/>
      <c r="D19" s="56">
        <v>400000</v>
      </c>
      <c r="E19" s="58"/>
      <c r="F19" s="56">
        <f>C19</f>
        <v>0</v>
      </c>
      <c r="G19" s="56"/>
      <c r="H19" s="56">
        <f>D19</f>
        <v>400000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>
      <c r="A20" s="1">
        <v>5</v>
      </c>
      <c r="B20" s="7" t="s">
        <v>163</v>
      </c>
      <c r="C20" s="56"/>
      <c r="D20" s="56"/>
      <c r="E20" s="58"/>
      <c r="F20" s="56">
        <f>C20</f>
        <v>0</v>
      </c>
      <c r="G20" s="56"/>
      <c r="H20" s="56">
        <f>D20</f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3" customHeight="1">
      <c r="A21" s="1">
        <v>6</v>
      </c>
      <c r="B21" s="50" t="s">
        <v>114</v>
      </c>
      <c r="C21" s="58">
        <f t="shared" ref="C21:H21" si="1">SUM(C16:C20)</f>
        <v>0</v>
      </c>
      <c r="D21" s="58">
        <f t="shared" si="1"/>
        <v>400000</v>
      </c>
      <c r="E21" s="58">
        <f t="shared" si="1"/>
        <v>0</v>
      </c>
      <c r="F21" s="58">
        <f t="shared" si="1"/>
        <v>0</v>
      </c>
      <c r="G21" s="58">
        <f t="shared" si="1"/>
        <v>0</v>
      </c>
      <c r="H21" s="58">
        <f t="shared" si="1"/>
        <v>400000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111"/>
      <c r="T21" s="111"/>
      <c r="U21" s="111"/>
      <c r="V21" s="111"/>
      <c r="W21" s="111"/>
      <c r="X21" s="111"/>
    </row>
    <row r="22" spans="1:24" ht="14.25">
      <c r="B22" s="112"/>
    </row>
    <row r="23" spans="1:24" ht="14.25">
      <c r="B23" s="112"/>
    </row>
    <row r="24" spans="1:24" ht="14.25">
      <c r="B24" s="112"/>
    </row>
    <row r="25" spans="1:24" ht="14.25">
      <c r="B25" s="112"/>
    </row>
    <row r="26" spans="1:24" ht="14.25">
      <c r="B26" s="112"/>
    </row>
    <row r="27" spans="1:24" ht="14.25">
      <c r="B27" s="112"/>
    </row>
    <row r="28" spans="1:24" ht="14.25">
      <c r="B28" s="112"/>
    </row>
    <row r="29" spans="1:24" ht="14.25">
      <c r="B29" s="112"/>
    </row>
    <row r="30" spans="1:24" ht="14.25">
      <c r="B30" s="112"/>
    </row>
    <row r="31" spans="1:24" ht="14.25">
      <c r="B31" s="112"/>
    </row>
    <row r="32" spans="1:24" ht="14.25">
      <c r="B32" s="112"/>
    </row>
    <row r="33" spans="2:2" ht="14.25">
      <c r="B33" s="112"/>
    </row>
    <row r="34" spans="2:2" ht="14.25">
      <c r="B34" s="112"/>
    </row>
  </sheetData>
  <mergeCells count="2">
    <mergeCell ref="B1:H1"/>
    <mergeCell ref="D2:H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X14"/>
  <sheetViews>
    <sheetView zoomScale="75" zoomScaleNormal="75" workbookViewId="0">
      <selection activeCell="B2" sqref="B2"/>
    </sheetView>
  </sheetViews>
  <sheetFormatPr defaultRowHeight="12.75"/>
  <cols>
    <col min="1" max="1" width="9.140625" style="1" customWidth="1"/>
    <col min="2" max="2" width="73.140625" style="1" customWidth="1"/>
    <col min="3" max="4" width="17.85546875" style="1" customWidth="1"/>
    <col min="5" max="8" width="21.28515625" style="1" customWidth="1"/>
    <col min="9" max="16384" width="9.140625" style="1"/>
  </cols>
  <sheetData>
    <row r="1" spans="1:24">
      <c r="B1" s="224" t="s">
        <v>303</v>
      </c>
      <c r="C1" s="224"/>
      <c r="D1" s="224"/>
      <c r="E1" s="224"/>
      <c r="F1" s="224"/>
      <c r="G1" s="224"/>
      <c r="H1" s="224"/>
    </row>
    <row r="2" spans="1:24">
      <c r="B2" s="42"/>
      <c r="C2" s="42"/>
      <c r="D2" s="42"/>
      <c r="E2" s="228"/>
      <c r="F2" s="228"/>
      <c r="G2" s="228"/>
      <c r="H2" s="228"/>
    </row>
    <row r="3" spans="1:24" ht="20.25">
      <c r="B3" s="43" t="s">
        <v>168</v>
      </c>
    </row>
    <row r="4" spans="1:24" ht="20.25">
      <c r="B4" s="43"/>
      <c r="G4" s="1" t="s">
        <v>0</v>
      </c>
    </row>
    <row r="5" spans="1:24" ht="60">
      <c r="B5" s="53" t="s">
        <v>1</v>
      </c>
      <c r="C5" s="47" t="s">
        <v>2</v>
      </c>
      <c r="D5" s="47" t="s">
        <v>66</v>
      </c>
      <c r="E5" s="54" t="s">
        <v>70</v>
      </c>
      <c r="F5" s="54" t="s">
        <v>71</v>
      </c>
      <c r="G5" s="54" t="s">
        <v>73</v>
      </c>
      <c r="H5" s="54" t="s">
        <v>74</v>
      </c>
      <c r="J5" s="3"/>
    </row>
    <row r="6" spans="1:24" ht="14.25">
      <c r="B6" s="47" t="s">
        <v>6</v>
      </c>
      <c r="C6" s="47" t="s">
        <v>7</v>
      </c>
      <c r="D6" s="47" t="s">
        <v>8</v>
      </c>
      <c r="E6" s="47" t="s">
        <v>9</v>
      </c>
      <c r="F6" s="47" t="s">
        <v>80</v>
      </c>
      <c r="G6" s="47" t="s">
        <v>11</v>
      </c>
      <c r="H6" s="47" t="s">
        <v>12</v>
      </c>
    </row>
    <row r="7" spans="1:24" ht="16.5">
      <c r="A7" s="1">
        <v>1</v>
      </c>
      <c r="B7" s="113" t="s">
        <v>179</v>
      </c>
      <c r="C7" s="56">
        <v>200</v>
      </c>
      <c r="D7" s="56">
        <v>12</v>
      </c>
      <c r="E7" s="56">
        <f>C7</f>
        <v>200</v>
      </c>
      <c r="F7" s="56"/>
      <c r="G7" s="56">
        <f>D7</f>
        <v>12</v>
      </c>
      <c r="H7" s="5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5">
      <c r="A8" s="1">
        <v>2</v>
      </c>
      <c r="B8" s="113" t="s">
        <v>180</v>
      </c>
      <c r="C8" s="56">
        <v>1100</v>
      </c>
      <c r="D8" s="56">
        <v>1402</v>
      </c>
      <c r="E8" s="56">
        <f>C8</f>
        <v>1100</v>
      </c>
      <c r="F8" s="56"/>
      <c r="G8" s="56">
        <f>D8</f>
        <v>1402</v>
      </c>
      <c r="H8" s="5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>
      <c r="A9" s="1">
        <v>3</v>
      </c>
      <c r="B9" s="113" t="s">
        <v>284</v>
      </c>
      <c r="C9" s="56">
        <v>4000</v>
      </c>
      <c r="D9" s="56">
        <v>2720</v>
      </c>
      <c r="E9" s="56">
        <f>C9</f>
        <v>4000</v>
      </c>
      <c r="F9" s="56"/>
      <c r="G9" s="56">
        <f>D9</f>
        <v>2720</v>
      </c>
      <c r="H9" s="5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6.5">
      <c r="A10" s="1">
        <v>4</v>
      </c>
      <c r="B10" s="113" t="s">
        <v>253</v>
      </c>
      <c r="C10" s="56">
        <v>5000</v>
      </c>
      <c r="D10" s="56">
        <v>0</v>
      </c>
      <c r="E10" s="56">
        <f>C10</f>
        <v>5000</v>
      </c>
      <c r="F10" s="58"/>
      <c r="G10" s="56">
        <f>D10</f>
        <v>0</v>
      </c>
      <c r="H10" s="5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34.5" customHeight="1">
      <c r="A11" s="1">
        <v>5</v>
      </c>
      <c r="B11" s="114" t="s">
        <v>116</v>
      </c>
      <c r="C11" s="58">
        <f t="shared" ref="C11:H11" si="0">SUM(C7:C10)</f>
        <v>10300</v>
      </c>
      <c r="D11" s="58">
        <f t="shared" si="0"/>
        <v>4134</v>
      </c>
      <c r="E11" s="58">
        <f t="shared" si="0"/>
        <v>10300</v>
      </c>
      <c r="F11" s="58">
        <f t="shared" si="0"/>
        <v>0</v>
      </c>
      <c r="G11" s="58">
        <f t="shared" si="0"/>
        <v>4134</v>
      </c>
      <c r="H11" s="58">
        <f t="shared" si="0"/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4.25">
      <c r="B12" s="112"/>
    </row>
    <row r="13" spans="1:24" ht="14.25">
      <c r="B13" s="112"/>
    </row>
    <row r="14" spans="1:24" ht="14.25">
      <c r="B14" s="112"/>
    </row>
  </sheetData>
  <mergeCells count="2">
    <mergeCell ref="B1:H1"/>
    <mergeCell ref="E2:H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</vt:i4>
      </vt:variant>
    </vt:vector>
  </HeadingPairs>
  <TitlesOfParts>
    <vt:vector size="14" baseType="lpstr">
      <vt:lpstr>11 ktgvetési mérleg</vt:lpstr>
      <vt:lpstr>1 bevétel-kiadás</vt:lpstr>
      <vt:lpstr>2 helyi adó bev.</vt:lpstr>
      <vt:lpstr>3 tám.ért. bev.</vt:lpstr>
      <vt:lpstr>4 ktgvetési tám. bev.</vt:lpstr>
      <vt:lpstr>5 EU-s pr. bev-kiad.</vt:lpstr>
      <vt:lpstr>6 Ber-Felúj. kiad.</vt:lpstr>
      <vt:lpstr>7 átadott pénzeszk.</vt:lpstr>
      <vt:lpstr>8 ellátotak jutt.</vt:lpstr>
      <vt:lpstr>9 létszám</vt:lpstr>
      <vt:lpstr>10 közvetett tám-ok kiad.</vt:lpstr>
      <vt:lpstr>12 EI felh.terv</vt:lpstr>
      <vt:lpstr>Munka1</vt:lpstr>
      <vt:lpstr>'1 bevétel-kiadás'!Nyomtatási_terület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pugy</dc:creator>
  <cp:lastModifiedBy>Boa Vanessza</cp:lastModifiedBy>
  <cp:lastPrinted>2017-02-14T12:04:24Z</cp:lastPrinted>
  <dcterms:created xsi:type="dcterms:W3CDTF">2013-02-08T06:30:04Z</dcterms:created>
  <dcterms:modified xsi:type="dcterms:W3CDTF">2018-02-26T09:17:57Z</dcterms:modified>
</cp:coreProperties>
</file>